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08" yWindow="-108" windowWidth="23256" windowHeight="12576" firstSheet="1" activeTab="3"/>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Campos'!$A$6:$J$615</definedName>
    <definedName name="_xlnm._FilterDatabase" localSheetId="7" hidden="1">'Caderno Testes'!$B$933:$M$1151</definedName>
    <definedName name="_xlnm._FilterDatabase" localSheetId="2" hidden="1">Plano_V1!$B$13:$K$636</definedName>
    <definedName name="_xlnm._FilterDatabase" localSheetId="1" hidden="1">Plano_V3!$B$13:$N$583</definedName>
    <definedName name="_xlcn.WorksheetConnection_2.StatusDetalheCamposB6G5991" hidden="1">'2. Status Detalhe Campos'!$B$6:$G$605</definedName>
    <definedName name="_xlcn.WorksheetConnection_2.StatusDetalheCamposB6G6051" hidden="1">'2. Status Detalhe Campos'!$B$6:$G$615</definedName>
    <definedName name="_xlcn.WorksheetConnection_Sheet2B2G5451" hidden="1">'2. Status Detalhe Campos'!$B$6:$G$554</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56" r:id="rId11"/>
    <pivotCache cacheId="59" r:id="rId12"/>
    <pivotCache cacheId="62" r:id="rId13"/>
    <pivotCache cacheId="65" r:id="rId14"/>
    <pivotCache cacheId="68" r:id="rId15"/>
    <pivotCache cacheId="71" r:id="rId16"/>
    <pivotCache cacheId="74" r:id="rId17"/>
    <pivotCache cacheId="77" r:id="rId18"/>
    <pivotCache cacheId="80"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5" i="15" l="1"/>
  <c r="A179" i="17" l="1"/>
  <c r="A178" i="17"/>
  <c r="A177" i="17"/>
  <c r="A176" i="17"/>
  <c r="J176" i="17" s="1"/>
  <c r="A175" i="17"/>
  <c r="A174" i="17"/>
  <c r="A173" i="17"/>
  <c r="K173" i="17" s="1"/>
  <c r="J173" i="17"/>
  <c r="J174" i="17"/>
  <c r="K174" i="17"/>
  <c r="L174" i="17"/>
  <c r="J175" i="17"/>
  <c r="K175" i="17"/>
  <c r="L175" i="17"/>
  <c r="J177" i="17"/>
  <c r="K177" i="17"/>
  <c r="L177" i="17"/>
  <c r="J178" i="17"/>
  <c r="K178" i="17"/>
  <c r="L178" i="17"/>
  <c r="J179" i="17"/>
  <c r="K179" i="17"/>
  <c r="L179" i="17"/>
  <c r="L176" i="17" l="1"/>
  <c r="K176" i="17"/>
  <c r="L173" i="17"/>
  <c r="T58" i="15"/>
  <c r="T51" i="15" l="1"/>
  <c r="U51" i="15"/>
  <c r="O484" i="1" l="1"/>
  <c r="W484" i="1" s="1"/>
  <c r="H484" i="1"/>
  <c r="O483" i="1"/>
  <c r="W483" i="1" s="1"/>
  <c r="H483" i="1"/>
  <c r="O482" i="1"/>
  <c r="W482" i="1" s="1"/>
  <c r="H482" i="1"/>
  <c r="O481" i="1"/>
  <c r="W481" i="1" s="1"/>
  <c r="H481" i="1"/>
  <c r="O480" i="1"/>
  <c r="W480" i="1" s="1"/>
  <c r="H480" i="1"/>
  <c r="O479" i="1"/>
  <c r="W479" i="1" s="1"/>
  <c r="H479" i="1"/>
  <c r="O478" i="1"/>
  <c r="W478" i="1" s="1"/>
  <c r="H478" i="1"/>
  <c r="O477" i="1"/>
  <c r="W477" i="1" s="1"/>
  <c r="H477" i="1"/>
  <c r="O476" i="1"/>
  <c r="W476" i="1" s="1"/>
  <c r="H476" i="1"/>
  <c r="O475" i="1"/>
  <c r="W475" i="1" s="1"/>
  <c r="H475" i="1"/>
  <c r="O474" i="1"/>
  <c r="W474" i="1" s="1"/>
  <c r="H474" i="1"/>
  <c r="O473" i="1"/>
  <c r="W473" i="1" s="1"/>
  <c r="H473" i="1"/>
  <c r="O472" i="1"/>
  <c r="W472" i="1" s="1"/>
  <c r="H472" i="1"/>
  <c r="O471" i="1"/>
  <c r="W471" i="1" s="1"/>
  <c r="H471" i="1"/>
  <c r="O470" i="1"/>
  <c r="W470" i="1" s="1"/>
  <c r="H470" i="1"/>
  <c r="O469" i="1"/>
  <c r="W469" i="1" s="1"/>
  <c r="H469" i="1"/>
  <c r="O468" i="1"/>
  <c r="W468" i="1" s="1"/>
  <c r="H468" i="1"/>
  <c r="O467" i="1"/>
  <c r="W467" i="1" s="1"/>
  <c r="H467" i="1"/>
  <c r="O466" i="1"/>
  <c r="W466" i="1" s="1"/>
  <c r="H466" i="1"/>
  <c r="O465" i="1"/>
  <c r="W465" i="1" s="1"/>
  <c r="K195" i="20" s="1"/>
  <c r="L195" i="20" s="1"/>
  <c r="H465" i="1"/>
  <c r="O464" i="1"/>
  <c r="W464" i="1" s="1"/>
  <c r="H464" i="1"/>
  <c r="A201" i="20"/>
  <c r="H201" i="20" s="1"/>
  <c r="A200" i="20"/>
  <c r="H200" i="20" s="1"/>
  <c r="A199" i="20"/>
  <c r="H199" i="20" s="1"/>
  <c r="A198" i="20"/>
  <c r="H198" i="20" s="1"/>
  <c r="A197" i="20"/>
  <c r="H197" i="20" s="1"/>
  <c r="A196" i="20"/>
  <c r="H196" i="20" s="1"/>
  <c r="A195" i="20"/>
  <c r="H195" i="20" s="1"/>
  <c r="G195" i="20" s="1"/>
  <c r="G173" i="17" s="1"/>
  <c r="I199" i="20" l="1"/>
  <c r="J199" i="20" s="1"/>
  <c r="O199" i="20" s="1"/>
  <c r="K201" i="20"/>
  <c r="L201" i="20" s="1"/>
  <c r="K199" i="20"/>
  <c r="L199" i="20" s="1"/>
  <c r="K197" i="20"/>
  <c r="L197" i="20" s="1"/>
  <c r="K196" i="20"/>
  <c r="L196" i="20" s="1"/>
  <c r="I196" i="20"/>
  <c r="J196" i="20" s="1"/>
  <c r="O196" i="20" s="1"/>
  <c r="K200" i="20"/>
  <c r="L200" i="20" s="1"/>
  <c r="I198" i="20"/>
  <c r="J198" i="20" s="1"/>
  <c r="O198" i="20" s="1"/>
  <c r="K198" i="20"/>
  <c r="L198" i="20" s="1"/>
  <c r="I197" i="20"/>
  <c r="J197" i="20" s="1"/>
  <c r="O197" i="20" s="1"/>
  <c r="I200" i="20"/>
  <c r="J200" i="20" s="1"/>
  <c r="O200" i="20" s="1"/>
  <c r="I195" i="20"/>
  <c r="J195" i="20" s="1"/>
  <c r="O195" i="20" s="1"/>
  <c r="I201" i="20"/>
  <c r="J201" i="20" s="1"/>
  <c r="O201" i="20" s="1"/>
  <c r="M199" i="20" l="1"/>
  <c r="M198" i="20"/>
  <c r="M196" i="20"/>
  <c r="M201" i="20"/>
  <c r="M197" i="20"/>
  <c r="M195" i="20"/>
  <c r="M200" i="20"/>
  <c r="A235" i="20"/>
  <c r="H235" i="20" s="1"/>
  <c r="A234" i="20"/>
  <c r="H234" i="20" s="1"/>
  <c r="O934" i="1"/>
  <c r="O933" i="1"/>
  <c r="O932" i="1"/>
  <c r="W932" i="1" s="1"/>
  <c r="O931" i="1"/>
  <c r="W931" i="1" s="1"/>
  <c r="O930" i="1"/>
  <c r="W930" i="1" s="1"/>
  <c r="O929" i="1"/>
  <c r="W929" i="1" s="1"/>
  <c r="H931" i="1"/>
  <c r="H929" i="1"/>
  <c r="H932" i="1"/>
  <c r="H930" i="1"/>
  <c r="A211" i="17"/>
  <c r="J211" i="17" s="1"/>
  <c r="A210" i="17"/>
  <c r="K210" i="17" s="1"/>
  <c r="A212" i="17"/>
  <c r="A213" i="17"/>
  <c r="K234" i="20" l="1"/>
  <c r="L234" i="20" s="1"/>
  <c r="I234" i="20"/>
  <c r="J234" i="20" s="1"/>
  <c r="K235" i="20"/>
  <c r="L235" i="20" s="1"/>
  <c r="I235" i="20"/>
  <c r="J235" i="20" s="1"/>
  <c r="L211" i="17"/>
  <c r="K211" i="17"/>
  <c r="J210" i="17"/>
  <c r="L210" i="17"/>
  <c r="H894" i="1"/>
  <c r="M234" i="20" l="1"/>
  <c r="M235" i="20"/>
  <c r="H734" i="1" l="1"/>
  <c r="A255" i="17" l="1"/>
  <c r="J255" i="17" s="1"/>
  <c r="A279" i="20"/>
  <c r="H279" i="20" s="1"/>
  <c r="O1009" i="1"/>
  <c r="W1009" i="1" s="1"/>
  <c r="H1009" i="1"/>
  <c r="L255" i="17" l="1"/>
  <c r="K255" i="17"/>
  <c r="T54" i="15" l="1"/>
  <c r="U110" i="15" l="1"/>
  <c r="O1443" i="1"/>
  <c r="W1443" i="1" s="1"/>
  <c r="O1442" i="1"/>
  <c r="W1442" i="1" s="1"/>
  <c r="O1441" i="1"/>
  <c r="W1441" i="1" s="1"/>
  <c r="O1440" i="1"/>
  <c r="W1440" i="1" s="1"/>
  <c r="O1439" i="1"/>
  <c r="W1439" i="1" s="1"/>
  <c r="O1438" i="1"/>
  <c r="W1438" i="1" s="1"/>
  <c r="O1437" i="1"/>
  <c r="W1437" i="1" s="1"/>
  <c r="O1436" i="1"/>
  <c r="W1436" i="1" s="1"/>
  <c r="O1435" i="1"/>
  <c r="W1435" i="1" s="1"/>
  <c r="O1434" i="1"/>
  <c r="W1434" i="1" s="1"/>
  <c r="W1433" i="1"/>
  <c r="K582" i="20" s="1"/>
  <c r="L582" i="20" s="1"/>
  <c r="W1432" i="1"/>
  <c r="K581" i="20" s="1"/>
  <c r="L581" i="20" s="1"/>
  <c r="W1431" i="1"/>
  <c r="K580" i="20" s="1"/>
  <c r="L580" i="20" s="1"/>
  <c r="W1430" i="1"/>
  <c r="K579" i="20" s="1"/>
  <c r="L579" i="20" s="1"/>
  <c r="W1429" i="1"/>
  <c r="K578" i="20" s="1"/>
  <c r="L578" i="20" s="1"/>
  <c r="W1428" i="1"/>
  <c r="K577" i="20" s="1"/>
  <c r="L577" i="20" s="1"/>
  <c r="W1427" i="1"/>
  <c r="K576" i="20" s="1"/>
  <c r="L576" i="20" s="1"/>
  <c r="W1426" i="1"/>
  <c r="K575" i="20" s="1"/>
  <c r="L575" i="20" s="1"/>
  <c r="W1425" i="1"/>
  <c r="K574" i="20" s="1"/>
  <c r="L574" i="20" s="1"/>
  <c r="W1424" i="1"/>
  <c r="K573" i="20" s="1"/>
  <c r="L573" i="20" s="1"/>
  <c r="W1423" i="1"/>
  <c r="K572" i="20" s="1"/>
  <c r="L572" i="20" s="1"/>
  <c r="W1422" i="1"/>
  <c r="K571" i="20" s="1"/>
  <c r="L571" i="20" s="1"/>
  <c r="W1421" i="1"/>
  <c r="K570" i="20" s="1"/>
  <c r="L570" i="20" s="1"/>
  <c r="W1420" i="1"/>
  <c r="K569" i="20" s="1"/>
  <c r="L569" i="20" s="1"/>
  <c r="W1419" i="1"/>
  <c r="K568" i="20" s="1"/>
  <c r="L568" i="20" s="1"/>
  <c r="W1418" i="1"/>
  <c r="K567" i="20" s="1"/>
  <c r="L567" i="20" s="1"/>
  <c r="W1417" i="1"/>
  <c r="K566" i="20" s="1"/>
  <c r="L566" i="20" s="1"/>
  <c r="W1416" i="1"/>
  <c r="K565" i="20" s="1"/>
  <c r="L565" i="20" s="1"/>
  <c r="W1415" i="1"/>
  <c r="K564" i="20" s="1"/>
  <c r="L564" i="20" s="1"/>
  <c r="W1414" i="1"/>
  <c r="K563" i="20" s="1"/>
  <c r="L563" i="20" s="1"/>
  <c r="W1413" i="1"/>
  <c r="K562" i="20" s="1"/>
  <c r="L562" i="20" s="1"/>
  <c r="W1412" i="1"/>
  <c r="K561" i="20" s="1"/>
  <c r="L561" i="20" s="1"/>
  <c r="W1411" i="1"/>
  <c r="K560" i="20" s="1"/>
  <c r="L560" i="20" s="1"/>
  <c r="W1410" i="1"/>
  <c r="K559" i="20" s="1"/>
  <c r="L559" i="20" s="1"/>
  <c r="W1409" i="1"/>
  <c r="K558" i="20" s="1"/>
  <c r="L558" i="20" s="1"/>
  <c r="W1408" i="1"/>
  <c r="K557" i="20" s="1"/>
  <c r="L557" i="20" s="1"/>
  <c r="W1407" i="1"/>
  <c r="K556" i="20" s="1"/>
  <c r="L556" i="20" s="1"/>
  <c r="W1406" i="1"/>
  <c r="K555" i="20" s="1"/>
  <c r="L555" i="20" s="1"/>
  <c r="W1405" i="1"/>
  <c r="K554" i="20" s="1"/>
  <c r="L554" i="20" s="1"/>
  <c r="W1404" i="1"/>
  <c r="K553" i="20" s="1"/>
  <c r="L553" i="20" s="1"/>
  <c r="W1403" i="1"/>
  <c r="K552" i="20" s="1"/>
  <c r="L552" i="20" s="1"/>
  <c r="W1402" i="1"/>
  <c r="K551" i="20" s="1"/>
  <c r="L551" i="20" s="1"/>
  <c r="W1401" i="1"/>
  <c r="K550" i="20" s="1"/>
  <c r="L550" i="20" s="1"/>
  <c r="W1400" i="1"/>
  <c r="K549" i="20" s="1"/>
  <c r="L549" i="20" s="1"/>
  <c r="W1399" i="1"/>
  <c r="K548" i="20" s="1"/>
  <c r="L548" i="20" s="1"/>
  <c r="W1398" i="1"/>
  <c r="K547" i="20" s="1"/>
  <c r="L547" i="20" s="1"/>
  <c r="W1397" i="1"/>
  <c r="K546" i="20" s="1"/>
  <c r="L546" i="20" s="1"/>
  <c r="W1396" i="1"/>
  <c r="K545" i="20" s="1"/>
  <c r="L545" i="20" s="1"/>
  <c r="W1395" i="1"/>
  <c r="K544" i="20" s="1"/>
  <c r="L544" i="20" s="1"/>
  <c r="W1394" i="1"/>
  <c r="K543" i="20" s="1"/>
  <c r="L543" i="20" s="1"/>
  <c r="W1393" i="1"/>
  <c r="K542" i="20" s="1"/>
  <c r="L542" i="20" s="1"/>
  <c r="W1392" i="1"/>
  <c r="K541" i="20" s="1"/>
  <c r="L541" i="20" s="1"/>
  <c r="W1391" i="1"/>
  <c r="K540" i="20" s="1"/>
  <c r="L540" i="20" s="1"/>
  <c r="W1390" i="1"/>
  <c r="K539" i="20" s="1"/>
  <c r="L539" i="20" s="1"/>
  <c r="W1389" i="1"/>
  <c r="K538" i="20" s="1"/>
  <c r="L538" i="20" s="1"/>
  <c r="W1388" i="1"/>
  <c r="K537" i="20" s="1"/>
  <c r="L537" i="20" s="1"/>
  <c r="W1387" i="1"/>
  <c r="K536" i="20" s="1"/>
  <c r="L536" i="20" s="1"/>
  <c r="W1386" i="1"/>
  <c r="K535" i="20" s="1"/>
  <c r="L535" i="20" s="1"/>
  <c r="W1385" i="1"/>
  <c r="K534" i="20" s="1"/>
  <c r="L534" i="20" s="1"/>
  <c r="W1384" i="1"/>
  <c r="K533" i="20" s="1"/>
  <c r="L533" i="20" s="1"/>
  <c r="W1383" i="1"/>
  <c r="K532" i="20" s="1"/>
  <c r="L532" i="20" s="1"/>
  <c r="W1382" i="1"/>
  <c r="K531" i="20" s="1"/>
  <c r="L531" i="20" s="1"/>
  <c r="W1381" i="1"/>
  <c r="K530" i="20" s="1"/>
  <c r="L530" i="20" s="1"/>
  <c r="W1380" i="1"/>
  <c r="K529" i="20" s="1"/>
  <c r="L52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34" i="1"/>
  <c r="H1435" i="1"/>
  <c r="H1436" i="1"/>
  <c r="H1437" i="1"/>
  <c r="H1438" i="1"/>
  <c r="H1439" i="1"/>
  <c r="H1440" i="1"/>
  <c r="H1441" i="1"/>
  <c r="H1442" i="1"/>
  <c r="H1443" i="1"/>
  <c r="A615" i="17"/>
  <c r="L615" i="17" s="1"/>
  <c r="A614" i="17"/>
  <c r="L614" i="17" s="1"/>
  <c r="A613" i="17"/>
  <c r="L613" i="17" s="1"/>
  <c r="A612" i="17"/>
  <c r="L612" i="17" s="1"/>
  <c r="A611" i="17"/>
  <c r="L611" i="17" s="1"/>
  <c r="A610" i="17"/>
  <c r="L610" i="17" s="1"/>
  <c r="A609" i="17"/>
  <c r="L609" i="17" s="1"/>
  <c r="A608" i="17"/>
  <c r="L608" i="17" s="1"/>
  <c r="A607" i="17"/>
  <c r="L607" i="17" s="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L213" i="17"/>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L212" i="17" l="1"/>
  <c r="L12" i="17"/>
  <c r="J12" i="17"/>
  <c r="U92" i="15"/>
  <c r="K23" i="17"/>
  <c r="K87" i="17"/>
  <c r="K151" i="17"/>
  <c r="K216" i="17"/>
  <c r="K273" i="17"/>
  <c r="K337" i="17"/>
  <c r="K417" i="17"/>
  <c r="K497" i="17"/>
  <c r="J594" i="17"/>
  <c r="J610" i="17"/>
  <c r="K111" i="17"/>
  <c r="K167" i="17"/>
  <c r="K240" i="17"/>
  <c r="K297" i="17"/>
  <c r="K329" i="17"/>
  <c r="K369" i="17"/>
  <c r="K409" i="17"/>
  <c r="K465" i="17"/>
  <c r="K489" i="17"/>
  <c r="K537" i="17"/>
  <c r="K569" i="17"/>
  <c r="K601" i="17"/>
  <c r="K25" i="17"/>
  <c r="K531" i="17"/>
  <c r="K539" i="17"/>
  <c r="K547" i="17"/>
  <c r="K555" i="17"/>
  <c r="K563" i="17"/>
  <c r="K571" i="17"/>
  <c r="K579" i="17"/>
  <c r="K587" i="17"/>
  <c r="K595" i="17"/>
  <c r="K603" i="17"/>
  <c r="K611" i="17"/>
  <c r="K103" i="17"/>
  <c r="K159" i="17"/>
  <c r="K206" i="17"/>
  <c r="K289" i="17"/>
  <c r="K345" i="17"/>
  <c r="K425" i="17"/>
  <c r="K505" i="17"/>
  <c r="K532" i="17"/>
  <c r="K540" i="17"/>
  <c r="K548" i="17"/>
  <c r="K556" i="17"/>
  <c r="K564" i="17"/>
  <c r="K572" i="17"/>
  <c r="K580" i="17"/>
  <c r="K588" i="17"/>
  <c r="K596" i="17"/>
  <c r="K604" i="17"/>
  <c r="K612" i="17"/>
  <c r="K47" i="17"/>
  <c r="K95" i="17"/>
  <c r="K143" i="17"/>
  <c r="K190" i="17"/>
  <c r="K232" i="17"/>
  <c r="K257" i="17"/>
  <c r="K305" i="17"/>
  <c r="K353" i="17"/>
  <c r="K385" i="17"/>
  <c r="K441" i="17"/>
  <c r="K473" i="17"/>
  <c r="K529" i="17"/>
  <c r="K561" i="17"/>
  <c r="K593" i="17"/>
  <c r="K49" i="17"/>
  <c r="K65" i="17"/>
  <c r="J405" i="17"/>
  <c r="J437" i="17"/>
  <c r="K445" i="17"/>
  <c r="K453" i="17"/>
  <c r="K461" i="17"/>
  <c r="K469" i="17"/>
  <c r="K477" i="17"/>
  <c r="K485" i="17"/>
  <c r="K493" i="17"/>
  <c r="J501" i="17"/>
  <c r="K509" i="17"/>
  <c r="K517" i="17"/>
  <c r="K525" i="17"/>
  <c r="J533" i="17"/>
  <c r="K541" i="17"/>
  <c r="K549" i="17"/>
  <c r="K557" i="17"/>
  <c r="K565" i="17"/>
  <c r="K573" i="17"/>
  <c r="K581" i="17"/>
  <c r="K589" i="17"/>
  <c r="K597" i="17"/>
  <c r="K605" i="17"/>
  <c r="J613" i="17"/>
  <c r="K135" i="17"/>
  <c r="K281" i="17"/>
  <c r="K401" i="17"/>
  <c r="K598" i="17"/>
  <c r="K606" i="17"/>
  <c r="K614" i="17"/>
  <c r="K127" i="17"/>
  <c r="K182" i="17"/>
  <c r="K224" i="17"/>
  <c r="K265" i="17"/>
  <c r="K313" i="17"/>
  <c r="K361" i="17"/>
  <c r="K393" i="17"/>
  <c r="K449" i="17"/>
  <c r="K513" i="17"/>
  <c r="K553" i="17"/>
  <c r="K585" i="17"/>
  <c r="K423" i="17"/>
  <c r="K431" i="17"/>
  <c r="K439" i="17"/>
  <c r="K447" i="17"/>
  <c r="K455" i="17"/>
  <c r="K463" i="17"/>
  <c r="K471" i="17"/>
  <c r="K479" i="17"/>
  <c r="K487" i="17"/>
  <c r="K495" i="17"/>
  <c r="K503" i="17"/>
  <c r="K511" i="17"/>
  <c r="K519" i="17"/>
  <c r="K527" i="17"/>
  <c r="K535" i="17"/>
  <c r="K543" i="17"/>
  <c r="K551" i="17"/>
  <c r="K559" i="17"/>
  <c r="K567" i="17"/>
  <c r="K575" i="17"/>
  <c r="K583" i="17"/>
  <c r="K591" i="17"/>
  <c r="K599" i="17"/>
  <c r="K607" i="17"/>
  <c r="K615" i="17"/>
  <c r="K71" i="17"/>
  <c r="K119" i="17"/>
  <c r="K198" i="17"/>
  <c r="K248" i="17"/>
  <c r="K321" i="17"/>
  <c r="K377" i="17"/>
  <c r="K433" i="17"/>
  <c r="K457" i="17"/>
  <c r="K481" i="17"/>
  <c r="K521" i="17"/>
  <c r="K545" i="17"/>
  <c r="K577" i="17"/>
  <c r="K609"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432" i="17"/>
  <c r="J440" i="17"/>
  <c r="K448" i="17"/>
  <c r="K456" i="17"/>
  <c r="J464" i="17"/>
  <c r="K472" i="17"/>
  <c r="K480" i="17"/>
  <c r="K488" i="17"/>
  <c r="J496" i="17"/>
  <c r="K504" i="17"/>
  <c r="K512" i="17"/>
  <c r="K520" i="17"/>
  <c r="J528" i="17"/>
  <c r="J536" i="17"/>
  <c r="K544" i="17"/>
  <c r="K552" i="17"/>
  <c r="K560" i="17"/>
  <c r="K568" i="17"/>
  <c r="K576" i="17"/>
  <c r="K584" i="17"/>
  <c r="J592" i="17"/>
  <c r="K600" i="17"/>
  <c r="K608"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95" i="17"/>
  <c r="K536" i="17"/>
  <c r="J600" i="17"/>
  <c r="J591" i="17"/>
  <c r="J548" i="17"/>
  <c r="J425" i="17"/>
  <c r="J337" i="17"/>
  <c r="J231" i="17"/>
  <c r="J118" i="17"/>
  <c r="K102" i="17"/>
  <c r="J589" i="17"/>
  <c r="J547" i="17"/>
  <c r="J493" i="17"/>
  <c r="J424" i="17"/>
  <c r="J320" i="17"/>
  <c r="J214" i="17"/>
  <c r="J95" i="17"/>
  <c r="K533" i="17"/>
  <c r="K14" i="17"/>
  <c r="J580" i="17"/>
  <c r="J537" i="17"/>
  <c r="J479" i="17"/>
  <c r="J407" i="17"/>
  <c r="J297" i="17"/>
  <c r="J206" i="17"/>
  <c r="J94" i="17"/>
  <c r="K464" i="17"/>
  <c r="J579" i="17"/>
  <c r="J477" i="17"/>
  <c r="J401" i="17"/>
  <c r="J296" i="17"/>
  <c r="J189" i="17"/>
  <c r="J65" i="17"/>
  <c r="K440" i="17"/>
  <c r="J569" i="17"/>
  <c r="J527" i="17"/>
  <c r="J463" i="17"/>
  <c r="J384" i="17"/>
  <c r="J279" i="17"/>
  <c r="J159" i="17"/>
  <c r="J49" i="17"/>
  <c r="K368" i="17"/>
  <c r="J609" i="17"/>
  <c r="J568" i="17"/>
  <c r="J525" i="17"/>
  <c r="J461" i="17"/>
  <c r="J361" i="17"/>
  <c r="J273" i="17"/>
  <c r="J158" i="17"/>
  <c r="K613" i="17"/>
  <c r="K280" i="17"/>
  <c r="J608" i="17"/>
  <c r="J559" i="17"/>
  <c r="J511" i="17"/>
  <c r="J447" i="17"/>
  <c r="J360" i="17"/>
  <c r="J256" i="17"/>
  <c r="J141" i="17"/>
  <c r="K610" i="17"/>
  <c r="K205" i="17"/>
  <c r="J557" i="17"/>
  <c r="J509" i="17"/>
  <c r="J445" i="17"/>
  <c r="J343" i="17"/>
  <c r="J232" i="17"/>
  <c r="J135" i="17"/>
  <c r="K594" i="17"/>
  <c r="K181" i="17"/>
  <c r="K373" i="17"/>
  <c r="J37" i="17"/>
  <c r="K37" i="17"/>
  <c r="J117" i="17"/>
  <c r="K277" i="17"/>
  <c r="J22" i="17"/>
  <c r="K22" i="17"/>
  <c r="J615" i="17"/>
  <c r="J607" i="17"/>
  <c r="J598" i="17"/>
  <c r="J588" i="17"/>
  <c r="J577" i="17"/>
  <c r="J567" i="17"/>
  <c r="J556" i="17"/>
  <c r="J545" i="17"/>
  <c r="J535" i="17"/>
  <c r="J521" i="17"/>
  <c r="J505" i="17"/>
  <c r="J489" i="17"/>
  <c r="J473" i="17"/>
  <c r="J457" i="17"/>
  <c r="J441" i="17"/>
  <c r="J423" i="17"/>
  <c r="J400" i="17"/>
  <c r="J377" i="17"/>
  <c r="J359" i="17"/>
  <c r="J336" i="17"/>
  <c r="J313" i="17"/>
  <c r="J295" i="17"/>
  <c r="J272" i="17"/>
  <c r="J248" i="17"/>
  <c r="J230" i="17"/>
  <c r="J182" i="17"/>
  <c r="J157" i="17"/>
  <c r="J134" i="17"/>
  <c r="J111" i="17"/>
  <c r="J93" i="17"/>
  <c r="J47" i="17"/>
  <c r="K528" i="17"/>
  <c r="K43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K454" i="17"/>
  <c r="J454" i="17"/>
  <c r="K486" i="17"/>
  <c r="J486" i="17"/>
  <c r="K518" i="17"/>
  <c r="J518" i="17"/>
  <c r="K550" i="17"/>
  <c r="J550" i="17"/>
  <c r="J29" i="17"/>
  <c r="K29" i="17"/>
  <c r="J53" i="17"/>
  <c r="K53" i="17"/>
  <c r="J77" i="17"/>
  <c r="K77" i="17"/>
  <c r="K55" i="17"/>
  <c r="J55" i="17"/>
  <c r="K63" i="17"/>
  <c r="J63" i="17"/>
  <c r="J614" i="17"/>
  <c r="J606" i="17"/>
  <c r="J597" i="17"/>
  <c r="J587" i="17"/>
  <c r="J576" i="17"/>
  <c r="J565" i="17"/>
  <c r="J555" i="17"/>
  <c r="J544" i="17"/>
  <c r="J520" i="17"/>
  <c r="J504" i="17"/>
  <c r="J488" i="17"/>
  <c r="J472" i="17"/>
  <c r="J456" i="17"/>
  <c r="J417" i="17"/>
  <c r="J399" i="17"/>
  <c r="J376" i="17"/>
  <c r="J353" i="17"/>
  <c r="J335" i="17"/>
  <c r="J312" i="17"/>
  <c r="J289" i="17"/>
  <c r="J271" i="17"/>
  <c r="J247" i="17"/>
  <c r="J224" i="17"/>
  <c r="J204" i="17"/>
  <c r="J151" i="17"/>
  <c r="J133" i="17"/>
  <c r="J110" i="17"/>
  <c r="J87" i="17"/>
  <c r="J44" i="17"/>
  <c r="K592" i="17"/>
  <c r="K432"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K446" i="17"/>
  <c r="J446" i="17"/>
  <c r="K478" i="17"/>
  <c r="J478" i="17"/>
  <c r="K502" i="17"/>
  <c r="J502" i="17"/>
  <c r="K534" i="17"/>
  <c r="J534" i="17"/>
  <c r="K542" i="17"/>
  <c r="J542" i="17"/>
  <c r="K566" i="17"/>
  <c r="J566" i="17"/>
  <c r="K582" i="17"/>
  <c r="J582" i="17"/>
  <c r="K590" i="17"/>
  <c r="J590"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K522" i="17"/>
  <c r="J522" i="17"/>
  <c r="K530" i="17"/>
  <c r="J530" i="17"/>
  <c r="K538" i="17"/>
  <c r="J538" i="17"/>
  <c r="K546" i="17"/>
  <c r="J546" i="17"/>
  <c r="K554" i="17"/>
  <c r="J554" i="17"/>
  <c r="K562" i="17"/>
  <c r="J562" i="17"/>
  <c r="K570" i="17"/>
  <c r="J570" i="17"/>
  <c r="K578" i="17"/>
  <c r="J578" i="17"/>
  <c r="J586" i="17"/>
  <c r="K586" i="17"/>
  <c r="J602" i="17"/>
  <c r="K602" i="17"/>
  <c r="J605" i="17"/>
  <c r="J596" i="17"/>
  <c r="J585" i="17"/>
  <c r="J575" i="17"/>
  <c r="J564" i="17"/>
  <c r="J553" i="17"/>
  <c r="J543" i="17"/>
  <c r="J532" i="17"/>
  <c r="J519" i="17"/>
  <c r="J503" i="17"/>
  <c r="J487" i="17"/>
  <c r="J471" i="17"/>
  <c r="J455" i="17"/>
  <c r="J439" i="17"/>
  <c r="J416" i="17"/>
  <c r="J393" i="17"/>
  <c r="J375" i="17"/>
  <c r="J352" i="17"/>
  <c r="J329" i="17"/>
  <c r="J311" i="17"/>
  <c r="J288" i="17"/>
  <c r="J265" i="17"/>
  <c r="J246" i="17"/>
  <c r="J223" i="17"/>
  <c r="J198" i="17"/>
  <c r="J180" i="17"/>
  <c r="J150" i="17"/>
  <c r="J127" i="17"/>
  <c r="J109" i="17"/>
  <c r="J86" i="17"/>
  <c r="J28" i="17"/>
  <c r="K501"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438" i="17"/>
  <c r="J438" i="17"/>
  <c r="K470" i="17"/>
  <c r="J470" i="17"/>
  <c r="K510" i="17"/>
  <c r="J510" i="17"/>
  <c r="K574" i="17"/>
  <c r="J574"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K523" i="17"/>
  <c r="J523" i="17"/>
  <c r="J612" i="17"/>
  <c r="J604" i="17"/>
  <c r="J595" i="17"/>
  <c r="J584" i="17"/>
  <c r="J573" i="17"/>
  <c r="J563" i="17"/>
  <c r="J552" i="17"/>
  <c r="J541" i="17"/>
  <c r="J531" i="17"/>
  <c r="J517" i="17"/>
  <c r="J485" i="17"/>
  <c r="J469" i="17"/>
  <c r="J453" i="17"/>
  <c r="J433" i="17"/>
  <c r="J415" i="17"/>
  <c r="J392" i="17"/>
  <c r="J369" i="17"/>
  <c r="J351" i="17"/>
  <c r="J328" i="17"/>
  <c r="J305" i="17"/>
  <c r="J287" i="17"/>
  <c r="J264" i="17"/>
  <c r="J240" i="17"/>
  <c r="J222" i="17"/>
  <c r="J197" i="17"/>
  <c r="J167" i="17"/>
  <c r="J149" i="17"/>
  <c r="J126" i="17"/>
  <c r="J103" i="17"/>
  <c r="J85" i="17"/>
  <c r="J25" i="17"/>
  <c r="K496"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K430" i="17"/>
  <c r="J430" i="17"/>
  <c r="K462" i="17"/>
  <c r="J462" i="17"/>
  <c r="K494" i="17"/>
  <c r="J494" i="17"/>
  <c r="K526" i="17"/>
  <c r="J526" i="17"/>
  <c r="K558" i="17"/>
  <c r="J558" i="17"/>
  <c r="J21" i="17"/>
  <c r="K21" i="17"/>
  <c r="J45" i="17"/>
  <c r="K45" i="17"/>
  <c r="J69" i="17"/>
  <c r="K69" i="17"/>
  <c r="J59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K436" i="17"/>
  <c r="J436" i="17"/>
  <c r="K444" i="17"/>
  <c r="J444" i="17"/>
  <c r="K452" i="17"/>
  <c r="J452" i="17"/>
  <c r="K460" i="17"/>
  <c r="J460" i="17"/>
  <c r="K468" i="17"/>
  <c r="J468" i="17"/>
  <c r="K476" i="17"/>
  <c r="J476" i="17"/>
  <c r="K484" i="17"/>
  <c r="J484" i="17"/>
  <c r="K492" i="17"/>
  <c r="J492" i="17"/>
  <c r="K500" i="17"/>
  <c r="J500" i="17"/>
  <c r="K508" i="17"/>
  <c r="J508" i="17"/>
  <c r="K516" i="17"/>
  <c r="J516" i="17"/>
  <c r="K524" i="17"/>
  <c r="J524" i="17"/>
  <c r="J611" i="17"/>
  <c r="J603" i="17"/>
  <c r="J593" i="17"/>
  <c r="J583" i="17"/>
  <c r="J572" i="17"/>
  <c r="J561" i="17"/>
  <c r="J551" i="17"/>
  <c r="J540" i="17"/>
  <c r="J529" i="17"/>
  <c r="J513" i="17"/>
  <c r="J497" i="17"/>
  <c r="J481" i="17"/>
  <c r="J465" i="17"/>
  <c r="J449" i="17"/>
  <c r="J409" i="17"/>
  <c r="J391" i="17"/>
  <c r="J345" i="17"/>
  <c r="J327" i="17"/>
  <c r="J304" i="17"/>
  <c r="J281" i="17"/>
  <c r="J263" i="17"/>
  <c r="J216" i="17"/>
  <c r="J196" i="17"/>
  <c r="J143" i="17"/>
  <c r="J125" i="17"/>
  <c r="J71" i="17"/>
  <c r="J23" i="17"/>
  <c r="K309" i="17"/>
  <c r="K215" i="17"/>
  <c r="K43" i="17"/>
  <c r="K413" i="17"/>
  <c r="J413" i="17"/>
  <c r="K421" i="17"/>
  <c r="J421" i="17"/>
  <c r="J429" i="17"/>
  <c r="K429" i="17"/>
  <c r="J601" i="17"/>
  <c r="J581" i="17"/>
  <c r="J571" i="17"/>
  <c r="J560" i="17"/>
  <c r="J549" i="17"/>
  <c r="J539" i="17"/>
  <c r="J512" i="17"/>
  <c r="J480" i="17"/>
  <c r="J448" i="17"/>
  <c r="J431" i="17"/>
  <c r="J385" i="17"/>
  <c r="J367" i="17"/>
  <c r="J321" i="17"/>
  <c r="J303" i="17"/>
  <c r="J257" i="17"/>
  <c r="J238" i="17"/>
  <c r="J190" i="17"/>
  <c r="J165" i="17"/>
  <c r="J119" i="17"/>
  <c r="J101" i="17"/>
  <c r="J68" i="17"/>
  <c r="K212" i="17"/>
  <c r="K38" i="17"/>
  <c r="T100" i="15" l="1"/>
  <c r="T99" i="15"/>
  <c r="T98" i="15"/>
  <c r="T97" i="15"/>
  <c r="T96" i="15"/>
  <c r="T95" i="15"/>
  <c r="T94" i="15"/>
  <c r="T93" i="15"/>
  <c r="A583" i="20"/>
  <c r="I582" i="20"/>
  <c r="J582" i="20" s="1"/>
  <c r="M582" i="20" s="1"/>
  <c r="A582" i="20"/>
  <c r="H582" i="20" s="1"/>
  <c r="I581" i="20"/>
  <c r="J581" i="20" s="1"/>
  <c r="M581" i="20" s="1"/>
  <c r="A581" i="20"/>
  <c r="H581" i="20" s="1"/>
  <c r="I580" i="20"/>
  <c r="J580" i="20" s="1"/>
  <c r="M580" i="20" s="1"/>
  <c r="A580" i="20"/>
  <c r="H580" i="20" s="1"/>
  <c r="I579" i="20"/>
  <c r="J579" i="20" s="1"/>
  <c r="M579" i="20" s="1"/>
  <c r="A579" i="20"/>
  <c r="H579" i="20" s="1"/>
  <c r="I578" i="20"/>
  <c r="J578" i="20" s="1"/>
  <c r="M578" i="20" s="1"/>
  <c r="A578" i="20"/>
  <c r="H578" i="20" s="1"/>
  <c r="I577" i="20"/>
  <c r="J577" i="20" s="1"/>
  <c r="M577" i="20" s="1"/>
  <c r="A577" i="20"/>
  <c r="H577" i="20" s="1"/>
  <c r="I576" i="20"/>
  <c r="J576" i="20" s="1"/>
  <c r="M576" i="20" s="1"/>
  <c r="A576" i="20"/>
  <c r="H576" i="20" s="1"/>
  <c r="I575" i="20"/>
  <c r="J575" i="20" s="1"/>
  <c r="M575" i="20" s="1"/>
  <c r="A575" i="20"/>
  <c r="H575" i="20" s="1"/>
  <c r="I574" i="20"/>
  <c r="J574" i="20" s="1"/>
  <c r="M574" i="20" s="1"/>
  <c r="A574" i="20"/>
  <c r="H574" i="20" s="1"/>
  <c r="I573" i="20"/>
  <c r="J573" i="20" s="1"/>
  <c r="M573" i="20" s="1"/>
  <c r="A573" i="20"/>
  <c r="H573" i="20" s="1"/>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O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202" i="20" l="1"/>
  <c r="H42" i="20"/>
  <c r="H27" i="20"/>
  <c r="O46" i="20"/>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52" i="15"/>
  <c r="T53" i="15"/>
  <c r="T55" i="15"/>
  <c r="T56" i="15"/>
  <c r="T57" i="15"/>
  <c r="T59" i="15"/>
  <c r="T26" i="15"/>
  <c r="T27" i="15"/>
  <c r="T28" i="15"/>
  <c r="T29" i="15"/>
  <c r="T30" i="15"/>
  <c r="T31" i="15"/>
  <c r="T32" i="15"/>
  <c r="T33" i="15"/>
  <c r="T118" i="15"/>
  <c r="T117" i="15"/>
  <c r="T116" i="15"/>
  <c r="T115" i="15"/>
  <c r="T114" i="15"/>
  <c r="T113" i="15"/>
  <c r="T112" i="15"/>
  <c r="T111" i="15"/>
  <c r="T34" i="15" l="1"/>
  <c r="W13" i="20"/>
  <c r="V12" i="20"/>
  <c r="U13" i="19"/>
  <c r="T12" i="19"/>
  <c r="T119" i="15"/>
  <c r="T92" i="15"/>
  <c r="T110" i="15"/>
  <c r="T101" i="15"/>
  <c r="T60" i="15"/>
  <c r="A8" i="17"/>
  <c r="L8" i="17" s="1"/>
  <c r="A7" i="17"/>
  <c r="L7" i="17" s="1"/>
  <c r="C22" i="3"/>
  <c r="K7" i="17" l="1"/>
  <c r="J7" i="17"/>
  <c r="J8" i="17"/>
  <c r="K8" i="17"/>
  <c r="X13" i="20"/>
  <c r="W12" i="20"/>
  <c r="V13" i="19"/>
  <c r="U12" i="19"/>
  <c r="H1424" i="1"/>
  <c r="H1425" i="1"/>
  <c r="H1426" i="1"/>
  <c r="H1427" i="1"/>
  <c r="H1428" i="1"/>
  <c r="H1429" i="1"/>
  <c r="H1430" i="1"/>
  <c r="H1431" i="1"/>
  <c r="H1432" i="1"/>
  <c r="H1433" i="1"/>
  <c r="H1416" i="1"/>
  <c r="H1417" i="1"/>
  <c r="H1418" i="1"/>
  <c r="H1419" i="1"/>
  <c r="H1420" i="1"/>
  <c r="H1421" i="1"/>
  <c r="H1422" i="1"/>
  <c r="H1423" i="1"/>
  <c r="H1399" i="1"/>
  <c r="H1400" i="1"/>
  <c r="H1401" i="1"/>
  <c r="H1402" i="1"/>
  <c r="H1403" i="1"/>
  <c r="H1404" i="1"/>
  <c r="H1405" i="1"/>
  <c r="H1406" i="1"/>
  <c r="H1407" i="1"/>
  <c r="H1408" i="1"/>
  <c r="H1409" i="1"/>
  <c r="H1410" i="1"/>
  <c r="H1411" i="1"/>
  <c r="H1412" i="1"/>
  <c r="H1413" i="1"/>
  <c r="H1414" i="1"/>
  <c r="H1415" i="1"/>
  <c r="H1380" i="1"/>
  <c r="H1381" i="1"/>
  <c r="H1382" i="1"/>
  <c r="H1383" i="1"/>
  <c r="H1384" i="1"/>
  <c r="H1385" i="1"/>
  <c r="H1386" i="1"/>
  <c r="H1387" i="1"/>
  <c r="H1388" i="1"/>
  <c r="H1389" i="1"/>
  <c r="H1390" i="1"/>
  <c r="H1391" i="1"/>
  <c r="H1392" i="1"/>
  <c r="H1393" i="1"/>
  <c r="H1394" i="1"/>
  <c r="H1395" i="1"/>
  <c r="H1396" i="1"/>
  <c r="H1397" i="1"/>
  <c r="H1398"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C23" i="3"/>
  <c r="C21" i="3"/>
  <c r="C20" i="3"/>
  <c r="J404" i="1" s="1"/>
  <c r="C19" i="3"/>
  <c r="C18" i="3"/>
  <c r="J1193" i="1" s="1"/>
  <c r="C17" i="3"/>
  <c r="C16" i="3"/>
  <c r="J964" i="1" s="1"/>
  <c r="J1137" i="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K367" i="20" s="1"/>
  <c r="L367" i="20" s="1"/>
  <c r="O1145" i="1"/>
  <c r="W1145" i="1" s="1"/>
  <c r="K366" i="20" s="1"/>
  <c r="L366" i="20" s="1"/>
  <c r="O1144" i="1"/>
  <c r="W1144" i="1" s="1"/>
  <c r="K365" i="20" s="1"/>
  <c r="L365" i="20" s="1"/>
  <c r="O1143" i="1"/>
  <c r="W1143" i="1" s="1"/>
  <c r="K364" i="20" s="1"/>
  <c r="L364" i="20" s="1"/>
  <c r="O1142" i="1"/>
  <c r="W1142" i="1" s="1"/>
  <c r="K363" i="20" s="1"/>
  <c r="L363" i="20" s="1"/>
  <c r="O1141" i="1"/>
  <c r="W1141" i="1" s="1"/>
  <c r="K362" i="20" s="1"/>
  <c r="L362" i="20" s="1"/>
  <c r="O1140" i="1"/>
  <c r="W1140" i="1" s="1"/>
  <c r="K361" i="20" s="1"/>
  <c r="L361" i="20" s="1"/>
  <c r="O1139" i="1"/>
  <c r="W1139" i="1" s="1"/>
  <c r="K360" i="20" s="1"/>
  <c r="L360" i="20" s="1"/>
  <c r="O1138" i="1"/>
  <c r="W1138" i="1" s="1"/>
  <c r="K359" i="20" s="1"/>
  <c r="L359" i="20" s="1"/>
  <c r="O1137" i="1"/>
  <c r="W1137" i="1" s="1"/>
  <c r="K358" i="20" s="1"/>
  <c r="L358" i="20" s="1"/>
  <c r="O1136" i="1"/>
  <c r="W1136" i="1" s="1"/>
  <c r="K357" i="20" s="1"/>
  <c r="L357" i="20" s="1"/>
  <c r="O1135" i="1"/>
  <c r="W1135" i="1" s="1"/>
  <c r="K356" i="20" s="1"/>
  <c r="L356" i="20" s="1"/>
  <c r="O1134" i="1"/>
  <c r="W1134" i="1" s="1"/>
  <c r="K355" i="20" s="1"/>
  <c r="L355" i="20" s="1"/>
  <c r="O1133" i="1"/>
  <c r="W1133" i="1" s="1"/>
  <c r="K354" i="20" s="1"/>
  <c r="L354" i="20" s="1"/>
  <c r="O1132" i="1"/>
  <c r="W1132" i="1" s="1"/>
  <c r="K353" i="20" s="1"/>
  <c r="L353" i="20" s="1"/>
  <c r="O1131" i="1"/>
  <c r="W1131" i="1" s="1"/>
  <c r="K352" i="20" s="1"/>
  <c r="L352" i="20" s="1"/>
  <c r="O1130" i="1"/>
  <c r="W1130" i="1" s="1"/>
  <c r="O1129" i="1"/>
  <c r="W1129" i="1" s="1"/>
  <c r="O1128" i="1"/>
  <c r="W1128" i="1" s="1"/>
  <c r="O1127" i="1"/>
  <c r="W1127" i="1" s="1"/>
  <c r="O1126" i="1"/>
  <c r="W1126" i="1" s="1"/>
  <c r="O1125" i="1"/>
  <c r="W1125" i="1" s="1"/>
  <c r="O1124" i="1"/>
  <c r="W1124" i="1" s="1"/>
  <c r="K348" i="20" s="1"/>
  <c r="L348" i="20" s="1"/>
  <c r="O1123" i="1"/>
  <c r="W1123" i="1" s="1"/>
  <c r="K347" i="20" s="1"/>
  <c r="L347" i="20" s="1"/>
  <c r="O1122" i="1"/>
  <c r="W1122" i="1" s="1"/>
  <c r="O1121" i="1"/>
  <c r="W1121" i="1" s="1"/>
  <c r="O1120" i="1"/>
  <c r="W1120" i="1" s="1"/>
  <c r="K345" i="20" s="1"/>
  <c r="L345" i="20" s="1"/>
  <c r="O1119" i="1"/>
  <c r="W1119" i="1" s="1"/>
  <c r="K344" i="20" s="1"/>
  <c r="L344" i="20" s="1"/>
  <c r="O1118" i="1"/>
  <c r="W1118" i="1" s="1"/>
  <c r="K343" i="20" s="1"/>
  <c r="L343" i="20" s="1"/>
  <c r="O1117" i="1"/>
  <c r="W1117" i="1" s="1"/>
  <c r="K342" i="20" s="1"/>
  <c r="L342" i="20" s="1"/>
  <c r="O1116" i="1"/>
  <c r="W1116" i="1" s="1"/>
  <c r="O1115" i="1"/>
  <c r="W1115" i="1" s="1"/>
  <c r="O1114" i="1"/>
  <c r="W1114" i="1" s="1"/>
  <c r="K340" i="20" s="1"/>
  <c r="L340" i="20" s="1"/>
  <c r="O1113" i="1"/>
  <c r="W1113" i="1" s="1"/>
  <c r="K339" i="20" s="1"/>
  <c r="L339" i="20" s="1"/>
  <c r="O1112" i="1"/>
  <c r="W1112" i="1" s="1"/>
  <c r="K338" i="20" s="1"/>
  <c r="L338" i="20" s="1"/>
  <c r="O1111" i="1"/>
  <c r="W1111" i="1" s="1"/>
  <c r="K337" i="20" s="1"/>
  <c r="L337" i="20" s="1"/>
  <c r="O1110" i="1"/>
  <c r="W1110" i="1" s="1"/>
  <c r="K336" i="20" s="1"/>
  <c r="L336" i="20" s="1"/>
  <c r="O1109" i="1"/>
  <c r="W1109" i="1" s="1"/>
  <c r="K335" i="20" s="1"/>
  <c r="L335" i="20" s="1"/>
  <c r="O1108" i="1"/>
  <c r="W1108" i="1" s="1"/>
  <c r="K334" i="20" s="1"/>
  <c r="L334" i="20" s="1"/>
  <c r="O1107" i="1"/>
  <c r="W1107" i="1" s="1"/>
  <c r="K333" i="20" s="1"/>
  <c r="L333" i="20" s="1"/>
  <c r="O1106" i="1"/>
  <c r="W1106" i="1" s="1"/>
  <c r="K332" i="20" s="1"/>
  <c r="L332" i="20" s="1"/>
  <c r="O1105" i="1"/>
  <c r="W1105" i="1" s="1"/>
  <c r="K331" i="20" s="1"/>
  <c r="L331" i="20" s="1"/>
  <c r="O1104" i="1"/>
  <c r="W1104" i="1" s="1"/>
  <c r="K330" i="20" s="1"/>
  <c r="L330" i="20" s="1"/>
  <c r="O1103" i="1"/>
  <c r="W1103" i="1" s="1"/>
  <c r="K329" i="20" s="1"/>
  <c r="L329" i="20"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K323" i="20" s="1"/>
  <c r="L323" i="20" s="1"/>
  <c r="O1091" i="1"/>
  <c r="W1091" i="1" s="1"/>
  <c r="O1090" i="1"/>
  <c r="W1090" i="1" s="1"/>
  <c r="O1089" i="1"/>
  <c r="W1089" i="1" s="1"/>
  <c r="K321" i="20" s="1"/>
  <c r="L321" i="20" s="1"/>
  <c r="O1088" i="1"/>
  <c r="W1088" i="1" s="1"/>
  <c r="O1087" i="1"/>
  <c r="W1087" i="1" s="1"/>
  <c r="O1086" i="1"/>
  <c r="W1086" i="1" s="1"/>
  <c r="O1085" i="1"/>
  <c r="W1085" i="1" s="1"/>
  <c r="O1084" i="1"/>
  <c r="W1084" i="1" s="1"/>
  <c r="O1083" i="1"/>
  <c r="W1083" i="1" s="1"/>
  <c r="O1082" i="1"/>
  <c r="W1082" i="1" s="1"/>
  <c r="K317" i="20" s="1"/>
  <c r="L317" i="20" s="1"/>
  <c r="O1081" i="1"/>
  <c r="W1081" i="1" s="1"/>
  <c r="O1080" i="1"/>
  <c r="W1080" i="1" s="1"/>
  <c r="O1079" i="1"/>
  <c r="W1079" i="1" s="1"/>
  <c r="K315" i="20" s="1"/>
  <c r="L315" i="20"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K280" i="20" s="1"/>
  <c r="L280" i="20" s="1"/>
  <c r="O1008" i="1"/>
  <c r="W1008" i="1" s="1"/>
  <c r="K278" i="20" s="1"/>
  <c r="L278" i="20" s="1"/>
  <c r="O1007" i="1"/>
  <c r="W1007" i="1" s="1"/>
  <c r="K277" i="20" s="1"/>
  <c r="L277" i="20" s="1"/>
  <c r="O1006" i="1"/>
  <c r="W1006" i="1" s="1"/>
  <c r="O1005" i="1"/>
  <c r="W1005" i="1" s="1"/>
  <c r="O1004" i="1"/>
  <c r="W1004" i="1" s="1"/>
  <c r="O1003" i="1"/>
  <c r="W1003" i="1" s="1"/>
  <c r="O1002" i="1"/>
  <c r="W1002" i="1" s="1"/>
  <c r="K274" i="20" s="1"/>
  <c r="L274" i="20" s="1"/>
  <c r="O1001" i="1"/>
  <c r="W1001" i="1" s="1"/>
  <c r="K273" i="20" s="1"/>
  <c r="L273" i="20" s="1"/>
  <c r="O1000" i="1"/>
  <c r="W1000" i="1" s="1"/>
  <c r="K272" i="20" s="1"/>
  <c r="L272" i="20" s="1"/>
  <c r="O999" i="1"/>
  <c r="W999" i="1" s="1"/>
  <c r="K271" i="20" s="1"/>
  <c r="L271" i="20" s="1"/>
  <c r="O998" i="1"/>
  <c r="W998" i="1" s="1"/>
  <c r="O997" i="1"/>
  <c r="W997" i="1" s="1"/>
  <c r="O996" i="1"/>
  <c r="W996" i="1" s="1"/>
  <c r="O995" i="1"/>
  <c r="W995" i="1" s="1"/>
  <c r="O994" i="1"/>
  <c r="W994" i="1" s="1"/>
  <c r="O993" i="1"/>
  <c r="W993" i="1" s="1"/>
  <c r="O992" i="1"/>
  <c r="W992" i="1" s="1"/>
  <c r="K267" i="20" s="1"/>
  <c r="L267" i="20" s="1"/>
  <c r="O991" i="1"/>
  <c r="W991" i="1" s="1"/>
  <c r="O990" i="1"/>
  <c r="W990" i="1" s="1"/>
  <c r="O989" i="1"/>
  <c r="W989" i="1" s="1"/>
  <c r="O988" i="1"/>
  <c r="W988" i="1" s="1"/>
  <c r="O987" i="1"/>
  <c r="W987" i="1" s="1"/>
  <c r="O986" i="1"/>
  <c r="W986" i="1" s="1"/>
  <c r="O985" i="1"/>
  <c r="W985" i="1" s="1"/>
  <c r="O984" i="1"/>
  <c r="W984" i="1" s="1"/>
  <c r="O983" i="1"/>
  <c r="W983" i="1" s="1"/>
  <c r="O982" i="1"/>
  <c r="W982" i="1" s="1"/>
  <c r="O981" i="1"/>
  <c r="W981" i="1" s="1"/>
  <c r="K261" i="20" s="1"/>
  <c r="L261" i="20" s="1"/>
  <c r="O980" i="1"/>
  <c r="W980" i="1" s="1"/>
  <c r="O979" i="1"/>
  <c r="W979" i="1"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247" i="20" s="1"/>
  <c r="L247" i="20" s="1"/>
  <c r="O953" i="1"/>
  <c r="W953" i="1" s="1"/>
  <c r="O952" i="1"/>
  <c r="W952" i="1" s="1"/>
  <c r="O951" i="1"/>
  <c r="W951" i="1" s="1"/>
  <c r="O950" i="1"/>
  <c r="W950" i="1" s="1"/>
  <c r="O949" i="1"/>
  <c r="W949" i="1" s="1"/>
  <c r="K244" i="20" s="1"/>
  <c r="L244" i="20"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W934" i="1"/>
  <c r="W933" i="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K440" i="20" s="1"/>
  <c r="L440" i="20"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K424" i="20" s="1"/>
  <c r="L424" i="20"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K391" i="20" s="1"/>
  <c r="L391" i="20"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K372" i="20"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K90" i="20" s="1"/>
  <c r="L90" i="20" s="1"/>
  <c r="M90" i="20"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K81" i="20" s="1"/>
  <c r="L81" i="20" s="1"/>
  <c r="O585" i="1"/>
  <c r="W585" i="1" s="1"/>
  <c r="O584" i="1"/>
  <c r="W584" i="1" s="1"/>
  <c r="O583" i="1"/>
  <c r="W583" i="1" s="1"/>
  <c r="O582" i="1"/>
  <c r="W582" i="1" s="1"/>
  <c r="O581" i="1"/>
  <c r="W581" i="1" s="1"/>
  <c r="O580" i="1"/>
  <c r="W580" i="1" s="1"/>
  <c r="O579" i="1"/>
  <c r="W579" i="1" s="1"/>
  <c r="K78" i="20" s="1"/>
  <c r="L78" i="20" s="1"/>
  <c r="M78" i="20" s="1"/>
  <c r="O578" i="1"/>
  <c r="W578" i="1" s="1"/>
  <c r="K77" i="20" s="1"/>
  <c r="L77" i="20" s="1"/>
  <c r="M77" i="20"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71" i="20" s="1"/>
  <c r="L71" i="20" s="1"/>
  <c r="M71"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K60" i="20" s="1"/>
  <c r="L60" i="20" s="1"/>
  <c r="O530" i="1"/>
  <c r="W530" i="1" s="1"/>
  <c r="O529" i="1"/>
  <c r="W529" i="1" s="1"/>
  <c r="O528" i="1"/>
  <c r="W528" i="1" s="1"/>
  <c r="O527" i="1"/>
  <c r="W527" i="1" s="1"/>
  <c r="O526" i="1"/>
  <c r="W526" i="1" s="1"/>
  <c r="O525" i="1"/>
  <c r="W525" i="1" s="1"/>
  <c r="O524" i="1"/>
  <c r="W524" i="1" s="1"/>
  <c r="K57" i="20" s="1"/>
  <c r="L57" i="20" s="1"/>
  <c r="M57" i="20" s="1"/>
  <c r="O523" i="1"/>
  <c r="W523" i="1" s="1"/>
  <c r="K56" i="20" s="1"/>
  <c r="L56" i="20" s="1"/>
  <c r="M56" i="20"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46" i="20" s="1"/>
  <c r="L46" i="20" s="1"/>
  <c r="M46" i="20" s="1"/>
  <c r="O494" i="1"/>
  <c r="W494" i="1" s="1"/>
  <c r="O493" i="1"/>
  <c r="W493" i="1" s="1"/>
  <c r="O492" i="1"/>
  <c r="W492" i="1" s="1"/>
  <c r="O491" i="1"/>
  <c r="W491" i="1" s="1"/>
  <c r="O490" i="1"/>
  <c r="W490" i="1" s="1"/>
  <c r="O489" i="1"/>
  <c r="W489" i="1" s="1"/>
  <c r="O488" i="1"/>
  <c r="W488" i="1" s="1"/>
  <c r="O487" i="1"/>
  <c r="W487" i="1" s="1"/>
  <c r="O486" i="1"/>
  <c r="W486" i="1" s="1"/>
  <c r="O485" i="1"/>
  <c r="W485" i="1" s="1"/>
  <c r="K42" i="20" s="1"/>
  <c r="O463" i="1"/>
  <c r="O462" i="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524" i="1" l="1"/>
  <c r="J931" i="1"/>
  <c r="J930" i="1"/>
  <c r="J932" i="1"/>
  <c r="J929" i="1"/>
  <c r="G198" i="20"/>
  <c r="G176" i="17" s="1"/>
  <c r="G200" i="20"/>
  <c r="G178" i="17" s="1"/>
  <c r="G197" i="20"/>
  <c r="G175" i="17" s="1"/>
  <c r="G201" i="20"/>
  <c r="G179" i="17" s="1"/>
  <c r="G196" i="20"/>
  <c r="G174" i="17" s="1"/>
  <c r="G199" i="20"/>
  <c r="G177" i="17" s="1"/>
  <c r="G265" i="20"/>
  <c r="G241" i="17" s="1"/>
  <c r="G234" i="20"/>
  <c r="G210" i="17" s="1"/>
  <c r="G235" i="20"/>
  <c r="G211" i="17" s="1"/>
  <c r="J74" i="1"/>
  <c r="J479" i="1"/>
  <c r="J471" i="1"/>
  <c r="J484" i="1"/>
  <c r="J476" i="1"/>
  <c r="J468" i="1"/>
  <c r="J481" i="1"/>
  <c r="J473" i="1"/>
  <c r="J465" i="1"/>
  <c r="J477" i="1"/>
  <c r="J469" i="1"/>
  <c r="J478" i="1"/>
  <c r="J470" i="1"/>
  <c r="J483" i="1"/>
  <c r="J475" i="1"/>
  <c r="J467" i="1"/>
  <c r="J474" i="1"/>
  <c r="J466" i="1"/>
  <c r="J480" i="1"/>
  <c r="J472" i="1"/>
  <c r="J464" i="1"/>
  <c r="J482" i="1"/>
  <c r="W462" i="1"/>
  <c r="W463" i="1"/>
  <c r="K202" i="20" s="1"/>
  <c r="L202" i="20" s="1"/>
  <c r="J1058" i="1"/>
  <c r="J1016" i="1"/>
  <c r="J965" i="1"/>
  <c r="J15" i="1"/>
  <c r="G279" i="20"/>
  <c r="G255" i="17" s="1"/>
  <c r="J692" i="1"/>
  <c r="J858" i="1"/>
  <c r="J1194" i="1"/>
  <c r="J792" i="1"/>
  <c r="J1057" i="1"/>
  <c r="J1009" i="1"/>
  <c r="J1097" i="1"/>
  <c r="J320" i="1"/>
  <c r="J1086" i="1"/>
  <c r="J618" i="1"/>
  <c r="J270" i="1"/>
  <c r="J944" i="1"/>
  <c r="J259" i="1"/>
  <c r="J90"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212" i="1"/>
  <c r="J1015" i="1"/>
  <c r="J693" i="1"/>
  <c r="J653" i="1"/>
  <c r="J1340" i="1"/>
  <c r="J763" i="1"/>
  <c r="J1313" i="1"/>
  <c r="J701" i="1"/>
  <c r="K368" i="20"/>
  <c r="L368" i="20" s="1"/>
  <c r="K257" i="20"/>
  <c r="L257" i="20" s="1"/>
  <c r="K270" i="20"/>
  <c r="L270" i="20" s="1"/>
  <c r="K29" i="20"/>
  <c r="L29" i="20" s="1"/>
  <c r="K33" i="20"/>
  <c r="L33" i="20" s="1"/>
  <c r="K37" i="20"/>
  <c r="L37"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338" i="1"/>
  <c r="J1210" i="1"/>
  <c r="J1096" i="1"/>
  <c r="J821" i="1"/>
  <c r="J596" i="1"/>
  <c r="J1306" i="1"/>
  <c r="J1164" i="1"/>
  <c r="J922" i="1"/>
  <c r="J784" i="1"/>
  <c r="J1260" i="1"/>
  <c r="J1162" i="1"/>
  <c r="J904" i="1"/>
  <c r="J767" i="1"/>
  <c r="J1258" i="1"/>
  <c r="J886" i="1"/>
  <c r="J1361" i="1"/>
  <c r="J1242" i="1"/>
  <c r="J1104" i="1"/>
  <c r="J878" i="1"/>
  <c r="J1356" i="1"/>
  <c r="J1241" i="1"/>
  <c r="J1099" i="1"/>
  <c r="J997" i="1"/>
  <c r="J862" i="1"/>
  <c r="K498" i="20"/>
  <c r="L498" i="20" s="1"/>
  <c r="K502" i="20"/>
  <c r="L502" i="20" s="1"/>
  <c r="K510" i="20"/>
  <c r="L510" i="20" s="1"/>
  <c r="K518" i="20"/>
  <c r="L518" i="20" s="1"/>
  <c r="K526" i="20"/>
  <c r="L526" i="20" s="1"/>
  <c r="K99" i="20"/>
  <c r="L99" i="20" s="1"/>
  <c r="K113" i="20"/>
  <c r="L113" i="20" s="1"/>
  <c r="K129" i="20"/>
  <c r="L129" i="20" s="1"/>
  <c r="K143" i="20"/>
  <c r="L143" i="20" s="1"/>
  <c r="K159" i="20"/>
  <c r="L159" i="20" s="1"/>
  <c r="K175" i="20"/>
  <c r="L175" i="20" s="1"/>
  <c r="K183" i="20"/>
  <c r="L183" i="20" s="1"/>
  <c r="K49" i="20"/>
  <c r="L49" i="20" s="1"/>
  <c r="K73" i="20"/>
  <c r="L73" i="20" s="1"/>
  <c r="K83" i="20"/>
  <c r="L83" i="20" s="1"/>
  <c r="K378" i="20"/>
  <c r="L378" i="20" s="1"/>
  <c r="K386" i="20"/>
  <c r="L386" i="20" s="1"/>
  <c r="K400" i="20"/>
  <c r="L400" i="20" s="1"/>
  <c r="K438" i="20"/>
  <c r="L438" i="20" s="1"/>
  <c r="K452" i="20"/>
  <c r="L452" i="20" s="1"/>
  <c r="K121" i="20"/>
  <c r="L121" i="20" s="1"/>
  <c r="K135" i="20"/>
  <c r="L135" i="20" s="1"/>
  <c r="K151" i="20"/>
  <c r="L151" i="20" s="1"/>
  <c r="K167" i="20"/>
  <c r="L167" i="20" s="1"/>
  <c r="K191" i="20"/>
  <c r="L191" i="20" s="1"/>
  <c r="K43" i="20"/>
  <c r="L43" i="20" s="1"/>
  <c r="K67" i="20"/>
  <c r="L67" i="20" s="1"/>
  <c r="K392" i="20"/>
  <c r="L392" i="20" s="1"/>
  <c r="K408" i="20"/>
  <c r="L408" i="20" s="1"/>
  <c r="K416" i="20"/>
  <c r="L416" i="20" s="1"/>
  <c r="K430" i="20"/>
  <c r="L430" i="20" s="1"/>
  <c r="K444" i="20"/>
  <c r="L444" i="20" s="1"/>
  <c r="K205" i="20"/>
  <c r="L205" i="20" s="1"/>
  <c r="K209" i="20"/>
  <c r="L209" i="20" s="1"/>
  <c r="K28" i="20"/>
  <c r="L28" i="20" s="1"/>
  <c r="K32" i="20"/>
  <c r="L32" i="20" s="1"/>
  <c r="K36" i="20"/>
  <c r="L36" i="20" s="1"/>
  <c r="K276" i="20"/>
  <c r="L276"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27" i="20"/>
  <c r="L527" i="20" s="1"/>
  <c r="K44" i="20"/>
  <c r="L44" i="20" s="1"/>
  <c r="K68" i="20"/>
  <c r="L68" i="20" s="1"/>
  <c r="K84" i="20"/>
  <c r="L84" i="20" s="1"/>
  <c r="K387" i="20"/>
  <c r="L387" i="20" s="1"/>
  <c r="K401" i="20"/>
  <c r="L401" i="20" s="1"/>
  <c r="K417" i="20"/>
  <c r="L417" i="20" s="1"/>
  <c r="K439" i="20"/>
  <c r="L439" i="20" s="1"/>
  <c r="K453" i="20"/>
  <c r="L45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0" i="20"/>
  <c r="L520" i="20" s="1"/>
  <c r="K528" i="20"/>
  <c r="L52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L457" i="20" s="1"/>
  <c r="K465" i="20"/>
  <c r="L465" i="20" s="1"/>
  <c r="K473" i="20"/>
  <c r="L473" i="20" s="1"/>
  <c r="K481" i="20"/>
  <c r="L481" i="20" s="1"/>
  <c r="K489" i="20"/>
  <c r="L489" i="20" s="1"/>
  <c r="K497" i="20"/>
  <c r="L497" i="20" s="1"/>
  <c r="K501" i="20"/>
  <c r="L501" i="20" s="1"/>
  <c r="K509" i="20"/>
  <c r="L509" i="20" s="1"/>
  <c r="K517" i="20"/>
  <c r="L517" i="20" s="1"/>
  <c r="K525" i="20"/>
  <c r="L525" i="20" s="1"/>
  <c r="K507" i="20"/>
  <c r="L507" i="20" s="1"/>
  <c r="K515" i="20"/>
  <c r="L51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53" i="20"/>
  <c r="L53" i="20" s="1"/>
  <c r="K63" i="20"/>
  <c r="L63" i="20" s="1"/>
  <c r="K87" i="20"/>
  <c r="L87" i="20" s="1"/>
  <c r="K93" i="20"/>
  <c r="L93"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2" i="20"/>
  <c r="L52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3" i="20"/>
  <c r="L523" i="20" s="1"/>
  <c r="L27" i="20"/>
  <c r="L37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1" i="20"/>
  <c r="L52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4" i="20"/>
  <c r="L52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26" i="1"/>
  <c r="J240" i="1"/>
  <c r="J208" i="1"/>
  <c r="J183" i="1"/>
  <c r="J39" i="1"/>
  <c r="J1111" i="1"/>
  <c r="J1085" i="1"/>
  <c r="J943" i="1"/>
  <c r="J885" i="1"/>
  <c r="J820" i="1"/>
  <c r="J634" i="1"/>
  <c r="J231" i="1"/>
  <c r="J215" i="1"/>
  <c r="J190" i="1"/>
  <c r="J38" i="1"/>
  <c r="J1110" i="1"/>
  <c r="J1102" i="1"/>
  <c r="J1092" i="1"/>
  <c r="J1084" i="1"/>
  <c r="J995" i="1"/>
  <c r="J928" i="1"/>
  <c r="J920" i="1"/>
  <c r="J902" i="1"/>
  <c r="J884" i="1"/>
  <c r="J876" i="1"/>
  <c r="J827" i="1"/>
  <c r="J819" i="1"/>
  <c r="J790" i="1"/>
  <c r="J781" i="1"/>
  <c r="J755" i="1"/>
  <c r="J685" i="1"/>
  <c r="J641" i="1"/>
  <c r="J633" i="1"/>
  <c r="J624" i="1"/>
  <c r="J616" i="1"/>
  <c r="J267" i="1"/>
  <c r="J254" i="1"/>
  <c r="J246" i="1"/>
  <c r="J238" i="1"/>
  <c r="J230" i="1"/>
  <c r="J222" i="1"/>
  <c r="J214" i="1"/>
  <c r="J206" i="1"/>
  <c r="J197" i="1"/>
  <c r="J189" i="1"/>
  <c r="J181" i="1"/>
  <c r="J48" i="1"/>
  <c r="J37" i="1"/>
  <c r="J22" i="1"/>
  <c r="J635" i="1"/>
  <c r="J232" i="1"/>
  <c r="J216" i="1"/>
  <c r="J191" i="1"/>
  <c r="J28" i="1"/>
  <c r="J921" i="1"/>
  <c r="J877" i="1"/>
  <c r="J783" i="1"/>
  <c r="J642" i="1"/>
  <c r="J617" i="1"/>
  <c r="J255" i="1"/>
  <c r="J239" i="1"/>
  <c r="J207" i="1"/>
  <c r="J182" i="1"/>
  <c r="J52" i="1"/>
  <c r="J1109" i="1"/>
  <c r="J1101" i="1"/>
  <c r="J1091" i="1"/>
  <c r="J1083" i="1"/>
  <c r="J994" i="1"/>
  <c r="J927" i="1"/>
  <c r="J919" i="1"/>
  <c r="J901" i="1"/>
  <c r="J883" i="1"/>
  <c r="J875" i="1"/>
  <c r="J826" i="1"/>
  <c r="J809" i="1"/>
  <c r="J789" i="1"/>
  <c r="J780" i="1"/>
  <c r="J747" i="1"/>
  <c r="J675" i="1"/>
  <c r="J640" i="1"/>
  <c r="J632" i="1"/>
  <c r="J623" i="1"/>
  <c r="J615" i="1"/>
  <c r="J589" i="1"/>
  <c r="J266" i="1"/>
  <c r="J253" i="1"/>
  <c r="J245" i="1"/>
  <c r="J237" i="1"/>
  <c r="J229" i="1"/>
  <c r="J221" i="1"/>
  <c r="J213" i="1"/>
  <c r="J205" i="1"/>
  <c r="J196" i="1"/>
  <c r="J188" i="1"/>
  <c r="J180" i="1"/>
  <c r="J47" i="1"/>
  <c r="J36" i="1"/>
  <c r="J21" i="1"/>
  <c r="J791" i="1"/>
  <c r="J1108" i="1"/>
  <c r="J1100" i="1"/>
  <c r="J1090" i="1"/>
  <c r="J1082" i="1"/>
  <c r="J1001" i="1"/>
  <c r="J993" i="1"/>
  <c r="J926" i="1"/>
  <c r="J918" i="1"/>
  <c r="J900" i="1"/>
  <c r="J882" i="1"/>
  <c r="J874" i="1"/>
  <c r="J825" i="1"/>
  <c r="J808" i="1"/>
  <c r="J788" i="1"/>
  <c r="J779" i="1"/>
  <c r="J739" i="1"/>
  <c r="J674" i="1"/>
  <c r="J639" i="1"/>
  <c r="J631" i="1"/>
  <c r="J622" i="1"/>
  <c r="J614" i="1"/>
  <c r="J588" i="1"/>
  <c r="J265" i="1"/>
  <c r="J252" i="1"/>
  <c r="J244" i="1"/>
  <c r="J236" i="1"/>
  <c r="J228" i="1"/>
  <c r="J220" i="1"/>
  <c r="J212" i="1"/>
  <c r="J204" i="1"/>
  <c r="J195" i="1"/>
  <c r="J187" i="1"/>
  <c r="J46" i="1"/>
  <c r="J32" i="1"/>
  <c r="J20" i="1"/>
  <c r="J664" i="1"/>
  <c r="J606" i="1"/>
  <c r="J248" i="1"/>
  <c r="J224" i="1"/>
  <c r="J200" i="1"/>
  <c r="J53" i="1"/>
  <c r="J1103" i="1"/>
  <c r="J996" i="1"/>
  <c r="J625" i="1"/>
  <c r="J247" i="1"/>
  <c r="J223" i="1"/>
  <c r="J199" i="1"/>
  <c r="J23" i="1"/>
  <c r="J1107" i="1"/>
  <c r="J1089" i="1"/>
  <c r="J1081" i="1"/>
  <c r="J1000" i="1"/>
  <c r="J992" i="1"/>
  <c r="J925" i="1"/>
  <c r="J917" i="1"/>
  <c r="J899" i="1"/>
  <c r="J881" i="1"/>
  <c r="J873" i="1"/>
  <c r="J824" i="1"/>
  <c r="J807" i="1"/>
  <c r="J787" i="1"/>
  <c r="J776" i="1"/>
  <c r="J725" i="1"/>
  <c r="J673" i="1"/>
  <c r="J638" i="1"/>
  <c r="J629" i="1"/>
  <c r="J621" i="1"/>
  <c r="J613" i="1"/>
  <c r="J587" i="1"/>
  <c r="J264" i="1"/>
  <c r="J251" i="1"/>
  <c r="J243" i="1"/>
  <c r="J235" i="1"/>
  <c r="J227" i="1"/>
  <c r="J219" i="1"/>
  <c r="J211" i="1"/>
  <c r="J203" i="1"/>
  <c r="J194" i="1"/>
  <c r="J186" i="1"/>
  <c r="J56" i="1"/>
  <c r="J45" i="1"/>
  <c r="J31" i="1"/>
  <c r="J16" i="1"/>
  <c r="J1095" i="1"/>
  <c r="J903" i="1"/>
  <c r="J605" i="1"/>
  <c r="J1106" i="1"/>
  <c r="J1098" i="1"/>
  <c r="J1088" i="1"/>
  <c r="J1080" i="1"/>
  <c r="J999" i="1"/>
  <c r="J924" i="1"/>
  <c r="J916" i="1"/>
  <c r="J888" i="1"/>
  <c r="J880" i="1"/>
  <c r="J864" i="1"/>
  <c r="J823" i="1"/>
  <c r="J794" i="1"/>
  <c r="J786" i="1"/>
  <c r="J769" i="1"/>
  <c r="J717" i="1"/>
  <c r="J666" i="1"/>
  <c r="J637" i="1"/>
  <c r="J628" i="1"/>
  <c r="J620" i="1"/>
  <c r="J612" i="1"/>
  <c r="J263" i="1"/>
  <c r="J250" i="1"/>
  <c r="J242" i="1"/>
  <c r="J234" i="1"/>
  <c r="J226" i="1"/>
  <c r="J218" i="1"/>
  <c r="J210" i="1"/>
  <c r="J202" i="1"/>
  <c r="J193" i="1"/>
  <c r="J185" i="1"/>
  <c r="J55" i="1"/>
  <c r="J44" i="1"/>
  <c r="J30" i="1"/>
  <c r="J176" i="1"/>
  <c r="J1437" i="1"/>
  <c r="J1438" i="1"/>
  <c r="J1439" i="1"/>
  <c r="J1440" i="1"/>
  <c r="J1441" i="1"/>
  <c r="J1434" i="1"/>
  <c r="J1442" i="1"/>
  <c r="J1435" i="1"/>
  <c r="J1443" i="1"/>
  <c r="J1436" i="1"/>
  <c r="G297" i="19"/>
  <c r="G70" i="19"/>
  <c r="G136" i="19"/>
  <c r="G176" i="19"/>
  <c r="G201" i="19"/>
  <c r="G289" i="19"/>
  <c r="G616" i="19"/>
  <c r="G587" i="17" s="1"/>
  <c r="G242" i="19"/>
  <c r="G542" i="19"/>
  <c r="G135" i="20"/>
  <c r="G113" i="17" s="1"/>
  <c r="G206" i="20"/>
  <c r="G182" i="17" s="1"/>
  <c r="G272" i="20"/>
  <c r="G248" i="17" s="1"/>
  <c r="G337" i="20"/>
  <c r="G313" i="17" s="1"/>
  <c r="G399" i="20"/>
  <c r="G373" i="17" s="1"/>
  <c r="G378" i="19"/>
  <c r="G177" i="19"/>
  <c r="G530" i="19"/>
  <c r="G92" i="19"/>
  <c r="G162" i="19"/>
  <c r="G227" i="19"/>
  <c r="G291" i="19"/>
  <c r="G355" i="19"/>
  <c r="G420" i="19"/>
  <c r="G485" i="19"/>
  <c r="G129" i="19"/>
  <c r="G526" i="19"/>
  <c r="G86" i="19"/>
  <c r="G155" i="19"/>
  <c r="G220" i="19"/>
  <c r="G284" i="19"/>
  <c r="G502" i="20"/>
  <c r="G474" i="17" s="1"/>
  <c r="G403" i="19"/>
  <c r="G140" i="19"/>
  <c r="G213" i="19"/>
  <c r="G277" i="19"/>
  <c r="G341" i="19"/>
  <c r="G406" i="19"/>
  <c r="G605" i="19"/>
  <c r="G576" i="17" s="1"/>
  <c r="G494" i="20"/>
  <c r="G466" i="17" s="1"/>
  <c r="G419" i="19"/>
  <c r="G132" i="19"/>
  <c r="G74" i="19"/>
  <c r="G133" i="19"/>
  <c r="G206" i="19"/>
  <c r="G270" i="19"/>
  <c r="G434" i="19"/>
  <c r="G31" i="20"/>
  <c r="G11" i="17" s="1"/>
  <c r="G218" i="19"/>
  <c r="G45" i="19"/>
  <c r="G60" i="19"/>
  <c r="G118" i="19"/>
  <c r="G182" i="19"/>
  <c r="G247" i="19"/>
  <c r="G311" i="19"/>
  <c r="G376" i="19"/>
  <c r="G440" i="19"/>
  <c r="G82" i="19"/>
  <c r="G143" i="19"/>
  <c r="G48" i="20"/>
  <c r="G26" i="17" s="1"/>
  <c r="G472" i="20"/>
  <c r="G444" i="17" s="1"/>
  <c r="G316" i="19"/>
  <c r="G381" i="19"/>
  <c r="G445" i="19"/>
  <c r="G510" i="19"/>
  <c r="G547" i="19"/>
  <c r="G106" i="20"/>
  <c r="G84" i="17" s="1"/>
  <c r="G169" i="20"/>
  <c r="G147" i="17" s="1"/>
  <c r="G242" i="20"/>
  <c r="G218" i="17" s="1"/>
  <c r="G307" i="20"/>
  <c r="G283" i="17" s="1"/>
  <c r="G377" i="20"/>
  <c r="G351" i="17" s="1"/>
  <c r="G441" i="20"/>
  <c r="G415" i="17" s="1"/>
  <c r="G64" i="20"/>
  <c r="G42" i="17" s="1"/>
  <c r="G490" i="20"/>
  <c r="G462" i="17" s="1"/>
  <c r="G334" i="19"/>
  <c r="G399" i="19"/>
  <c r="G464" i="19"/>
  <c r="G524" i="19"/>
  <c r="G556" i="19"/>
  <c r="G115" i="20"/>
  <c r="G93" i="17" s="1"/>
  <c r="G329" i="19"/>
  <c r="G112" i="19"/>
  <c r="G168" i="19"/>
  <c r="G217" i="19"/>
  <c r="G249" i="19"/>
  <c r="G370" i="19"/>
  <c r="G60" i="20"/>
  <c r="G38" i="17" s="1"/>
  <c r="G290" i="19"/>
  <c r="G550" i="19"/>
  <c r="G143" i="20"/>
  <c r="G121" i="17" s="1"/>
  <c r="G214" i="20"/>
  <c r="G190" i="17" s="1"/>
  <c r="G281" i="20"/>
  <c r="G257" i="17" s="1"/>
  <c r="G345" i="20"/>
  <c r="G321" i="17" s="1"/>
  <c r="G407" i="20"/>
  <c r="G381" i="17" s="1"/>
  <c r="G601" i="19"/>
  <c r="G57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8"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80" i="20"/>
  <c r="G452" i="17" s="1"/>
  <c r="G324" i="19"/>
  <c r="G389" i="19"/>
  <c r="G454" i="19"/>
  <c r="G518" i="19"/>
  <c r="G551" i="19"/>
  <c r="G113" i="20"/>
  <c r="G91" i="17" s="1"/>
  <c r="G177" i="20"/>
  <c r="G155" i="17" s="1"/>
  <c r="G250" i="20"/>
  <c r="G226" i="17" s="1"/>
  <c r="G315" i="20"/>
  <c r="G291" i="17" s="1"/>
  <c r="G385" i="20"/>
  <c r="G359" i="17" s="1"/>
  <c r="G449" i="20"/>
  <c r="G423" i="17" s="1"/>
  <c r="G78" i="20"/>
  <c r="G56" i="17" s="1"/>
  <c r="G498" i="20"/>
  <c r="G470" i="17" s="1"/>
  <c r="G342" i="19"/>
  <c r="G407" i="19"/>
  <c r="G472" i="19"/>
  <c r="G528" i="19"/>
  <c r="G560" i="19"/>
  <c r="G123" i="20"/>
  <c r="G101" i="17" s="1"/>
  <c r="G56" i="19"/>
  <c r="G144" i="19"/>
  <c r="G225" i="19"/>
  <c r="G241" i="19"/>
  <c r="G305" i="19"/>
  <c r="G410" i="19"/>
  <c r="G103" i="20"/>
  <c r="G81" i="17" s="1"/>
  <c r="G338" i="19"/>
  <c r="G562" i="19"/>
  <c r="G151" i="20"/>
  <c r="G129" i="17" s="1"/>
  <c r="G222" i="20"/>
  <c r="G198" i="17" s="1"/>
  <c r="G289" i="20"/>
  <c r="G265" i="17" s="1"/>
  <c r="G353" i="20"/>
  <c r="G329" i="17" s="1"/>
  <c r="G415" i="20"/>
  <c r="G389"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60" i="17" s="1"/>
  <c r="G137" i="19"/>
  <c r="G516" i="19"/>
  <c r="G29" i="19"/>
  <c r="G88" i="19"/>
  <c r="G149" i="19"/>
  <c r="G222" i="19"/>
  <c r="G286" i="19"/>
  <c r="G451" i="19"/>
  <c r="G478" i="20"/>
  <c r="G450" i="17" s="1"/>
  <c r="G298" i="19"/>
  <c r="G87" i="19"/>
  <c r="G75" i="19"/>
  <c r="G134" i="19"/>
  <c r="G199" i="19"/>
  <c r="G263" i="19"/>
  <c r="G327" i="19"/>
  <c r="G392" i="19"/>
  <c r="G31" i="19"/>
  <c r="G97" i="19"/>
  <c r="G159" i="19"/>
  <c r="G62" i="20"/>
  <c r="G40" i="17" s="1"/>
  <c r="G488" i="20"/>
  <c r="G460" i="17" s="1"/>
  <c r="G332" i="19"/>
  <c r="G397" i="19"/>
  <c r="G462" i="19"/>
  <c r="G523" i="19"/>
  <c r="G555" i="19"/>
  <c r="G121" i="20"/>
  <c r="G99" i="17" s="1"/>
  <c r="G98" i="19"/>
  <c r="G192" i="19"/>
  <c r="G273" i="19"/>
  <c r="G281" i="19"/>
  <c r="G32" i="19"/>
  <c r="G426" i="19"/>
  <c r="G518" i="20"/>
  <c r="G490" i="17" s="1"/>
  <c r="G387" i="19"/>
  <c r="G570" i="19"/>
  <c r="G159" i="20"/>
  <c r="G137" i="17" s="1"/>
  <c r="G230" i="20"/>
  <c r="G206" i="17" s="1"/>
  <c r="G297" i="20"/>
  <c r="G273" i="17" s="1"/>
  <c r="G361" i="20"/>
  <c r="G337" i="17" s="1"/>
  <c r="G423" i="20"/>
  <c r="G397"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10" i="20"/>
  <c r="G482" i="17" s="1"/>
  <c r="G354" i="19"/>
  <c r="G124" i="19"/>
  <c r="G81" i="19"/>
  <c r="G142" i="19"/>
  <c r="G207" i="19"/>
  <c r="G271" i="19"/>
  <c r="G335" i="19"/>
  <c r="G400" i="19"/>
  <c r="G39" i="19"/>
  <c r="G104" i="19"/>
  <c r="G615" i="19"/>
  <c r="G586" i="17" s="1"/>
  <c r="G70" i="20"/>
  <c r="G48" i="17" s="1"/>
  <c r="G496" i="20"/>
  <c r="G468" i="17" s="1"/>
  <c r="G340" i="19"/>
  <c r="G405" i="19"/>
  <c r="G470" i="19"/>
  <c r="G527" i="19"/>
  <c r="G559" i="19"/>
  <c r="G129" i="20"/>
  <c r="G107" i="17" s="1"/>
  <c r="G193" i="20"/>
  <c r="G171" i="17" s="1"/>
  <c r="G266" i="20"/>
  <c r="G242" i="17" s="1"/>
  <c r="G331" i="20"/>
  <c r="G307" i="17" s="1"/>
  <c r="G401" i="20"/>
  <c r="G375" i="17" s="1"/>
  <c r="G465" i="20"/>
  <c r="G437" i="17" s="1"/>
  <c r="G92" i="20"/>
  <c r="G70" i="17" s="1"/>
  <c r="G514" i="20"/>
  <c r="G486" i="17" s="1"/>
  <c r="G358" i="19"/>
  <c r="G423" i="19"/>
  <c r="G488" i="19"/>
  <c r="G536" i="19"/>
  <c r="G568" i="19"/>
  <c r="G139" i="20"/>
  <c r="G117" i="17" s="1"/>
  <c r="G210" i="20"/>
  <c r="G186" i="17" s="1"/>
  <c r="G276" i="20"/>
  <c r="G252" i="17" s="1"/>
  <c r="G341" i="20"/>
  <c r="G317" i="17" s="1"/>
  <c r="G411" i="20"/>
  <c r="G385" i="17" s="1"/>
  <c r="G465" i="19"/>
  <c r="G611" i="19"/>
  <c r="G582" i="17" s="1"/>
  <c r="G152" i="19"/>
  <c r="G265" i="19"/>
  <c r="G345" i="19"/>
  <c r="G337" i="19"/>
  <c r="G77" i="19"/>
  <c r="G459" i="19"/>
  <c r="G49" i="19"/>
  <c r="G435" i="19"/>
  <c r="G627" i="19"/>
  <c r="G598" i="17" s="1"/>
  <c r="G167" i="20"/>
  <c r="G145" i="17" s="1"/>
  <c r="G240" i="20"/>
  <c r="G216" i="17" s="1"/>
  <c r="G305" i="20"/>
  <c r="G281" i="17" s="1"/>
  <c r="G369" i="20"/>
  <c r="G345" i="17" s="1"/>
  <c r="G431" i="20"/>
  <c r="G405" i="17" s="1"/>
  <c r="G486" i="20"/>
  <c r="G458" i="17" s="1"/>
  <c r="G363" i="19"/>
  <c r="G50" i="19"/>
  <c r="G130" i="19"/>
  <c r="G194" i="19"/>
  <c r="G259" i="19"/>
  <c r="G323" i="19"/>
  <c r="G388" i="19"/>
  <c r="G453" i="19"/>
  <c r="G517" i="19"/>
  <c r="G322" i="19"/>
  <c r="G51" i="19"/>
  <c r="G123" i="19"/>
  <c r="G187" i="19"/>
  <c r="G252" i="19"/>
  <c r="G622" i="19"/>
  <c r="G593" i="17" s="1"/>
  <c r="G202" i="19"/>
  <c r="G36" i="19"/>
  <c r="G180" i="19"/>
  <c r="G245" i="19"/>
  <c r="G309" i="19"/>
  <c r="G374" i="19"/>
  <c r="G438" i="19"/>
  <c r="G394" i="19"/>
  <c r="G234" i="19"/>
  <c r="G28" i="19"/>
  <c r="G46" i="19"/>
  <c r="G102" i="19"/>
  <c r="G165" i="19"/>
  <c r="G238" i="19"/>
  <c r="G302" i="19"/>
  <c r="G483" i="19"/>
  <c r="G526" i="20"/>
  <c r="G498" i="17" s="1"/>
  <c r="G395" i="19"/>
  <c r="G30" i="19"/>
  <c r="G89" i="19"/>
  <c r="G150" i="19"/>
  <c r="G215" i="19"/>
  <c r="G279" i="19"/>
  <c r="G343" i="19"/>
  <c r="G408" i="19"/>
  <c r="G55" i="19"/>
  <c r="G111" i="19"/>
  <c r="G607" i="19"/>
  <c r="G578" i="17" s="1"/>
  <c r="G77" i="20"/>
  <c r="G55" i="17" s="1"/>
  <c r="G504" i="20"/>
  <c r="G476" i="17" s="1"/>
  <c r="G348" i="19"/>
  <c r="G413" i="19"/>
  <c r="G478" i="19"/>
  <c r="G531" i="19"/>
  <c r="G563" i="19"/>
  <c r="G137" i="20"/>
  <c r="G115" i="17" s="1"/>
  <c r="G208" i="20"/>
  <c r="G184" i="17" s="1"/>
  <c r="G274" i="20"/>
  <c r="G250" i="17" s="1"/>
  <c r="G339" i="20"/>
  <c r="G315" i="17" s="1"/>
  <c r="G409" i="20"/>
  <c r="G383" i="17" s="1"/>
  <c r="G35" i="20"/>
  <c r="G15" i="17" s="1"/>
  <c r="G99" i="20"/>
  <c r="G77" i="17" s="1"/>
  <c r="G522" i="20"/>
  <c r="G494" i="17" s="1"/>
  <c r="G367" i="19"/>
  <c r="G431" i="19"/>
  <c r="G496" i="19"/>
  <c r="G540" i="19"/>
  <c r="G572" i="19"/>
  <c r="G147" i="20"/>
  <c r="G125" i="17" s="1"/>
  <c r="G218" i="20"/>
  <c r="G194" i="17" s="1"/>
  <c r="G285" i="20"/>
  <c r="G261" i="17" s="1"/>
  <c r="G349" i="20"/>
  <c r="G325" i="17" s="1"/>
  <c r="G419" i="20"/>
  <c r="G393" i="17" s="1"/>
  <c r="G473" i="19"/>
  <c r="G209" i="19"/>
  <c r="G321" i="19"/>
  <c r="G40" i="19"/>
  <c r="G62" i="19"/>
  <c r="G120" i="19"/>
  <c r="G475" i="19"/>
  <c r="G106" i="19"/>
  <c r="G484" i="19"/>
  <c r="G111" i="20"/>
  <c r="G89" i="17" s="1"/>
  <c r="G175" i="20"/>
  <c r="G153" i="17" s="1"/>
  <c r="G248" i="20"/>
  <c r="G224" i="17" s="1"/>
  <c r="G313" i="20"/>
  <c r="G289" i="17" s="1"/>
  <c r="G375" i="20"/>
  <c r="G349" i="17" s="1"/>
  <c r="G439" i="20"/>
  <c r="G413"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64" i="17" s="1"/>
  <c r="G282" i="19"/>
  <c r="G52" i="19"/>
  <c r="G53" i="19"/>
  <c r="G109" i="19"/>
  <c r="G173" i="19"/>
  <c r="G246" i="19"/>
  <c r="G353" i="19"/>
  <c r="G499" i="19"/>
  <c r="G63" i="19"/>
  <c r="G443" i="19"/>
  <c r="G38" i="19"/>
  <c r="G96" i="19"/>
  <c r="G158" i="19"/>
  <c r="G223" i="19"/>
  <c r="G287" i="19"/>
  <c r="G351" i="19"/>
  <c r="G416" i="19"/>
  <c r="G61" i="19"/>
  <c r="G119" i="19"/>
  <c r="G599" i="19"/>
  <c r="G570" i="17" s="1"/>
  <c r="G83" i="20"/>
  <c r="G61" i="17" s="1"/>
  <c r="G512" i="20"/>
  <c r="G484" i="17" s="1"/>
  <c r="G356" i="19"/>
  <c r="G421" i="19"/>
  <c r="G486" i="19"/>
  <c r="G535" i="19"/>
  <c r="G567" i="19"/>
  <c r="G145" i="20"/>
  <c r="G123" i="17" s="1"/>
  <c r="G216" i="20"/>
  <c r="G192" i="17" s="1"/>
  <c r="G283" i="20"/>
  <c r="G259" i="17" s="1"/>
  <c r="G347" i="20"/>
  <c r="G323" i="17" s="1"/>
  <c r="G417" i="20"/>
  <c r="G391" i="17" s="1"/>
  <c r="G43" i="20"/>
  <c r="G21" i="17" s="1"/>
  <c r="G466" i="20"/>
  <c r="G438" i="17" s="1"/>
  <c r="G310" i="19"/>
  <c r="G375" i="19"/>
  <c r="G439" i="19"/>
  <c r="G504" i="19"/>
  <c r="G544" i="19"/>
  <c r="G630" i="19"/>
  <c r="G601" i="17" s="1"/>
  <c r="G155" i="20"/>
  <c r="G133" i="17" s="1"/>
  <c r="G226" i="20"/>
  <c r="G202" i="17" s="1"/>
  <c r="G293" i="20"/>
  <c r="G269" i="17" s="1"/>
  <c r="G357" i="20"/>
  <c r="G333" i="17" s="1"/>
  <c r="G427" i="20"/>
  <c r="G401" i="17" s="1"/>
  <c r="G481" i="19"/>
  <c r="G257" i="19"/>
  <c r="G184" i="19"/>
  <c r="G119" i="20"/>
  <c r="G97" i="17" s="1"/>
  <c r="G383" i="20"/>
  <c r="G357" i="17" s="1"/>
  <c r="G72" i="19"/>
  <c r="G339" i="19"/>
  <c r="G427" i="19"/>
  <c r="G268" i="19"/>
  <c r="G196" i="19"/>
  <c r="G619" i="19"/>
  <c r="G590" i="17" s="1"/>
  <c r="G59" i="19"/>
  <c r="G402" i="19"/>
  <c r="G47" i="19"/>
  <c r="G295" i="19"/>
  <c r="G127" i="19"/>
  <c r="G365" i="19"/>
  <c r="G571" i="19"/>
  <c r="G291" i="20"/>
  <c r="G267" i="17" s="1"/>
  <c r="G457" i="20"/>
  <c r="G429" i="17" s="1"/>
  <c r="G326" i="19"/>
  <c r="G512" i="19"/>
  <c r="G131" i="20"/>
  <c r="G109" i="17" s="1"/>
  <c r="G252" i="20"/>
  <c r="G228" i="17" s="1"/>
  <c r="G365" i="20"/>
  <c r="G341" i="17" s="1"/>
  <c r="G459" i="20"/>
  <c r="G431" i="17" s="1"/>
  <c r="G595" i="19"/>
  <c r="G566" i="17" s="1"/>
  <c r="G73" i="20"/>
  <c r="G51" i="17" s="1"/>
  <c r="G191" i="19"/>
  <c r="G256" i="19"/>
  <c r="G320" i="19"/>
  <c r="G385" i="19"/>
  <c r="G450" i="19"/>
  <c r="G514" i="19"/>
  <c r="G549" i="19"/>
  <c r="G109" i="20"/>
  <c r="G87" i="17" s="1"/>
  <c r="G463" i="19"/>
  <c r="G625" i="19"/>
  <c r="G596" i="17" s="1"/>
  <c r="G49" i="20"/>
  <c r="G27" i="17" s="1"/>
  <c r="G136" i="20"/>
  <c r="G114" i="17" s="1"/>
  <c r="G207" i="20"/>
  <c r="G183" i="17" s="1"/>
  <c r="G273" i="20"/>
  <c r="G249" i="17" s="1"/>
  <c r="G338" i="20"/>
  <c r="G314" i="17" s="1"/>
  <c r="G408" i="20"/>
  <c r="G382" i="17" s="1"/>
  <c r="G479" i="20"/>
  <c r="G451" i="17" s="1"/>
  <c r="G536" i="20"/>
  <c r="G508" i="17" s="1"/>
  <c r="G568" i="20"/>
  <c r="G540" i="17" s="1"/>
  <c r="G596" i="19"/>
  <c r="G567" i="17" s="1"/>
  <c r="G86" i="20"/>
  <c r="G64" i="17" s="1"/>
  <c r="G154" i="20"/>
  <c r="G132" i="17" s="1"/>
  <c r="G225" i="20"/>
  <c r="G201" i="17" s="1"/>
  <c r="G292" i="20"/>
  <c r="G268" i="17" s="1"/>
  <c r="G356" i="20"/>
  <c r="G332" i="17" s="1"/>
  <c r="G426" i="20"/>
  <c r="G400" i="17" s="1"/>
  <c r="G497" i="20"/>
  <c r="G469" i="17" s="1"/>
  <c r="G545" i="20"/>
  <c r="G517" i="17" s="1"/>
  <c r="G577" i="20"/>
  <c r="G549" i="17" s="1"/>
  <c r="G586" i="19"/>
  <c r="G557" i="17" s="1"/>
  <c r="G88" i="20"/>
  <c r="G66" i="17" s="1"/>
  <c r="G148" i="20"/>
  <c r="G126" i="17" s="1"/>
  <c r="G227" i="20"/>
  <c r="G203" i="17" s="1"/>
  <c r="G294" i="20"/>
  <c r="G270" i="17" s="1"/>
  <c r="G358" i="20"/>
  <c r="G334" i="17" s="1"/>
  <c r="G420" i="20"/>
  <c r="G394" i="17" s="1"/>
  <c r="G483" i="20"/>
  <c r="G455" i="17" s="1"/>
  <c r="G538" i="20"/>
  <c r="G510" i="17" s="1"/>
  <c r="G570" i="20"/>
  <c r="G542" i="17" s="1"/>
  <c r="G220" i="20"/>
  <c r="G196" i="17" s="1"/>
  <c r="G287" i="20"/>
  <c r="G263" i="17" s="1"/>
  <c r="G351" i="20"/>
  <c r="G327" i="17" s="1"/>
  <c r="G413" i="20"/>
  <c r="G387" i="17" s="1"/>
  <c r="G476" i="20"/>
  <c r="G448" i="17" s="1"/>
  <c r="G626" i="19"/>
  <c r="G597" i="17" s="1"/>
  <c r="G55" i="20"/>
  <c r="G33" i="17" s="1"/>
  <c r="G110" i="20"/>
  <c r="G88" i="17" s="1"/>
  <c r="G174" i="20"/>
  <c r="G152" i="17" s="1"/>
  <c r="G247" i="20"/>
  <c r="G223" i="17" s="1"/>
  <c r="G312" i="20"/>
  <c r="G288" i="17" s="1"/>
  <c r="G374" i="20"/>
  <c r="G348" i="17" s="1"/>
  <c r="G438" i="20"/>
  <c r="G412" i="17" s="1"/>
  <c r="G501" i="20"/>
  <c r="G473" i="17" s="1"/>
  <c r="G547" i="20"/>
  <c r="G519" i="17" s="1"/>
  <c r="G579" i="20"/>
  <c r="G551" i="17" s="1"/>
  <c r="G182" i="20"/>
  <c r="G160" i="17" s="1"/>
  <c r="G255" i="20"/>
  <c r="G231" i="17" s="1"/>
  <c r="G320" i="20"/>
  <c r="G296" i="17" s="1"/>
  <c r="G313" i="19"/>
  <c r="G233" i="19"/>
  <c r="G127" i="20"/>
  <c r="G105" i="17" s="1"/>
  <c r="G391" i="20"/>
  <c r="G365" i="17" s="1"/>
  <c r="G85" i="19"/>
  <c r="G347" i="19"/>
  <c r="G476" i="19"/>
  <c r="G276" i="19"/>
  <c r="G205" i="19"/>
  <c r="G613" i="19"/>
  <c r="G584" i="17" s="1"/>
  <c r="G67" i="19"/>
  <c r="G418" i="19"/>
  <c r="G54" i="19"/>
  <c r="G303" i="19"/>
  <c r="G135" i="19"/>
  <c r="G373" i="19"/>
  <c r="G631" i="19"/>
  <c r="G602" i="17" s="1"/>
  <c r="G299" i="20"/>
  <c r="G275" i="17" s="1"/>
  <c r="G50" i="20"/>
  <c r="G28" i="17" s="1"/>
  <c r="G350" i="19"/>
  <c r="G520" i="19"/>
  <c r="G163" i="20"/>
  <c r="G141" i="17" s="1"/>
  <c r="G260" i="20"/>
  <c r="G236" i="17" s="1"/>
  <c r="G379" i="20"/>
  <c r="G353" i="17" s="1"/>
  <c r="G457" i="19"/>
  <c r="G587" i="19"/>
  <c r="G558" i="17" s="1"/>
  <c r="G79" i="20"/>
  <c r="G57" i="17" s="1"/>
  <c r="G200" i="19"/>
  <c r="G264" i="19"/>
  <c r="G328" i="19"/>
  <c r="G393" i="19"/>
  <c r="G458" i="19"/>
  <c r="G521" i="19"/>
  <c r="G553" i="19"/>
  <c r="G117" i="20"/>
  <c r="G95" i="17" s="1"/>
  <c r="G471" i="19"/>
  <c r="G620" i="19"/>
  <c r="G591" i="17" s="1"/>
  <c r="G63" i="20"/>
  <c r="G41" i="17" s="1"/>
  <c r="G144" i="20"/>
  <c r="G122" i="17" s="1"/>
  <c r="G215" i="20"/>
  <c r="G191" i="17" s="1"/>
  <c r="G282" i="20"/>
  <c r="G258" i="17" s="1"/>
  <c r="G346" i="20"/>
  <c r="G322" i="17" s="1"/>
  <c r="G416" i="20"/>
  <c r="G390" i="17" s="1"/>
  <c r="G487" i="20"/>
  <c r="G459" i="17" s="1"/>
  <c r="G540" i="20"/>
  <c r="G512" i="17" s="1"/>
  <c r="G572" i="20"/>
  <c r="G544" i="17" s="1"/>
  <c r="G588" i="19"/>
  <c r="G559" i="17" s="1"/>
  <c r="G93" i="20"/>
  <c r="G71" i="17" s="1"/>
  <c r="G162" i="20"/>
  <c r="G140" i="17" s="1"/>
  <c r="G233" i="20"/>
  <c r="G209" i="17" s="1"/>
  <c r="G300" i="20"/>
  <c r="G276" i="17" s="1"/>
  <c r="G364" i="20"/>
  <c r="G340" i="17" s="1"/>
  <c r="G434" i="20"/>
  <c r="G408" i="17" s="1"/>
  <c r="G505" i="20"/>
  <c r="G477" i="17" s="1"/>
  <c r="G549" i="20"/>
  <c r="G521" i="17" s="1"/>
  <c r="G581" i="20"/>
  <c r="G553" i="17" s="1"/>
  <c r="G38" i="20"/>
  <c r="G18" i="17" s="1"/>
  <c r="G95" i="20"/>
  <c r="G73" i="17" s="1"/>
  <c r="G156" i="20"/>
  <c r="G134" i="17" s="1"/>
  <c r="G237" i="20"/>
  <c r="G213" i="17" s="1"/>
  <c r="G302" i="20"/>
  <c r="G278" i="17" s="1"/>
  <c r="G366" i="20"/>
  <c r="G342" i="17" s="1"/>
  <c r="G428" i="20"/>
  <c r="G402" i="17" s="1"/>
  <c r="G491" i="20"/>
  <c r="G463" i="17" s="1"/>
  <c r="G542" i="20"/>
  <c r="G514" i="17" s="1"/>
  <c r="G574" i="20"/>
  <c r="G546" i="17" s="1"/>
  <c r="G228" i="20"/>
  <c r="G204" i="17" s="1"/>
  <c r="G295" i="20"/>
  <c r="G271" i="17" s="1"/>
  <c r="G359" i="20"/>
  <c r="G335" i="17" s="1"/>
  <c r="G421" i="20"/>
  <c r="G395" i="17" s="1"/>
  <c r="G484" i="20"/>
  <c r="G456" i="17" s="1"/>
  <c r="G621" i="19"/>
  <c r="G592" i="17" s="1"/>
  <c r="G61" i="20"/>
  <c r="G39" i="17" s="1"/>
  <c r="G118" i="20"/>
  <c r="G96" i="17" s="1"/>
  <c r="G48" i="19"/>
  <c r="G491" i="19"/>
  <c r="G183" i="20"/>
  <c r="G161" i="17" s="1"/>
  <c r="G447" i="20"/>
  <c r="G421" i="17" s="1"/>
  <c r="G146" i="19"/>
  <c r="G404" i="19"/>
  <c r="G65" i="19"/>
  <c r="G81" i="20"/>
  <c r="G59" i="17" s="1"/>
  <c r="G261" i="19"/>
  <c r="G68" i="20"/>
  <c r="G46" i="17" s="1"/>
  <c r="G117" i="19"/>
  <c r="G515" i="19"/>
  <c r="G103" i="19"/>
  <c r="G359" i="19"/>
  <c r="G591" i="19"/>
  <c r="G562" i="17" s="1"/>
  <c r="G429" i="19"/>
  <c r="G153" i="20"/>
  <c r="G131" i="17" s="1"/>
  <c r="G323" i="20"/>
  <c r="G299" i="17" s="1"/>
  <c r="G57" i="20"/>
  <c r="G35" i="17" s="1"/>
  <c r="G383" i="19"/>
  <c r="G532" i="19"/>
  <c r="G171" i="20"/>
  <c r="G149" i="17" s="1"/>
  <c r="G268" i="20"/>
  <c r="G244" i="17" s="1"/>
  <c r="G387" i="20"/>
  <c r="G361" i="17" s="1"/>
  <c r="G489" i="19"/>
  <c r="G29" i="20"/>
  <c r="G9" i="17" s="1"/>
  <c r="G87" i="20"/>
  <c r="G65" i="17" s="1"/>
  <c r="G208" i="19"/>
  <c r="G272" i="19"/>
  <c r="G336" i="19"/>
  <c r="G401" i="19"/>
  <c r="G466" i="19"/>
  <c r="G525" i="19"/>
  <c r="G557" i="19"/>
  <c r="G125" i="20"/>
  <c r="G103" i="17" s="1"/>
  <c r="G479" i="19"/>
  <c r="G614" i="19"/>
  <c r="G585" i="17" s="1"/>
  <c r="G71" i="20"/>
  <c r="G49" i="17" s="1"/>
  <c r="G152" i="20"/>
  <c r="G130" i="17" s="1"/>
  <c r="G223" i="20"/>
  <c r="G199" i="17" s="1"/>
  <c r="G290" i="20"/>
  <c r="G266" i="17" s="1"/>
  <c r="G354" i="20"/>
  <c r="G330" i="17" s="1"/>
  <c r="G424" i="20"/>
  <c r="G398" i="17" s="1"/>
  <c r="G495" i="20"/>
  <c r="G467" i="17" s="1"/>
  <c r="G544" i="20"/>
  <c r="G516" i="17" s="1"/>
  <c r="G576" i="20"/>
  <c r="G548" i="17" s="1"/>
  <c r="G28" i="20"/>
  <c r="G8" i="17" s="1"/>
  <c r="G100" i="20"/>
  <c r="G78" i="17" s="1"/>
  <c r="G170" i="20"/>
  <c r="G148" i="17" s="1"/>
  <c r="G243" i="20"/>
  <c r="G219" i="17" s="1"/>
  <c r="G308" i="20"/>
  <c r="G284" i="17" s="1"/>
  <c r="G378" i="20"/>
  <c r="G352" i="17" s="1"/>
  <c r="G442" i="20"/>
  <c r="G416" i="17" s="1"/>
  <c r="G513" i="20"/>
  <c r="G485" i="17" s="1"/>
  <c r="G553" i="20"/>
  <c r="G525" i="17" s="1"/>
  <c r="G633" i="19"/>
  <c r="G604" i="17" s="1"/>
  <c r="G46" i="20"/>
  <c r="G24" i="17" s="1"/>
  <c r="G102" i="20"/>
  <c r="G80" i="17" s="1"/>
  <c r="G164" i="20"/>
  <c r="G142" i="17" s="1"/>
  <c r="G245" i="20"/>
  <c r="G221" i="17" s="1"/>
  <c r="G310" i="20"/>
  <c r="G286" i="17" s="1"/>
  <c r="G372" i="20"/>
  <c r="G346" i="17" s="1"/>
  <c r="G436" i="20"/>
  <c r="G410" i="17" s="1"/>
  <c r="G499" i="20"/>
  <c r="G471" i="17" s="1"/>
  <c r="G546" i="20"/>
  <c r="G518" i="17" s="1"/>
  <c r="G578" i="20"/>
  <c r="G550" i="17" s="1"/>
  <c r="G238" i="20"/>
  <c r="G214" i="17" s="1"/>
  <c r="G303" i="20"/>
  <c r="G279" i="17" s="1"/>
  <c r="G367" i="20"/>
  <c r="G343" i="17" s="1"/>
  <c r="G429" i="20"/>
  <c r="G403" i="17" s="1"/>
  <c r="G492" i="20"/>
  <c r="G464" i="17" s="1"/>
  <c r="G608" i="19"/>
  <c r="G579" i="17" s="1"/>
  <c r="G69" i="20"/>
  <c r="G47" i="17" s="1"/>
  <c r="G126" i="20"/>
  <c r="G104" i="17" s="1"/>
  <c r="G190" i="20"/>
  <c r="G168" i="17" s="1"/>
  <c r="G263" i="20"/>
  <c r="G239" i="17" s="1"/>
  <c r="G328" i="20"/>
  <c r="G304" i="17" s="1"/>
  <c r="G390" i="20"/>
  <c r="G364" i="17" s="1"/>
  <c r="G454" i="20"/>
  <c r="G428" i="17" s="1"/>
  <c r="G517" i="20"/>
  <c r="G489" i="17" s="1"/>
  <c r="G555" i="20"/>
  <c r="G527" i="17" s="1"/>
  <c r="G91" i="19"/>
  <c r="G507" i="19"/>
  <c r="G191" i="20"/>
  <c r="G169" i="17" s="1"/>
  <c r="G463" i="20"/>
  <c r="G435" i="17" s="1"/>
  <c r="G154" i="19"/>
  <c r="G412" i="19"/>
  <c r="G79" i="19"/>
  <c r="G470" i="20"/>
  <c r="G442" i="17" s="1"/>
  <c r="G269" i="19"/>
  <c r="G96" i="20"/>
  <c r="G74" i="17" s="1"/>
  <c r="G125" i="19"/>
  <c r="G609" i="19"/>
  <c r="G580" i="17" s="1"/>
  <c r="G110" i="19"/>
  <c r="G368" i="19"/>
  <c r="G33" i="20"/>
  <c r="G13" i="17" s="1"/>
  <c r="G437" i="19"/>
  <c r="G161" i="20"/>
  <c r="G139" i="17" s="1"/>
  <c r="G355" i="20"/>
  <c r="G331" i="17" s="1"/>
  <c r="G85" i="20"/>
  <c r="G63" i="17" s="1"/>
  <c r="G391" i="19"/>
  <c r="G548" i="19"/>
  <c r="G179" i="20"/>
  <c r="G157" i="17" s="1"/>
  <c r="G301" i="20"/>
  <c r="G277" i="17" s="1"/>
  <c r="G395" i="20"/>
  <c r="G369" i="17" s="1"/>
  <c r="G497" i="19"/>
  <c r="G37" i="20"/>
  <c r="G17" i="17" s="1"/>
  <c r="G94" i="20"/>
  <c r="G72" i="17" s="1"/>
  <c r="G216" i="19"/>
  <c r="G280" i="19"/>
  <c r="G344" i="19"/>
  <c r="G409" i="19"/>
  <c r="G474" i="19"/>
  <c r="G529" i="19"/>
  <c r="G561" i="19"/>
  <c r="G133" i="20"/>
  <c r="G111" i="17" s="1"/>
  <c r="G487" i="19"/>
  <c r="G606" i="19"/>
  <c r="G577" i="17" s="1"/>
  <c r="G84" i="20"/>
  <c r="G62" i="17" s="1"/>
  <c r="G160" i="20"/>
  <c r="G138" i="17" s="1"/>
  <c r="G231" i="20"/>
  <c r="G207" i="17" s="1"/>
  <c r="G298" i="20"/>
  <c r="G274" i="17" s="1"/>
  <c r="G362" i="20"/>
  <c r="G338" i="17" s="1"/>
  <c r="G432" i="20"/>
  <c r="G406" i="17" s="1"/>
  <c r="G503" i="20"/>
  <c r="G475" i="17" s="1"/>
  <c r="G548" i="20"/>
  <c r="G520" i="17" s="1"/>
  <c r="G580" i="20"/>
  <c r="G552" i="17" s="1"/>
  <c r="G36" i="20"/>
  <c r="G16" i="17" s="1"/>
  <c r="G114" i="20"/>
  <c r="G92" i="17" s="1"/>
  <c r="G178" i="20"/>
  <c r="G156" i="17" s="1"/>
  <c r="G251" i="20"/>
  <c r="G227" i="17" s="1"/>
  <c r="G316" i="20"/>
  <c r="G292" i="17" s="1"/>
  <c r="G386" i="20"/>
  <c r="G360" i="17" s="1"/>
  <c r="G450" i="20"/>
  <c r="G424" i="17" s="1"/>
  <c r="G521" i="20"/>
  <c r="G493" i="17" s="1"/>
  <c r="G557" i="20"/>
  <c r="G529" i="17" s="1"/>
  <c r="G628" i="19"/>
  <c r="G599" i="17" s="1"/>
  <c r="G53" i="20"/>
  <c r="G31" i="17" s="1"/>
  <c r="G108" i="20"/>
  <c r="G86" i="17" s="1"/>
  <c r="G172" i="20"/>
  <c r="G150" i="17" s="1"/>
  <c r="G253" i="20"/>
  <c r="G229" i="17" s="1"/>
  <c r="G318" i="20"/>
  <c r="G294" i="17" s="1"/>
  <c r="G380" i="20"/>
  <c r="G354" i="17" s="1"/>
  <c r="G444" i="20"/>
  <c r="G418" i="17" s="1"/>
  <c r="G507" i="20"/>
  <c r="G479" i="17" s="1"/>
  <c r="G550" i="20"/>
  <c r="G522" i="17" s="1"/>
  <c r="G582" i="20"/>
  <c r="G554" i="17" s="1"/>
  <c r="G246" i="20"/>
  <c r="G222" i="17" s="1"/>
  <c r="G311" i="20"/>
  <c r="G287" i="17" s="1"/>
  <c r="G373" i="20"/>
  <c r="G347" i="17" s="1"/>
  <c r="G437" i="20"/>
  <c r="G411" i="17" s="1"/>
  <c r="G500" i="20"/>
  <c r="G472" i="17" s="1"/>
  <c r="G600" i="19"/>
  <c r="G571" i="17" s="1"/>
  <c r="G76" i="20"/>
  <c r="G54" i="17" s="1"/>
  <c r="G134" i="20"/>
  <c r="G112" i="17" s="1"/>
  <c r="G205" i="20"/>
  <c r="G181" i="17" s="1"/>
  <c r="G271" i="20"/>
  <c r="G247" i="17" s="1"/>
  <c r="G336" i="20"/>
  <c r="G312" i="17" s="1"/>
  <c r="G398" i="20"/>
  <c r="G372" i="17" s="1"/>
  <c r="G462" i="20"/>
  <c r="G434" i="17" s="1"/>
  <c r="G525" i="20"/>
  <c r="G497" i="17" s="1"/>
  <c r="G559" i="20"/>
  <c r="G531" i="17" s="1"/>
  <c r="G563" i="20"/>
  <c r="G535" i="17" s="1"/>
  <c r="G567" i="20"/>
  <c r="G539" i="17" s="1"/>
  <c r="G83" i="19"/>
  <c r="G145" i="19"/>
  <c r="G256" i="20"/>
  <c r="G232" i="17" s="1"/>
  <c r="G71" i="19"/>
  <c r="G211" i="19"/>
  <c r="G469" i="19"/>
  <c r="G139" i="19"/>
  <c r="G306" i="19"/>
  <c r="G325" i="19"/>
  <c r="G330" i="19"/>
  <c r="G181" i="19"/>
  <c r="G113" i="19"/>
  <c r="G166" i="19"/>
  <c r="G424" i="19"/>
  <c r="G98" i="20"/>
  <c r="G76" i="17" s="1"/>
  <c r="G494" i="19"/>
  <c r="G185" i="20"/>
  <c r="G163" i="17" s="1"/>
  <c r="G363" i="20"/>
  <c r="G339" i="17" s="1"/>
  <c r="G474" i="20"/>
  <c r="G446" i="17" s="1"/>
  <c r="G415" i="19"/>
  <c r="G552" i="19"/>
  <c r="G187" i="20"/>
  <c r="G165" i="17" s="1"/>
  <c r="G309" i="20"/>
  <c r="G285" i="17" s="1"/>
  <c r="G403" i="20"/>
  <c r="G377" i="17" s="1"/>
  <c r="G505" i="19"/>
  <c r="G45" i="20"/>
  <c r="G23" i="17" s="1"/>
  <c r="G101" i="20"/>
  <c r="G79" i="17" s="1"/>
  <c r="G224" i="19"/>
  <c r="G288" i="19"/>
  <c r="G352" i="19"/>
  <c r="G417" i="19"/>
  <c r="G482" i="19"/>
  <c r="G533" i="19"/>
  <c r="G565" i="19"/>
  <c r="G141" i="20"/>
  <c r="G119" i="17" s="1"/>
  <c r="G495" i="19"/>
  <c r="G598" i="19"/>
  <c r="G569" i="17" s="1"/>
  <c r="G91" i="20"/>
  <c r="G69" i="17" s="1"/>
  <c r="G168" i="20"/>
  <c r="G146" i="17" s="1"/>
  <c r="G241" i="20"/>
  <c r="G217" i="17" s="1"/>
  <c r="G306" i="20"/>
  <c r="G282" i="17" s="1"/>
  <c r="G376" i="20"/>
  <c r="G350" i="17" s="1"/>
  <c r="G440" i="20"/>
  <c r="G414" i="17" s="1"/>
  <c r="G511" i="20"/>
  <c r="G483" i="17" s="1"/>
  <c r="G552" i="20"/>
  <c r="G524" i="17" s="1"/>
  <c r="G629" i="19"/>
  <c r="G600" i="17" s="1"/>
  <c r="G44" i="20"/>
  <c r="G22" i="17" s="1"/>
  <c r="G122" i="20"/>
  <c r="G100" i="17" s="1"/>
  <c r="G186" i="20"/>
  <c r="G164" i="17" s="1"/>
  <c r="G259" i="20"/>
  <c r="G235" i="17" s="1"/>
  <c r="G324" i="20"/>
  <c r="G300" i="17" s="1"/>
  <c r="G394" i="20"/>
  <c r="G368" i="17" s="1"/>
  <c r="G458" i="20"/>
  <c r="G430" i="17" s="1"/>
  <c r="G529" i="20"/>
  <c r="G501" i="17" s="1"/>
  <c r="G561" i="20"/>
  <c r="G533" i="17" s="1"/>
  <c r="G617" i="19"/>
  <c r="G588" i="17" s="1"/>
  <c r="G59" i="20"/>
  <c r="G37" i="17" s="1"/>
  <c r="G116" i="20"/>
  <c r="G94" i="17" s="1"/>
  <c r="G180" i="20"/>
  <c r="G158" i="17" s="1"/>
  <c r="G261" i="20"/>
  <c r="G237" i="17" s="1"/>
  <c r="G326" i="20"/>
  <c r="G302" i="17" s="1"/>
  <c r="G388" i="20"/>
  <c r="G362" i="17" s="1"/>
  <c r="G452" i="20"/>
  <c r="G426" i="17" s="1"/>
  <c r="G515" i="20"/>
  <c r="G487" i="17" s="1"/>
  <c r="G554" i="20"/>
  <c r="G526" i="17" s="1"/>
  <c r="G173" i="20"/>
  <c r="G151" i="17" s="1"/>
  <c r="G254" i="20"/>
  <c r="G230" i="17" s="1"/>
  <c r="G319" i="20"/>
  <c r="G295" i="17" s="1"/>
  <c r="G381" i="20"/>
  <c r="G355" i="17" s="1"/>
  <c r="G445" i="20"/>
  <c r="G419" i="17" s="1"/>
  <c r="G508" i="20"/>
  <c r="G480" i="17" s="1"/>
  <c r="G592" i="19"/>
  <c r="G563" i="17" s="1"/>
  <c r="G82" i="20"/>
  <c r="G60" i="17" s="1"/>
  <c r="G142" i="20"/>
  <c r="G120" i="17" s="1"/>
  <c r="G213" i="20"/>
  <c r="G189" i="17" s="1"/>
  <c r="G280" i="20"/>
  <c r="G256" i="17" s="1"/>
  <c r="G344" i="20"/>
  <c r="G320" i="17" s="1"/>
  <c r="G406" i="20"/>
  <c r="G380" i="17" s="1"/>
  <c r="G469" i="20"/>
  <c r="G441" i="17" s="1"/>
  <c r="G531" i="20"/>
  <c r="G503" i="17" s="1"/>
  <c r="G128" i="19"/>
  <c r="G193" i="19"/>
  <c r="G264" i="20"/>
  <c r="G240" i="17" s="1"/>
  <c r="G121" i="19"/>
  <c r="G219" i="19"/>
  <c r="G477" i="19"/>
  <c r="G147" i="19"/>
  <c r="G346" i="19"/>
  <c r="G333" i="19"/>
  <c r="G371" i="19"/>
  <c r="G189" i="19"/>
  <c r="G161" i="19"/>
  <c r="G174" i="19"/>
  <c r="G432" i="19"/>
  <c r="G105" i="20"/>
  <c r="G83" i="17" s="1"/>
  <c r="G502" i="19"/>
  <c r="G224" i="20"/>
  <c r="G200" i="17" s="1"/>
  <c r="G393" i="20"/>
  <c r="G367" i="17" s="1"/>
  <c r="G482" i="20"/>
  <c r="G454" i="17" s="1"/>
  <c r="G448" i="19"/>
  <c r="G564" i="19"/>
  <c r="G202" i="20"/>
  <c r="G180" i="17" s="1"/>
  <c r="G317" i="20"/>
  <c r="G293" i="17" s="1"/>
  <c r="G435" i="20"/>
  <c r="G409" i="17" s="1"/>
  <c r="G513" i="19"/>
  <c r="G52" i="20"/>
  <c r="G30" i="17" s="1"/>
  <c r="G167" i="19"/>
  <c r="G232" i="19"/>
  <c r="G296" i="19"/>
  <c r="G360" i="19"/>
  <c r="G425" i="19"/>
  <c r="G490" i="19"/>
  <c r="G537" i="19"/>
  <c r="G569" i="19"/>
  <c r="G149" i="20"/>
  <c r="G127" i="17" s="1"/>
  <c r="G503" i="19"/>
  <c r="G590" i="19"/>
  <c r="G561" i="17" s="1"/>
  <c r="G112" i="20"/>
  <c r="G90" i="17" s="1"/>
  <c r="G176" i="20"/>
  <c r="G154" i="17" s="1"/>
  <c r="G249" i="20"/>
  <c r="G225" i="17" s="1"/>
  <c r="G314" i="20"/>
  <c r="G290" i="17" s="1"/>
  <c r="G384" i="20"/>
  <c r="G358" i="17" s="1"/>
  <c r="G448" i="20"/>
  <c r="G422" i="17" s="1"/>
  <c r="G519" i="20"/>
  <c r="G491" i="17" s="1"/>
  <c r="G556" i="20"/>
  <c r="G528" i="17" s="1"/>
  <c r="G623" i="19"/>
  <c r="G594" i="17" s="1"/>
  <c r="G51" i="20"/>
  <c r="G29" i="17" s="1"/>
  <c r="G130" i="20"/>
  <c r="G108" i="17" s="1"/>
  <c r="G194" i="20"/>
  <c r="G172" i="17" s="1"/>
  <c r="G267" i="20"/>
  <c r="G243" i="17" s="1"/>
  <c r="G332" i="20"/>
  <c r="G308" i="17" s="1"/>
  <c r="G402" i="20"/>
  <c r="G376" i="17" s="1"/>
  <c r="G473" i="20"/>
  <c r="G445" i="17" s="1"/>
  <c r="G533" i="20"/>
  <c r="G505" i="17" s="1"/>
  <c r="G565" i="20"/>
  <c r="G537" i="17" s="1"/>
  <c r="G610" i="19"/>
  <c r="G581" i="17" s="1"/>
  <c r="G67" i="20"/>
  <c r="G45" i="17" s="1"/>
  <c r="G124" i="20"/>
  <c r="G102" i="17" s="1"/>
  <c r="G188" i="20"/>
  <c r="G166" i="17" s="1"/>
  <c r="G269" i="20"/>
  <c r="G245" i="17" s="1"/>
  <c r="G334" i="20"/>
  <c r="G310" i="17" s="1"/>
  <c r="G396" i="20"/>
  <c r="G370" i="17" s="1"/>
  <c r="G460" i="20"/>
  <c r="G432" i="17" s="1"/>
  <c r="G523" i="20"/>
  <c r="G495" i="17" s="1"/>
  <c r="G558" i="20"/>
  <c r="G530" i="17" s="1"/>
  <c r="G181" i="20"/>
  <c r="G159" i="17" s="1"/>
  <c r="G262" i="20"/>
  <c r="G238" i="17" s="1"/>
  <c r="G327" i="20"/>
  <c r="G303" i="17" s="1"/>
  <c r="G389" i="20"/>
  <c r="G363" i="17" s="1"/>
  <c r="G453" i="20"/>
  <c r="G427" i="17" s="1"/>
  <c r="G516" i="20"/>
  <c r="G488" i="17" s="1"/>
  <c r="G584" i="19"/>
  <c r="G555" i="17" s="1"/>
  <c r="G90" i="20"/>
  <c r="G68" i="17" s="1"/>
  <c r="G150" i="20"/>
  <c r="G128" i="17" s="1"/>
  <c r="G221" i="20"/>
  <c r="G197" i="17" s="1"/>
  <c r="G288" i="20"/>
  <c r="G264" i="17" s="1"/>
  <c r="G352" i="20"/>
  <c r="G328" i="17" s="1"/>
  <c r="G414" i="20"/>
  <c r="G388" i="17" s="1"/>
  <c r="G477" i="20"/>
  <c r="G449" i="17" s="1"/>
  <c r="G535" i="20"/>
  <c r="G507" i="17" s="1"/>
  <c r="G105" i="19"/>
  <c r="G522" i="19"/>
  <c r="G321" i="20"/>
  <c r="G297" i="17" s="1"/>
  <c r="G460" i="19"/>
  <c r="G275" i="19"/>
  <c r="G585" i="19"/>
  <c r="G556" i="17" s="1"/>
  <c r="G204" i="19"/>
  <c r="G94" i="19"/>
  <c r="G390" i="19"/>
  <c r="G101" i="19"/>
  <c r="G254" i="19"/>
  <c r="G508" i="19"/>
  <c r="G231" i="19"/>
  <c r="G69" i="19"/>
  <c r="G520" i="20"/>
  <c r="G492" i="17" s="1"/>
  <c r="G539" i="19"/>
  <c r="G232" i="20"/>
  <c r="G208" i="17" s="1"/>
  <c r="G425" i="20"/>
  <c r="G399" i="17" s="1"/>
  <c r="G506" i="20"/>
  <c r="G478" i="17" s="1"/>
  <c r="G456" i="19"/>
  <c r="G624" i="19"/>
  <c r="G595" i="17" s="1"/>
  <c r="G236" i="20"/>
  <c r="G212" i="17" s="1"/>
  <c r="G325" i="20"/>
  <c r="G301" i="17" s="1"/>
  <c r="G443" i="20"/>
  <c r="G417" i="17" s="1"/>
  <c r="G618" i="19"/>
  <c r="G589" i="17" s="1"/>
  <c r="G58" i="20"/>
  <c r="G36" i="17" s="1"/>
  <c r="G175" i="19"/>
  <c r="G240" i="19"/>
  <c r="G304" i="19"/>
  <c r="G369" i="19"/>
  <c r="G433" i="19"/>
  <c r="G498" i="19"/>
  <c r="G541" i="19"/>
  <c r="G573" i="19"/>
  <c r="G157" i="20"/>
  <c r="G135" i="17" s="1"/>
  <c r="G160" i="19"/>
  <c r="G398" i="19"/>
  <c r="G258" i="20"/>
  <c r="G234" i="17" s="1"/>
  <c r="G603" i="19"/>
  <c r="G574" i="17" s="1"/>
  <c r="G545" i="19"/>
  <c r="G128" i="20"/>
  <c r="G106" i="17" s="1"/>
  <c r="G400" i="20"/>
  <c r="G374" i="17" s="1"/>
  <c r="G604" i="19"/>
  <c r="G575" i="17" s="1"/>
  <c r="G284" i="20"/>
  <c r="G260" i="17" s="1"/>
  <c r="G541" i="20"/>
  <c r="G513" i="17" s="1"/>
  <c r="G140" i="20"/>
  <c r="G118" i="17" s="1"/>
  <c r="G412" i="20"/>
  <c r="G386" i="17" s="1"/>
  <c r="G212" i="20"/>
  <c r="G188" i="17" s="1"/>
  <c r="G468" i="20"/>
  <c r="G440" i="17" s="1"/>
  <c r="G166" i="20"/>
  <c r="G144" i="17" s="1"/>
  <c r="G422" i="20"/>
  <c r="G396" i="17" s="1"/>
  <c r="G551" i="20"/>
  <c r="G523" i="17" s="1"/>
  <c r="G74" i="20"/>
  <c r="G52" i="17" s="1"/>
  <c r="G97" i="20"/>
  <c r="G75" i="17" s="1"/>
  <c r="G612" i="19"/>
  <c r="G583" i="17" s="1"/>
  <c r="G382" i="20"/>
  <c r="G356" i="17" s="1"/>
  <c r="G534" i="19"/>
  <c r="G108" i="19"/>
  <c r="G433" i="20"/>
  <c r="G407" i="17" s="1"/>
  <c r="G66" i="20"/>
  <c r="G44" i="17" s="1"/>
  <c r="G634" i="19"/>
  <c r="G605" i="17" s="1"/>
  <c r="G184" i="20"/>
  <c r="G162" i="17" s="1"/>
  <c r="G464" i="20"/>
  <c r="G436" i="17" s="1"/>
  <c r="G65" i="20"/>
  <c r="G43" i="17" s="1"/>
  <c r="G340" i="20"/>
  <c r="G316" i="17" s="1"/>
  <c r="G569" i="20"/>
  <c r="G541" i="17" s="1"/>
  <c r="G211" i="20"/>
  <c r="G187" i="17" s="1"/>
  <c r="G467" i="20"/>
  <c r="G439" i="17" s="1"/>
  <c r="G270" i="20"/>
  <c r="G246" i="17" s="1"/>
  <c r="G524" i="20"/>
  <c r="G496" i="17" s="1"/>
  <c r="G229" i="20"/>
  <c r="G205" i="17" s="1"/>
  <c r="G430" i="20"/>
  <c r="G404" i="17" s="1"/>
  <c r="G571" i="20"/>
  <c r="G543" i="17" s="1"/>
  <c r="G446" i="20"/>
  <c r="G420" i="17" s="1"/>
  <c r="G304" i="20"/>
  <c r="G280" i="17" s="1"/>
  <c r="G76" i="19"/>
  <c r="G560" i="20"/>
  <c r="G532" i="17" s="1"/>
  <c r="G397" i="20"/>
  <c r="G371" i="17" s="1"/>
  <c r="G120" i="20"/>
  <c r="G98" i="17" s="1"/>
  <c r="G404" i="20"/>
  <c r="G378" i="17" s="1"/>
  <c r="G543" i="20"/>
  <c r="G515" i="17" s="1"/>
  <c r="G329" i="20"/>
  <c r="G305" i="17" s="1"/>
  <c r="G262" i="19"/>
  <c r="G318" i="19"/>
  <c r="G183" i="19"/>
  <c r="G165" i="20"/>
  <c r="G143" i="17" s="1"/>
  <c r="G192" i="20"/>
  <c r="G170" i="17" s="1"/>
  <c r="G471" i="20"/>
  <c r="G443" i="17" s="1"/>
  <c r="G72" i="20"/>
  <c r="G50" i="17" s="1"/>
  <c r="G348" i="20"/>
  <c r="G324" i="17" s="1"/>
  <c r="G573" i="20"/>
  <c r="G545" i="17" s="1"/>
  <c r="G219" i="20"/>
  <c r="G195" i="17" s="1"/>
  <c r="G475" i="20"/>
  <c r="G447" i="17" s="1"/>
  <c r="G278" i="20"/>
  <c r="G254" i="17" s="1"/>
  <c r="G632" i="19"/>
  <c r="G603" i="17" s="1"/>
  <c r="G239" i="20"/>
  <c r="G215" i="17" s="1"/>
  <c r="G575" i="20"/>
  <c r="G547" i="17" s="1"/>
  <c r="G84" i="19"/>
  <c r="G34" i="20"/>
  <c r="G14" i="17" s="1"/>
  <c r="G342" i="20"/>
  <c r="G318" i="17" s="1"/>
  <c r="G360" i="20"/>
  <c r="G336" i="17" s="1"/>
  <c r="G275" i="20"/>
  <c r="G251" i="17" s="1"/>
  <c r="G461" i="20"/>
  <c r="G433" i="17" s="1"/>
  <c r="G500" i="19"/>
  <c r="G554" i="19"/>
  <c r="G480" i="19"/>
  <c r="G248" i="19"/>
  <c r="G511" i="19"/>
  <c r="G257" i="20"/>
  <c r="G233" i="17" s="1"/>
  <c r="G527" i="20"/>
  <c r="G499" i="17" s="1"/>
  <c r="G138" i="20"/>
  <c r="G116" i="17" s="1"/>
  <c r="G410" i="20"/>
  <c r="G384" i="17" s="1"/>
  <c r="G602" i="19"/>
  <c r="G573" i="17" s="1"/>
  <c r="G277" i="20"/>
  <c r="G253" i="17" s="1"/>
  <c r="G530" i="20"/>
  <c r="G502" i="17" s="1"/>
  <c r="G335" i="20"/>
  <c r="G311" i="17" s="1"/>
  <c r="G32" i="20"/>
  <c r="G12" i="17" s="1"/>
  <c r="G296" i="20"/>
  <c r="G272" i="17" s="1"/>
  <c r="G485" i="20"/>
  <c r="G457" i="17" s="1"/>
  <c r="G377" i="19"/>
  <c r="G481" i="20"/>
  <c r="G453" i="17" s="1"/>
  <c r="G392" i="20"/>
  <c r="G366" i="17" s="1"/>
  <c r="G189" i="20"/>
  <c r="G167" i="17" s="1"/>
  <c r="G283" i="19"/>
  <c r="G239" i="19"/>
  <c r="G107" i="20"/>
  <c r="G85" i="17" s="1"/>
  <c r="G312" i="19"/>
  <c r="G519" i="19"/>
  <c r="G532" i="20"/>
  <c r="G504" i="17" s="1"/>
  <c r="G146" i="20"/>
  <c r="G124" i="17" s="1"/>
  <c r="G418" i="20"/>
  <c r="G392" i="17" s="1"/>
  <c r="G594" i="19"/>
  <c r="G565" i="17" s="1"/>
  <c r="G286" i="20"/>
  <c r="G262" i="17" s="1"/>
  <c r="G534" i="20"/>
  <c r="G506" i="17" s="1"/>
  <c r="G343" i="20"/>
  <c r="G319" i="17" s="1"/>
  <c r="G47" i="20"/>
  <c r="G25" i="17" s="1"/>
  <c r="G493" i="20"/>
  <c r="G465" i="17" s="1"/>
  <c r="G244" i="20"/>
  <c r="G220" i="17" s="1"/>
  <c r="G322" i="20"/>
  <c r="G298" i="17" s="1"/>
  <c r="G209" i="20"/>
  <c r="G185" i="17" s="1"/>
  <c r="G562" i="20"/>
  <c r="G534" i="17" s="1"/>
  <c r="G509" i="20"/>
  <c r="G481" i="17" s="1"/>
  <c r="G537" i="20"/>
  <c r="G509" i="17" s="1"/>
  <c r="G158" i="20"/>
  <c r="G136" i="17" s="1"/>
  <c r="G212" i="19"/>
  <c r="G528" i="20"/>
  <c r="G500" i="17" s="1"/>
  <c r="G333" i="20"/>
  <c r="G309" i="17" s="1"/>
  <c r="G441" i="19"/>
  <c r="G42" i="20"/>
  <c r="G20" i="17" s="1"/>
  <c r="G330" i="20"/>
  <c r="G306" i="17" s="1"/>
  <c r="G564" i="20"/>
  <c r="G536" i="17" s="1"/>
  <c r="G217" i="20"/>
  <c r="G193" i="17" s="1"/>
  <c r="G489" i="20"/>
  <c r="G461" i="17" s="1"/>
  <c r="G80" i="20"/>
  <c r="G58" i="17" s="1"/>
  <c r="G350" i="20"/>
  <c r="G326" i="17" s="1"/>
  <c r="G566" i="20"/>
  <c r="G538" i="17" s="1"/>
  <c r="G405" i="20"/>
  <c r="G379" i="17" s="1"/>
  <c r="G104" i="20"/>
  <c r="G82" i="17" s="1"/>
  <c r="G368" i="20"/>
  <c r="G344" i="17" s="1"/>
  <c r="G539" i="20"/>
  <c r="G511" i="17" s="1"/>
  <c r="G116" i="19"/>
  <c r="G543" i="19"/>
  <c r="G451" i="20"/>
  <c r="G425" i="17" s="1"/>
  <c r="G506" i="19"/>
  <c r="G132" i="20"/>
  <c r="G110" i="17" s="1"/>
  <c r="G30" i="20"/>
  <c r="G10" i="17" s="1"/>
  <c r="J1105" i="1"/>
  <c r="J1087" i="1"/>
  <c r="J1079" i="1"/>
  <c r="J998" i="1"/>
  <c r="J923" i="1"/>
  <c r="J915" i="1"/>
  <c r="J887" i="1"/>
  <c r="J879" i="1"/>
  <c r="J863" i="1"/>
  <c r="J822" i="1"/>
  <c r="J793" i="1"/>
  <c r="J785" i="1"/>
  <c r="J768" i="1"/>
  <c r="J709" i="1"/>
  <c r="J665" i="1"/>
  <c r="J636" i="1"/>
  <c r="J627" i="1"/>
  <c r="J619" i="1"/>
  <c r="J607"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26" i="20"/>
  <c r="J52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4" i="20"/>
  <c r="J52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6" i="20"/>
  <c r="J116" i="20" s="1"/>
  <c r="I117" i="19"/>
  <c r="J117" i="19" s="1"/>
  <c r="L117" i="19" s="1"/>
  <c r="I80" i="20"/>
  <c r="J80"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1" i="20"/>
  <c r="J52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27" i="20"/>
  <c r="J52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M506" i="20" s="1"/>
  <c r="I497" i="19"/>
  <c r="J497" i="19" s="1"/>
  <c r="I514" i="20"/>
  <c r="J514" i="20" s="1"/>
  <c r="I505" i="19"/>
  <c r="J505" i="19" s="1"/>
  <c r="I522" i="20"/>
  <c r="J52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2" i="20"/>
  <c r="J52" i="20" s="1"/>
  <c r="I53" i="19"/>
  <c r="J53" i="19" s="1"/>
  <c r="L53" i="19" s="1"/>
  <c r="I70" i="20"/>
  <c r="J70"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25" i="20"/>
  <c r="J525" i="20" s="1"/>
  <c r="I516" i="19"/>
  <c r="J516" i="19" s="1"/>
  <c r="I99" i="20"/>
  <c r="J99" i="20" s="1"/>
  <c r="I100" i="19"/>
  <c r="J100" i="19" s="1"/>
  <c r="L100" i="19" s="1"/>
  <c r="I43" i="20"/>
  <c r="J43"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0" i="20"/>
  <c r="J520" i="20" s="1"/>
  <c r="I511" i="19"/>
  <c r="J511" i="19" s="1"/>
  <c r="I528" i="20"/>
  <c r="J52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2" i="20"/>
  <c r="J102" i="20" s="1"/>
  <c r="I103" i="19"/>
  <c r="J103" i="19" s="1"/>
  <c r="L103" i="19" s="1"/>
  <c r="I62" i="20"/>
  <c r="J62"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3" i="20"/>
  <c r="J523" i="20" s="1"/>
  <c r="I514" i="19"/>
  <c r="J514" i="19" s="1"/>
  <c r="J1138" i="1"/>
  <c r="J761" i="1"/>
  <c r="J753" i="1"/>
  <c r="J745" i="1"/>
  <c r="J737" i="1"/>
  <c r="J723" i="1"/>
  <c r="J715" i="1"/>
  <c r="J707" i="1"/>
  <c r="J699" i="1"/>
  <c r="J691" i="1"/>
  <c r="J260" i="1"/>
  <c r="J760" i="1"/>
  <c r="J752" i="1"/>
  <c r="J744" i="1"/>
  <c r="J736" i="1"/>
  <c r="J722" i="1"/>
  <c r="J714" i="1"/>
  <c r="J706" i="1"/>
  <c r="J698" i="1"/>
  <c r="J690" i="1"/>
  <c r="J14" i="1"/>
  <c r="J759" i="1"/>
  <c r="J751" i="1"/>
  <c r="J743" i="1"/>
  <c r="J735" i="1"/>
  <c r="J721" i="1"/>
  <c r="J713" i="1"/>
  <c r="J705" i="1"/>
  <c r="J697" i="1"/>
  <c r="J689" i="1"/>
  <c r="J553" i="1"/>
  <c r="J13" i="1"/>
  <c r="J758" i="1"/>
  <c r="J742" i="1"/>
  <c r="J720" i="1"/>
  <c r="J704" i="1"/>
  <c r="J696" i="1"/>
  <c r="J12" i="1"/>
  <c r="J1292" i="1"/>
  <c r="J765" i="1"/>
  <c r="J757" i="1"/>
  <c r="J749" i="1"/>
  <c r="J741" i="1"/>
  <c r="J727" i="1"/>
  <c r="J719" i="1"/>
  <c r="J711" i="1"/>
  <c r="J703" i="1"/>
  <c r="J695" i="1"/>
  <c r="J687" i="1"/>
  <c r="J511" i="1"/>
  <c r="J766" i="1"/>
  <c r="J750" i="1"/>
  <c r="J734" i="1"/>
  <c r="J712" i="1"/>
  <c r="J688" i="1"/>
  <c r="J1290" i="1"/>
  <c r="J764" i="1"/>
  <c r="J756" i="1"/>
  <c r="J748" i="1"/>
  <c r="J740" i="1"/>
  <c r="J726" i="1"/>
  <c r="J718" i="1"/>
  <c r="J710" i="1"/>
  <c r="J702" i="1"/>
  <c r="J694" i="1"/>
  <c r="J686" i="1"/>
  <c r="J448" i="1"/>
  <c r="J179" i="1"/>
  <c r="J890" i="1"/>
  <c r="J762" i="1"/>
  <c r="J754" i="1"/>
  <c r="J746" i="1"/>
  <c r="J738" i="1"/>
  <c r="J724" i="1"/>
  <c r="J716" i="1"/>
  <c r="J708" i="1"/>
  <c r="J700" i="1"/>
  <c r="J362" i="1"/>
  <c r="J548" i="1"/>
  <c r="J504" i="1"/>
  <c r="J441" i="1"/>
  <c r="J399" i="1"/>
  <c r="J355" i="1"/>
  <c r="J313" i="1"/>
  <c r="J131" i="1"/>
  <c r="J73" i="1"/>
  <c r="J25" i="1"/>
  <c r="J1132" i="1"/>
  <c r="J1046" i="1"/>
  <c r="J951" i="1"/>
  <c r="J833" i="1"/>
  <c r="J802" i="1"/>
  <c r="J663" i="1"/>
  <c r="J545" i="1"/>
  <c r="J503" i="1"/>
  <c r="J440" i="1"/>
  <c r="J396" i="1"/>
  <c r="J354" i="1"/>
  <c r="J312" i="1"/>
  <c r="J258" i="1"/>
  <c r="J122" i="1"/>
  <c r="J64" i="1"/>
  <c r="J24" i="1"/>
  <c r="J834" i="1"/>
  <c r="J1130" i="1"/>
  <c r="J1045" i="1"/>
  <c r="J950" i="1"/>
  <c r="J797" i="1"/>
  <c r="J682" i="1"/>
  <c r="J646" i="1"/>
  <c r="J609" i="1"/>
  <c r="J544" i="1"/>
  <c r="J502" i="1"/>
  <c r="J439" i="1"/>
  <c r="J395" i="1"/>
  <c r="J353" i="1"/>
  <c r="J311" i="1"/>
  <c r="J257" i="1"/>
  <c r="J121" i="1"/>
  <c r="J61" i="1"/>
  <c r="J1120" i="1"/>
  <c r="J1038" i="1"/>
  <c r="J985" i="1"/>
  <c r="J909" i="1"/>
  <c r="J816" i="1"/>
  <c r="J645" i="1"/>
  <c r="J608" i="1"/>
  <c r="J575" i="1"/>
  <c r="J533" i="1"/>
  <c r="J489" i="1"/>
  <c r="J426" i="1"/>
  <c r="J384" i="1"/>
  <c r="J340" i="1"/>
  <c r="J297" i="1"/>
  <c r="J256" i="1"/>
  <c r="J116" i="1"/>
  <c r="J60" i="1"/>
  <c r="J1119" i="1"/>
  <c r="J1037" i="1"/>
  <c r="J984" i="1"/>
  <c r="J908" i="1"/>
  <c r="J815" i="1"/>
  <c r="J568" i="1"/>
  <c r="J526" i="1"/>
  <c r="J463" i="1"/>
  <c r="J419" i="1"/>
  <c r="J377" i="1"/>
  <c r="J335" i="1"/>
  <c r="J289" i="1"/>
  <c r="J101" i="1"/>
  <c r="J1150" i="1"/>
  <c r="J1112" i="1"/>
  <c r="J1066" i="1"/>
  <c r="J1024" i="1"/>
  <c r="J973" i="1"/>
  <c r="J814" i="1"/>
  <c r="J567" i="1"/>
  <c r="J525" i="1"/>
  <c r="J460" i="1"/>
  <c r="J418" i="1"/>
  <c r="J376" i="1"/>
  <c r="J332" i="1"/>
  <c r="J288" i="1"/>
  <c r="J92" i="1"/>
  <c r="J1149" i="1"/>
  <c r="J1065" i="1"/>
  <c r="J1023" i="1"/>
  <c r="J972" i="1"/>
  <c r="J566" i="1"/>
  <c r="J459" i="1"/>
  <c r="J417" i="1"/>
  <c r="J375" i="1"/>
  <c r="J331" i="1"/>
  <c r="J287" i="1"/>
  <c r="J261" i="1"/>
  <c r="J91" i="1"/>
  <c r="J1169" i="1"/>
  <c r="J1427" i="1"/>
  <c r="J1428" i="1"/>
  <c r="J1422" i="1"/>
  <c r="J1404" i="1"/>
  <c r="J1412" i="1"/>
  <c r="J1381" i="1"/>
  <c r="J1389" i="1"/>
  <c r="J1397" i="1"/>
  <c r="J1417" i="1"/>
  <c r="J1399" i="1"/>
  <c r="J1407" i="1"/>
  <c r="J1415" i="1"/>
  <c r="J1384" i="1"/>
  <c r="J1392" i="1"/>
  <c r="J1400" i="1"/>
  <c r="J1393" i="1"/>
  <c r="J1420" i="1"/>
  <c r="J1402" i="1"/>
  <c r="J1387" i="1"/>
  <c r="J1395" i="1"/>
  <c r="J1421" i="1"/>
  <c r="J1411" i="1"/>
  <c r="J1388" i="1"/>
  <c r="J1429" i="1"/>
  <c r="J1423" i="1"/>
  <c r="J1405" i="1"/>
  <c r="J1413" i="1"/>
  <c r="J1382" i="1"/>
  <c r="J1390" i="1"/>
  <c r="J1398" i="1"/>
  <c r="J1416" i="1"/>
  <c r="J1406" i="1"/>
  <c r="J1414" i="1"/>
  <c r="J1383" i="1"/>
  <c r="J1391" i="1"/>
  <c r="J1430" i="1"/>
  <c r="J1418" i="1"/>
  <c r="J1408" i="1"/>
  <c r="J1385" i="1"/>
  <c r="J1410" i="1"/>
  <c r="J1403" i="1"/>
  <c r="J1380" i="1"/>
  <c r="J1396" i="1"/>
  <c r="J1431" i="1"/>
  <c r="J1424" i="1"/>
  <c r="J1432" i="1"/>
  <c r="J1425" i="1"/>
  <c r="J1433" i="1"/>
  <c r="J1419" i="1"/>
  <c r="J1401" i="1"/>
  <c r="J1409" i="1"/>
  <c r="J1386" i="1"/>
  <c r="J1394" i="1"/>
  <c r="J1426" i="1"/>
  <c r="J630" i="1"/>
  <c r="J142" i="1"/>
  <c r="J143" i="1"/>
  <c r="J149" i="1"/>
  <c r="J731" i="1"/>
  <c r="J771" i="1"/>
  <c r="J846" i="1"/>
  <c r="J854" i="1"/>
  <c r="J894" i="1"/>
  <c r="J946" i="1"/>
  <c r="J732" i="1"/>
  <c r="J772" i="1"/>
  <c r="J855" i="1"/>
  <c r="J871" i="1"/>
  <c r="J895" i="1"/>
  <c r="J911" i="1"/>
  <c r="J947" i="1"/>
  <c r="J770" i="1"/>
  <c r="J850" i="1"/>
  <c r="J860" i="1"/>
  <c r="J896" i="1"/>
  <c r="J914" i="1"/>
  <c r="J934" i="1"/>
  <c r="J141" i="1"/>
  <c r="J774" i="1"/>
  <c r="J839" i="1"/>
  <c r="J872" i="1"/>
  <c r="J948" i="1"/>
  <c r="J840" i="1"/>
  <c r="J773" i="1"/>
  <c r="J838" i="1"/>
  <c r="J851" i="1"/>
  <c r="J861" i="1"/>
  <c r="J897" i="1"/>
  <c r="J935" i="1"/>
  <c r="J945" i="1"/>
  <c r="J852" i="1"/>
  <c r="J898" i="1"/>
  <c r="J936" i="1"/>
  <c r="J775" i="1"/>
  <c r="J144" i="1"/>
  <c r="J733" i="1"/>
  <c r="J853" i="1"/>
  <c r="J889" i="1"/>
  <c r="J1337" i="1"/>
  <c r="J1284" i="1"/>
  <c r="J1236" i="1"/>
  <c r="J1188" i="1"/>
  <c r="J1148" i="1"/>
  <c r="J1129" i="1"/>
  <c r="J1094" i="1"/>
  <c r="J1078" i="1"/>
  <c r="J1056" i="1"/>
  <c r="J1034" i="1"/>
  <c r="J1014" i="1"/>
  <c r="J983" i="1"/>
  <c r="J961" i="1"/>
  <c r="J942" i="1"/>
  <c r="J867" i="1"/>
  <c r="J857" i="1"/>
  <c r="J832" i="1"/>
  <c r="J677" i="1"/>
  <c r="J656" i="1"/>
  <c r="J585" i="1"/>
  <c r="J565" i="1"/>
  <c r="J543" i="1"/>
  <c r="J521" i="1"/>
  <c r="J501" i="1"/>
  <c r="J458" i="1"/>
  <c r="J436" i="1"/>
  <c r="J416" i="1"/>
  <c r="J394" i="1"/>
  <c r="J372" i="1"/>
  <c r="J352" i="1"/>
  <c r="J330" i="1"/>
  <c r="J308" i="1"/>
  <c r="J286" i="1"/>
  <c r="J145" i="1"/>
  <c r="J115" i="1"/>
  <c r="J89" i="1"/>
  <c r="J59" i="1"/>
  <c r="J9" i="1"/>
  <c r="J1332" i="1"/>
  <c r="J1282" i="1"/>
  <c r="J1234" i="1"/>
  <c r="J1186" i="1"/>
  <c r="J1146" i="1"/>
  <c r="J1128" i="1"/>
  <c r="J1093" i="1"/>
  <c r="J1077" i="1"/>
  <c r="J1055" i="1"/>
  <c r="J1033" i="1"/>
  <c r="J1013" i="1"/>
  <c r="J982" i="1"/>
  <c r="J960" i="1"/>
  <c r="J941" i="1"/>
  <c r="J866" i="1"/>
  <c r="J856" i="1"/>
  <c r="J831" i="1"/>
  <c r="J655" i="1"/>
  <c r="J599" i="1"/>
  <c r="J580" i="1"/>
  <c r="J558" i="1"/>
  <c r="J536" i="1"/>
  <c r="J516" i="1"/>
  <c r="J494" i="1"/>
  <c r="J451" i="1"/>
  <c r="J431" i="1"/>
  <c r="J409" i="1"/>
  <c r="J387" i="1"/>
  <c r="J367" i="1"/>
  <c r="J345" i="1"/>
  <c r="J323" i="1"/>
  <c r="J303" i="1"/>
  <c r="J275" i="1"/>
  <c r="J136" i="1"/>
  <c r="J106" i="1"/>
  <c r="J80" i="1"/>
  <c r="J1364" i="1"/>
  <c r="J1316" i="1"/>
  <c r="J1268" i="1"/>
  <c r="J1218" i="1"/>
  <c r="J1170" i="1"/>
  <c r="J1141" i="1"/>
  <c r="J1122" i="1"/>
  <c r="J1070" i="1"/>
  <c r="J1048" i="1"/>
  <c r="J1026" i="1"/>
  <c r="J1005" i="1"/>
  <c r="J975" i="1"/>
  <c r="J953" i="1"/>
  <c r="J940" i="1"/>
  <c r="J913" i="1"/>
  <c r="J865" i="1"/>
  <c r="J849" i="1"/>
  <c r="J806" i="1"/>
  <c r="J654" i="1"/>
  <c r="J598" i="1"/>
  <c r="J577" i="1"/>
  <c r="J557" i="1"/>
  <c r="J535" i="1"/>
  <c r="J513" i="1"/>
  <c r="J493" i="1"/>
  <c r="J450" i="1"/>
  <c r="J428" i="1"/>
  <c r="J408" i="1"/>
  <c r="J386" i="1"/>
  <c r="J364" i="1"/>
  <c r="J344" i="1"/>
  <c r="J322" i="1"/>
  <c r="J299" i="1"/>
  <c r="J274" i="1"/>
  <c r="J133" i="1"/>
  <c r="J105" i="1"/>
  <c r="J77" i="1"/>
  <c r="J146" i="1"/>
  <c r="J1362" i="1"/>
  <c r="J1314" i="1"/>
  <c r="J1265" i="1"/>
  <c r="J1217" i="1"/>
  <c r="J1140" i="1"/>
  <c r="J1121" i="1"/>
  <c r="J1069" i="1"/>
  <c r="J1047" i="1"/>
  <c r="J1025" i="1"/>
  <c r="J1004" i="1"/>
  <c r="J974" i="1"/>
  <c r="J952" i="1"/>
  <c r="J933" i="1"/>
  <c r="J912" i="1"/>
  <c r="J848" i="1"/>
  <c r="J817" i="1"/>
  <c r="J805" i="1"/>
  <c r="J597" i="1"/>
  <c r="J576" i="1"/>
  <c r="J556" i="1"/>
  <c r="J534" i="1"/>
  <c r="J512" i="1"/>
  <c r="J492" i="1"/>
  <c r="J449" i="1"/>
  <c r="J427" i="1"/>
  <c r="J407" i="1"/>
  <c r="J385" i="1"/>
  <c r="J363" i="1"/>
  <c r="J343" i="1"/>
  <c r="J321" i="1"/>
  <c r="J298" i="1"/>
  <c r="J273" i="1"/>
  <c r="J132" i="1"/>
  <c r="J104" i="1"/>
  <c r="J154" i="1"/>
  <c r="J152" i="1"/>
  <c r="J167" i="1"/>
  <c r="J1161" i="1"/>
  <c r="J1180" i="1"/>
  <c r="J1202" i="1"/>
  <c r="J1225" i="1"/>
  <c r="J1244" i="1"/>
  <c r="J1266" i="1"/>
  <c r="J1289" i="1"/>
  <c r="J1308" i="1"/>
  <c r="J1330" i="1"/>
  <c r="J1353" i="1"/>
  <c r="J1372" i="1"/>
  <c r="J168" i="1"/>
  <c r="J1172" i="1"/>
  <c r="J1196" i="1"/>
  <c r="J1220" i="1"/>
  <c r="J1249" i="1"/>
  <c r="J1273" i="1"/>
  <c r="J1297" i="1"/>
  <c r="J1321" i="1"/>
  <c r="J1345" i="1"/>
  <c r="J1369" i="1"/>
  <c r="J1154" i="1"/>
  <c r="J1178" i="1"/>
  <c r="J1228" i="1"/>
  <c r="J1276" i="1"/>
  <c r="J1324" i="1"/>
  <c r="J1377" i="1"/>
  <c r="J1156" i="1"/>
  <c r="J1209" i="1"/>
  <c r="J1281" i="1"/>
  <c r="J1354" i="1"/>
  <c r="J1153" i="1"/>
  <c r="J1177" i="1"/>
  <c r="J1201" i="1"/>
  <c r="J1226" i="1"/>
  <c r="J1250" i="1"/>
  <c r="J1274" i="1"/>
  <c r="J1298" i="1"/>
  <c r="J1322" i="1"/>
  <c r="J1346" i="1"/>
  <c r="J1370" i="1"/>
  <c r="J155" i="1"/>
  <c r="J1204" i="1"/>
  <c r="J1252" i="1"/>
  <c r="J1300" i="1"/>
  <c r="J1348" i="1"/>
  <c r="J1185" i="1"/>
  <c r="J1257" i="1"/>
  <c r="J1329" i="1"/>
  <c r="J1233" i="1"/>
  <c r="J1305" i="1"/>
  <c r="J1378" i="1"/>
  <c r="J893" i="1"/>
  <c r="J845" i="1"/>
  <c r="J892" i="1"/>
  <c r="J844" i="1"/>
  <c r="J778"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90" i="1"/>
  <c r="J498" i="1"/>
  <c r="J506" i="1"/>
  <c r="J514" i="1"/>
  <c r="J522" i="1"/>
  <c r="J530" i="1"/>
  <c r="J538" i="1"/>
  <c r="J546" i="1"/>
  <c r="J554" i="1"/>
  <c r="J570" i="1"/>
  <c r="J586" i="1"/>
  <c r="J594" i="1"/>
  <c r="J602" i="1"/>
  <c r="J610" i="1"/>
  <c r="J643" i="1"/>
  <c r="J835" i="1"/>
  <c r="J870" i="1"/>
  <c r="J910" i="1"/>
  <c r="J938"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91" i="1"/>
  <c r="J499" i="1"/>
  <c r="J507" i="1"/>
  <c r="J515" i="1"/>
  <c r="J531" i="1"/>
  <c r="J539" i="1"/>
  <c r="J547" i="1"/>
  <c r="J555" i="1"/>
  <c r="J563" i="1"/>
  <c r="J571" i="1"/>
  <c r="J595" i="1"/>
  <c r="J603" i="1"/>
  <c r="J644" i="1"/>
  <c r="J836" i="1"/>
  <c r="J939" i="1"/>
  <c r="J67" i="1"/>
  <c r="J81" i="1"/>
  <c r="J93" i="1"/>
  <c r="J109" i="1"/>
  <c r="J123" i="1"/>
  <c r="J137" i="1"/>
  <c r="J175" i="1"/>
  <c r="J278" i="1"/>
  <c r="J290" i="1"/>
  <c r="J304" i="1"/>
  <c r="J314" i="1"/>
  <c r="J324" i="1"/>
  <c r="J336" i="1"/>
  <c r="J346" i="1"/>
  <c r="J356" i="1"/>
  <c r="J368" i="1"/>
  <c r="J378" i="1"/>
  <c r="J388" i="1"/>
  <c r="J400" i="1"/>
  <c r="J410" i="1"/>
  <c r="J420" i="1"/>
  <c r="J432" i="1"/>
  <c r="J442" i="1"/>
  <c r="J452" i="1"/>
  <c r="J485" i="1"/>
  <c r="J505" i="1"/>
  <c r="J517" i="1"/>
  <c r="J527" i="1"/>
  <c r="J537" i="1"/>
  <c r="J549" i="1"/>
  <c r="J559" i="1"/>
  <c r="J569" i="1"/>
  <c r="J581" i="1"/>
  <c r="J590" i="1"/>
  <c r="J600" i="1"/>
  <c r="J647" i="1"/>
  <c r="J837" i="1"/>
  <c r="J868" i="1"/>
  <c r="J83" i="1"/>
  <c r="J113" i="1"/>
  <c r="J295" i="1"/>
  <c r="J316" i="1"/>
  <c r="J338" i="1"/>
  <c r="J360" i="1"/>
  <c r="J380" i="1"/>
  <c r="J402" i="1"/>
  <c r="J424" i="1"/>
  <c r="J444" i="1"/>
  <c r="J487" i="1"/>
  <c r="J509" i="1"/>
  <c r="J519" i="1"/>
  <c r="J541" i="1"/>
  <c r="J561" i="1"/>
  <c r="J583" i="1"/>
  <c r="J604" i="1"/>
  <c r="J906" i="1"/>
  <c r="J72" i="1"/>
  <c r="J84" i="1"/>
  <c r="J100" i="1"/>
  <c r="J128" i="1"/>
  <c r="J178" i="1"/>
  <c r="J296" i="1"/>
  <c r="J319" i="1"/>
  <c r="J339" i="1"/>
  <c r="J361" i="1"/>
  <c r="J393" i="1"/>
  <c r="J415" i="1"/>
  <c r="J447" i="1"/>
  <c r="J500" i="1"/>
  <c r="J532" i="1"/>
  <c r="J564" i="1"/>
  <c r="J593" i="1"/>
  <c r="J907" i="1"/>
  <c r="J937" i="1"/>
  <c r="J68" i="1"/>
  <c r="J82" i="1"/>
  <c r="J96" i="1"/>
  <c r="J112" i="1"/>
  <c r="J124" i="1"/>
  <c r="J138" i="1"/>
  <c r="J279" i="1"/>
  <c r="J294" i="1"/>
  <c r="J305" i="1"/>
  <c r="J315" i="1"/>
  <c r="J327" i="1"/>
  <c r="J337" i="1"/>
  <c r="J347" i="1"/>
  <c r="J359" i="1"/>
  <c r="J369" i="1"/>
  <c r="J379" i="1"/>
  <c r="J391" i="1"/>
  <c r="J401" i="1"/>
  <c r="J411" i="1"/>
  <c r="J423" i="1"/>
  <c r="J433" i="1"/>
  <c r="J443" i="1"/>
  <c r="J455" i="1"/>
  <c r="J486" i="1"/>
  <c r="J496" i="1"/>
  <c r="J508" i="1"/>
  <c r="J518" i="1"/>
  <c r="J528" i="1"/>
  <c r="J540" i="1"/>
  <c r="J550" i="1"/>
  <c r="J560" i="1"/>
  <c r="J572" i="1"/>
  <c r="J582" i="1"/>
  <c r="J591" i="1"/>
  <c r="J601" i="1"/>
  <c r="J648" i="1"/>
  <c r="J869" i="1"/>
  <c r="J905" i="1"/>
  <c r="J69" i="1"/>
  <c r="J99" i="1"/>
  <c r="J125" i="1"/>
  <c r="J177" i="1"/>
  <c r="J280" i="1"/>
  <c r="J306" i="1"/>
  <c r="J328" i="1"/>
  <c r="J348" i="1"/>
  <c r="J370" i="1"/>
  <c r="J392" i="1"/>
  <c r="J412" i="1"/>
  <c r="J434" i="1"/>
  <c r="J456" i="1"/>
  <c r="J497" i="1"/>
  <c r="J529" i="1"/>
  <c r="J551" i="1"/>
  <c r="J573" i="1"/>
  <c r="J592" i="1"/>
  <c r="J782" i="1"/>
  <c r="J829" i="1"/>
  <c r="J114" i="1"/>
  <c r="J371" i="1"/>
  <c r="J425" i="1"/>
  <c r="J457" i="1"/>
  <c r="J510" i="1"/>
  <c r="J542" i="1"/>
  <c r="J574" i="1"/>
  <c r="J830" i="1"/>
  <c r="J283" i="1"/>
  <c r="J307" i="1"/>
  <c r="J329" i="1"/>
  <c r="J351" i="1"/>
  <c r="J383" i="1"/>
  <c r="J403" i="1"/>
  <c r="J435" i="1"/>
  <c r="J488" i="1"/>
  <c r="J520" i="1"/>
  <c r="J552" i="1"/>
  <c r="J584" i="1"/>
  <c r="J891" i="1"/>
  <c r="J859" i="1"/>
  <c r="J777" i="1"/>
  <c r="J147" i="1"/>
  <c r="J651" i="1"/>
  <c r="J659" i="1"/>
  <c r="J667" i="1"/>
  <c r="J683" i="1"/>
  <c r="J795" i="1"/>
  <c r="J803" i="1"/>
  <c r="J811" i="1"/>
  <c r="J954" i="1"/>
  <c r="J962" i="1"/>
  <c r="J970" i="1"/>
  <c r="J978" i="1"/>
  <c r="J986" i="1"/>
  <c r="J1002" i="1"/>
  <c r="J1011" i="1"/>
  <c r="J1019" i="1"/>
  <c r="J1027" i="1"/>
  <c r="J1035" i="1"/>
  <c r="J1043" i="1"/>
  <c r="J1051" i="1"/>
  <c r="J1059" i="1"/>
  <c r="J1067" i="1"/>
  <c r="J1075" i="1"/>
  <c r="J1115" i="1"/>
  <c r="J1123" i="1"/>
  <c r="J1131" i="1"/>
  <c r="J1139" i="1"/>
  <c r="J1147" i="1"/>
  <c r="J652" i="1"/>
  <c r="J660" i="1"/>
  <c r="J668" i="1"/>
  <c r="J676" i="1"/>
  <c r="J684" i="1"/>
  <c r="J796" i="1"/>
  <c r="J804" i="1"/>
  <c r="J812" i="1"/>
  <c r="J828" i="1"/>
  <c r="J847" i="1"/>
  <c r="J955" i="1"/>
  <c r="J963" i="1"/>
  <c r="J971" i="1"/>
  <c r="J979" i="1"/>
  <c r="J987" i="1"/>
  <c r="J1003" i="1"/>
  <c r="J1012" i="1"/>
  <c r="J1020" i="1"/>
  <c r="J1028" i="1"/>
  <c r="J1036" i="1"/>
  <c r="J1044" i="1"/>
  <c r="J1052" i="1"/>
  <c r="J1060" i="1"/>
  <c r="J1068" i="1"/>
  <c r="J1076" i="1"/>
  <c r="J1116" i="1"/>
  <c r="J657" i="1"/>
  <c r="J669" i="1"/>
  <c r="J678" i="1"/>
  <c r="J728" i="1"/>
  <c r="J798" i="1"/>
  <c r="J818" i="1"/>
  <c r="J956" i="1"/>
  <c r="J966" i="1"/>
  <c r="J976" i="1"/>
  <c r="J988" i="1"/>
  <c r="J1006" i="1"/>
  <c r="J1017" i="1"/>
  <c r="J1029" i="1"/>
  <c r="J1039" i="1"/>
  <c r="J1049" i="1"/>
  <c r="J1061" i="1"/>
  <c r="J1071" i="1"/>
  <c r="J1113" i="1"/>
  <c r="J1124" i="1"/>
  <c r="J1133" i="1"/>
  <c r="J1142" i="1"/>
  <c r="J1151" i="1"/>
  <c r="J649" i="1"/>
  <c r="J671" i="1"/>
  <c r="J810" i="1"/>
  <c r="J968" i="1"/>
  <c r="J980" i="1"/>
  <c r="J1021" i="1"/>
  <c r="J1041" i="1"/>
  <c r="J1063" i="1"/>
  <c r="J1117" i="1"/>
  <c r="J1135" i="1"/>
  <c r="J672" i="1"/>
  <c r="J801" i="1"/>
  <c r="J969" i="1"/>
  <c r="J1032" i="1"/>
  <c r="J1064" i="1"/>
  <c r="J1127" i="1"/>
  <c r="J658" i="1"/>
  <c r="J670" i="1"/>
  <c r="J679" i="1"/>
  <c r="J729" i="1"/>
  <c r="J799" i="1"/>
  <c r="J957" i="1"/>
  <c r="J967" i="1"/>
  <c r="J977" i="1"/>
  <c r="J989" i="1"/>
  <c r="J1007" i="1"/>
  <c r="J1018" i="1"/>
  <c r="J1030" i="1"/>
  <c r="J1040" i="1"/>
  <c r="J1050" i="1"/>
  <c r="J1062" i="1"/>
  <c r="J1072" i="1"/>
  <c r="J1114" i="1"/>
  <c r="J1125" i="1"/>
  <c r="J1134" i="1"/>
  <c r="J1143" i="1"/>
  <c r="J661" i="1"/>
  <c r="J680" i="1"/>
  <c r="J730" i="1"/>
  <c r="J800" i="1"/>
  <c r="J958" i="1"/>
  <c r="J990" i="1"/>
  <c r="J1008" i="1"/>
  <c r="J1031" i="1"/>
  <c r="J1053" i="1"/>
  <c r="J1073" i="1"/>
  <c r="J1126" i="1"/>
  <c r="J1144" i="1"/>
  <c r="J650" i="1"/>
  <c r="J681" i="1"/>
  <c r="J949" i="1"/>
  <c r="J981" i="1"/>
  <c r="J1010" i="1"/>
  <c r="J1042" i="1"/>
  <c r="J1074" i="1"/>
  <c r="J1136" i="1"/>
  <c r="J662" i="1"/>
  <c r="J813" i="1"/>
  <c r="J959" i="1"/>
  <c r="J991" i="1"/>
  <c r="J1022" i="1"/>
  <c r="J1054" i="1"/>
  <c r="J1118" i="1"/>
  <c r="J1145" i="1"/>
  <c r="J562" i="1"/>
  <c r="J578" i="1"/>
  <c r="J198" i="1"/>
  <c r="J523" i="1"/>
  <c r="J579" i="1"/>
  <c r="J611" i="1"/>
  <c r="J495" i="1"/>
  <c r="J170" i="1"/>
  <c r="J151" i="1"/>
  <c r="J162" i="1"/>
  <c r="J160" i="1"/>
  <c r="J159" i="1"/>
  <c r="J1379" i="1"/>
  <c r="J1371" i="1"/>
  <c r="J136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69" i="1"/>
  <c r="J161" i="1"/>
  <c r="J153" i="1"/>
  <c r="J1376" i="1"/>
  <c r="J1368" i="1"/>
  <c r="J1360"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843" i="1"/>
  <c r="J174" i="1"/>
  <c r="J166" i="1"/>
  <c r="J158" i="1"/>
  <c r="J150" i="1"/>
  <c r="J1375" i="1"/>
  <c r="J1367" i="1"/>
  <c r="J1359"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842" i="1"/>
  <c r="J173" i="1"/>
  <c r="J165" i="1"/>
  <c r="J157" i="1"/>
  <c r="J1374" i="1"/>
  <c r="J1366"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841" i="1"/>
  <c r="J172" i="1"/>
  <c r="J164" i="1"/>
  <c r="J156" i="1"/>
  <c r="J1373" i="1"/>
  <c r="J1365" i="1"/>
  <c r="J13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71" i="1"/>
  <c r="J163" i="1"/>
  <c r="J51" i="1"/>
  <c r="J43" i="1"/>
  <c r="J35" i="1"/>
  <c r="J27" i="1"/>
  <c r="J19" i="1"/>
  <c r="J11" i="1"/>
  <c r="J58" i="1"/>
  <c r="J50" i="1"/>
  <c r="J42" i="1"/>
  <c r="J34" i="1"/>
  <c r="J18" i="1"/>
  <c r="J10" i="1"/>
  <c r="J57" i="1"/>
  <c r="J49" i="1"/>
  <c r="J41" i="1"/>
  <c r="J33" i="1"/>
  <c r="M489" i="20" l="1"/>
  <c r="M519" i="20"/>
  <c r="M459" i="20"/>
  <c r="M458" i="20"/>
  <c r="M482" i="20"/>
  <c r="M490" i="20"/>
  <c r="M498" i="20"/>
  <c r="M466" i="20"/>
  <c r="M510" i="20"/>
  <c r="M526" i="20"/>
  <c r="M502" i="20"/>
  <c r="M474" i="20"/>
  <c r="M518" i="20"/>
  <c r="M480" i="20"/>
  <c r="M527" i="20"/>
  <c r="M467" i="20"/>
  <c r="M497" i="20"/>
  <c r="M487" i="20"/>
  <c r="M512" i="20"/>
  <c r="M475" i="20"/>
  <c r="M528" i="20"/>
  <c r="M468" i="20"/>
  <c r="M501" i="20"/>
  <c r="M495" i="20"/>
  <c r="M520" i="20"/>
  <c r="M460" i="20"/>
  <c r="M483" i="20"/>
  <c r="M476" i="20"/>
  <c r="M499" i="20"/>
  <c r="M508" i="20"/>
  <c r="M485" i="20"/>
  <c r="M513" i="20"/>
  <c r="M511" i="20"/>
  <c r="M515" i="20"/>
  <c r="M471" i="20"/>
  <c r="M500" i="20"/>
  <c r="M491" i="20"/>
  <c r="M503" i="20"/>
  <c r="M492" i="20"/>
  <c r="M479" i="20"/>
  <c r="M481" i="20"/>
  <c r="M464" i="20"/>
  <c r="M494" i="20"/>
  <c r="M505" i="20"/>
  <c r="M504" i="20"/>
  <c r="M473" i="20"/>
  <c r="M507" i="20"/>
  <c r="M478" i="20"/>
  <c r="M524" i="20"/>
  <c r="M493" i="20"/>
  <c r="M525" i="20"/>
  <c r="M465" i="20"/>
  <c r="M516" i="20"/>
  <c r="M484" i="20"/>
  <c r="M523" i="20"/>
  <c r="M509" i="20"/>
  <c r="M522" i="20"/>
  <c r="M517" i="20"/>
  <c r="M462" i="20"/>
  <c r="M496" i="20"/>
  <c r="M477" i="20"/>
  <c r="M461" i="20"/>
  <c r="M514" i="20"/>
  <c r="M463" i="20"/>
  <c r="M470" i="20"/>
  <c r="K40" i="20"/>
  <c r="L40" i="20" s="1"/>
  <c r="M472" i="20"/>
  <c r="M486" i="20"/>
  <c r="M521" i="20"/>
  <c r="K583" i="20"/>
  <c r="L583" i="20" s="1"/>
  <c r="K203" i="20"/>
  <c r="L203" i="20" s="1"/>
  <c r="M469" i="20"/>
  <c r="M488" i="20"/>
  <c r="K455" i="20"/>
  <c r="L455" i="20" s="1"/>
  <c r="O367" i="20"/>
  <c r="M367" i="20"/>
  <c r="O208" i="20"/>
  <c r="M208" i="20"/>
  <c r="O94" i="20"/>
  <c r="M94" i="20"/>
  <c r="O416" i="20"/>
  <c r="M416" i="20"/>
  <c r="O432" i="20"/>
  <c r="M432" i="20"/>
  <c r="O153" i="20"/>
  <c r="M153" i="20"/>
  <c r="O317" i="20"/>
  <c r="M317" i="20"/>
  <c r="O164" i="20"/>
  <c r="M164" i="20"/>
  <c r="O132" i="20"/>
  <c r="M132" i="20"/>
  <c r="O260" i="20"/>
  <c r="M260" i="20"/>
  <c r="O373" i="20"/>
  <c r="M373" i="20"/>
  <c r="O318" i="20"/>
  <c r="M318" i="20"/>
  <c r="O366" i="20"/>
  <c r="M366" i="20"/>
  <c r="O339" i="20"/>
  <c r="M339" i="20"/>
  <c r="O312" i="20"/>
  <c r="M312" i="20"/>
  <c r="O296" i="20"/>
  <c r="M296" i="20"/>
  <c r="O278" i="20"/>
  <c r="M278" i="20"/>
  <c r="O246" i="20"/>
  <c r="M246" i="20"/>
  <c r="O394" i="20"/>
  <c r="M394" i="20"/>
  <c r="O85" i="20"/>
  <c r="M85" i="20"/>
  <c r="O61" i="20"/>
  <c r="M61" i="20"/>
  <c r="O36" i="20"/>
  <c r="M36" i="20"/>
  <c r="O124" i="20"/>
  <c r="M124" i="20"/>
  <c r="O333" i="20"/>
  <c r="M333" i="20"/>
  <c r="O408" i="20"/>
  <c r="M408" i="20"/>
  <c r="O365" i="20"/>
  <c r="M365" i="20"/>
  <c r="O330" i="20"/>
  <c r="M330" i="20"/>
  <c r="O258" i="20"/>
  <c r="M258" i="20"/>
  <c r="O237" i="20"/>
  <c r="M237" i="20"/>
  <c r="O219" i="20"/>
  <c r="M219" i="20"/>
  <c r="O451" i="20"/>
  <c r="M451" i="20"/>
  <c r="O423" i="20"/>
  <c r="M423" i="20"/>
  <c r="O385" i="20"/>
  <c r="M385" i="20"/>
  <c r="O72" i="20"/>
  <c r="M72" i="20"/>
  <c r="O190" i="20"/>
  <c r="M190" i="20"/>
  <c r="O158" i="20"/>
  <c r="M158" i="20"/>
  <c r="O264" i="20"/>
  <c r="M264" i="20"/>
  <c r="O175" i="20"/>
  <c r="M175" i="20"/>
  <c r="O337" i="20"/>
  <c r="M337" i="20"/>
  <c r="O448" i="20"/>
  <c r="M448" i="20"/>
  <c r="O412" i="20"/>
  <c r="M412" i="20"/>
  <c r="O187" i="20"/>
  <c r="M187" i="20"/>
  <c r="O155" i="20"/>
  <c r="M155" i="20"/>
  <c r="O252" i="20"/>
  <c r="M252" i="20"/>
  <c r="O76" i="20"/>
  <c r="M76" i="20"/>
  <c r="O146" i="20"/>
  <c r="M146" i="20"/>
  <c r="O452" i="20"/>
  <c r="M452" i="20"/>
  <c r="O151" i="20"/>
  <c r="M151" i="20"/>
  <c r="O276" i="20"/>
  <c r="M276" i="20"/>
  <c r="O236" i="20"/>
  <c r="M236" i="20"/>
  <c r="O152" i="20"/>
  <c r="M152" i="20"/>
  <c r="O349" i="20"/>
  <c r="M349" i="20"/>
  <c r="O384" i="20"/>
  <c r="M384" i="20"/>
  <c r="O157" i="20"/>
  <c r="M157" i="20"/>
  <c r="O127" i="20"/>
  <c r="M127" i="20"/>
  <c r="O217" i="20"/>
  <c r="M217" i="20"/>
  <c r="O340" i="20"/>
  <c r="M340" i="20"/>
  <c r="O242" i="20"/>
  <c r="M242" i="20"/>
  <c r="O397" i="20"/>
  <c r="M397" i="20"/>
  <c r="O110" i="20"/>
  <c r="M110" i="20"/>
  <c r="O359" i="20"/>
  <c r="M359" i="20"/>
  <c r="O238" i="20"/>
  <c r="M238" i="20"/>
  <c r="O449" i="20"/>
  <c r="M449" i="20"/>
  <c r="O391" i="20"/>
  <c r="M391" i="20"/>
  <c r="I203" i="20"/>
  <c r="J203" i="20" s="1"/>
  <c r="O233" i="20"/>
  <c r="M233" i="20"/>
  <c r="O400" i="20"/>
  <c r="M400" i="20"/>
  <c r="O388" i="20"/>
  <c r="M388" i="20"/>
  <c r="O145" i="20"/>
  <c r="M145" i="20"/>
  <c r="O32" i="20"/>
  <c r="M32" i="20"/>
  <c r="O275" i="20"/>
  <c r="M275" i="20"/>
  <c r="O99" i="20"/>
  <c r="M99" i="20"/>
  <c r="O70" i="20"/>
  <c r="M70" i="20"/>
  <c r="O364" i="20"/>
  <c r="M364" i="20"/>
  <c r="O315" i="20"/>
  <c r="M315" i="20"/>
  <c r="O299" i="20"/>
  <c r="M299" i="20"/>
  <c r="O283" i="20"/>
  <c r="M283" i="20"/>
  <c r="O382" i="20"/>
  <c r="M382" i="20"/>
  <c r="O81" i="20"/>
  <c r="M81" i="20"/>
  <c r="O125" i="20"/>
  <c r="M125" i="20"/>
  <c r="O39" i="20"/>
  <c r="M39" i="20"/>
  <c r="O363" i="20"/>
  <c r="M363" i="20"/>
  <c r="O253" i="20"/>
  <c r="M253" i="20"/>
  <c r="O218" i="20"/>
  <c r="M218" i="20"/>
  <c r="O453" i="20"/>
  <c r="M453" i="20"/>
  <c r="O417" i="20"/>
  <c r="M417" i="20"/>
  <c r="O387" i="20"/>
  <c r="M387" i="20"/>
  <c r="O68" i="20"/>
  <c r="M68" i="20"/>
  <c r="O184" i="20"/>
  <c r="M184" i="20"/>
  <c r="O122" i="20"/>
  <c r="M122" i="20"/>
  <c r="O213" i="20"/>
  <c r="M213" i="20"/>
  <c r="O347" i="20"/>
  <c r="M347" i="20"/>
  <c r="O378" i="20"/>
  <c r="M378" i="20"/>
  <c r="O29" i="20"/>
  <c r="M29" i="20"/>
  <c r="O324" i="20"/>
  <c r="M324" i="20"/>
  <c r="O306" i="20"/>
  <c r="M306" i="20"/>
  <c r="O290" i="20"/>
  <c r="M290" i="20"/>
  <c r="O450" i="20"/>
  <c r="M450" i="20"/>
  <c r="O422" i="20"/>
  <c r="M422" i="20"/>
  <c r="O65" i="20"/>
  <c r="M65" i="20"/>
  <c r="O189" i="20"/>
  <c r="M189" i="20"/>
  <c r="O38" i="20"/>
  <c r="M38" i="20"/>
  <c r="O186" i="20"/>
  <c r="M186" i="20"/>
  <c r="O368" i="20"/>
  <c r="M368" i="20"/>
  <c r="O224" i="20"/>
  <c r="M224" i="20"/>
  <c r="O54" i="20"/>
  <c r="M54" i="20"/>
  <c r="O259" i="20"/>
  <c r="M259" i="20"/>
  <c r="O220" i="20"/>
  <c r="M220" i="20"/>
  <c r="O421" i="20"/>
  <c r="M421" i="20"/>
  <c r="O88" i="20"/>
  <c r="M88" i="20"/>
  <c r="O104" i="20"/>
  <c r="M104" i="20"/>
  <c r="O297" i="20"/>
  <c r="M297" i="20"/>
  <c r="O272" i="20"/>
  <c r="M272" i="20"/>
  <c r="O177" i="20"/>
  <c r="M177" i="20"/>
  <c r="O107" i="20"/>
  <c r="M107" i="20"/>
  <c r="O156" i="20"/>
  <c r="M156" i="20"/>
  <c r="O62" i="20"/>
  <c r="M62" i="20"/>
  <c r="O33" i="20"/>
  <c r="M33" i="20"/>
  <c r="O358" i="20"/>
  <c r="M358" i="20"/>
  <c r="O331" i="20"/>
  <c r="M331" i="20"/>
  <c r="O308" i="20"/>
  <c r="M308" i="20"/>
  <c r="O292" i="20"/>
  <c r="M292" i="20"/>
  <c r="O454" i="20"/>
  <c r="M454" i="20"/>
  <c r="O418" i="20"/>
  <c r="M418" i="20"/>
  <c r="O79" i="20"/>
  <c r="M79" i="20"/>
  <c r="O51" i="20"/>
  <c r="M51" i="20"/>
  <c r="O108" i="20"/>
  <c r="M108" i="20"/>
  <c r="O309" i="20"/>
  <c r="M309" i="20"/>
  <c r="O392" i="20"/>
  <c r="M392" i="20"/>
  <c r="O357" i="20"/>
  <c r="M357" i="20"/>
  <c r="O316" i="20"/>
  <c r="M316" i="20"/>
  <c r="O254" i="20"/>
  <c r="M254" i="20"/>
  <c r="O231" i="20"/>
  <c r="M231" i="20"/>
  <c r="O215" i="20"/>
  <c r="M215" i="20"/>
  <c r="O443" i="20"/>
  <c r="M443" i="20"/>
  <c r="O415" i="20"/>
  <c r="M415" i="20"/>
  <c r="O377" i="20"/>
  <c r="M377" i="20"/>
  <c r="O66" i="20"/>
  <c r="M66" i="20"/>
  <c r="O182" i="20"/>
  <c r="M182" i="20"/>
  <c r="O150" i="20"/>
  <c r="M150" i="20"/>
  <c r="O120" i="20"/>
  <c r="M120" i="20"/>
  <c r="O129" i="20"/>
  <c r="M129" i="20"/>
  <c r="O329" i="20"/>
  <c r="M329" i="20"/>
  <c r="O404" i="20"/>
  <c r="M404" i="20"/>
  <c r="O179" i="20"/>
  <c r="M179" i="20"/>
  <c r="O147" i="20"/>
  <c r="M147" i="20"/>
  <c r="O117" i="20"/>
  <c r="M117" i="20"/>
  <c r="O341" i="20"/>
  <c r="M341" i="20"/>
  <c r="O135" i="20"/>
  <c r="M135" i="20"/>
  <c r="O176" i="20"/>
  <c r="M176" i="20"/>
  <c r="O144" i="20"/>
  <c r="M144" i="20"/>
  <c r="O114" i="20"/>
  <c r="M114" i="20"/>
  <c r="O313" i="20"/>
  <c r="M313" i="20"/>
  <c r="O376" i="20"/>
  <c r="M376" i="20"/>
  <c r="O181" i="20"/>
  <c r="M181" i="20"/>
  <c r="O149" i="20"/>
  <c r="M149" i="20"/>
  <c r="O119" i="20"/>
  <c r="M119" i="20"/>
  <c r="O232" i="20"/>
  <c r="M232" i="20"/>
  <c r="O383" i="20"/>
  <c r="M383" i="20"/>
  <c r="O380" i="20"/>
  <c r="M380" i="20"/>
  <c r="O112" i="20"/>
  <c r="M112" i="20"/>
  <c r="O438" i="20"/>
  <c r="M438" i="20"/>
  <c r="O311" i="20"/>
  <c r="M311" i="20"/>
  <c r="O374" i="20"/>
  <c r="M374" i="20"/>
  <c r="O225" i="20"/>
  <c r="M225" i="20"/>
  <c r="O194" i="20"/>
  <c r="M194" i="20"/>
  <c r="O83" i="20"/>
  <c r="M83" i="20"/>
  <c r="O355" i="20"/>
  <c r="M355" i="20"/>
  <c r="O270" i="20"/>
  <c r="M270" i="20"/>
  <c r="O249" i="20"/>
  <c r="M249" i="20"/>
  <c r="O230" i="20"/>
  <c r="M230" i="20"/>
  <c r="O214" i="20"/>
  <c r="M214" i="20"/>
  <c r="O445" i="20"/>
  <c r="M445" i="20"/>
  <c r="O409" i="20"/>
  <c r="M409" i="20"/>
  <c r="O379" i="20"/>
  <c r="M379" i="20"/>
  <c r="O50" i="20"/>
  <c r="M50" i="20"/>
  <c r="O389" i="20"/>
  <c r="M389" i="20"/>
  <c r="O67" i="20"/>
  <c r="M67" i="20"/>
  <c r="O369" i="20"/>
  <c r="M369" i="20"/>
  <c r="O342" i="20"/>
  <c r="M342" i="20"/>
  <c r="O319" i="20"/>
  <c r="M319" i="20"/>
  <c r="O302" i="20"/>
  <c r="M302" i="20"/>
  <c r="O286" i="20"/>
  <c r="M286" i="20"/>
  <c r="O442" i="20"/>
  <c r="M442" i="20"/>
  <c r="O414" i="20"/>
  <c r="M414" i="20"/>
  <c r="O59" i="20"/>
  <c r="M59" i="20"/>
  <c r="O34" i="20"/>
  <c r="M34" i="20"/>
  <c r="O348" i="20"/>
  <c r="M348" i="20"/>
  <c r="O447" i="20"/>
  <c r="M447" i="20"/>
  <c r="O170" i="20"/>
  <c r="M170" i="20"/>
  <c r="O327" i="20"/>
  <c r="M327" i="20"/>
  <c r="O216" i="20"/>
  <c r="M216" i="20"/>
  <c r="O64" i="20"/>
  <c r="M64" i="20"/>
  <c r="O169" i="20"/>
  <c r="M169" i="20"/>
  <c r="O248" i="20"/>
  <c r="M248" i="20"/>
  <c r="O361" i="20"/>
  <c r="M361" i="20"/>
  <c r="O434" i="20"/>
  <c r="M434" i="20"/>
  <c r="O251" i="20"/>
  <c r="M251" i="20"/>
  <c r="O209" i="20"/>
  <c r="M209" i="20"/>
  <c r="O247" i="20"/>
  <c r="M247" i="20"/>
  <c r="O191" i="20"/>
  <c r="M191" i="20"/>
  <c r="O351" i="20"/>
  <c r="M351" i="20"/>
  <c r="O326" i="20"/>
  <c r="M326" i="20"/>
  <c r="O304" i="20"/>
  <c r="M304" i="20"/>
  <c r="O288" i="20"/>
  <c r="M288" i="20"/>
  <c r="O267" i="20"/>
  <c r="M267" i="20"/>
  <c r="O446" i="20"/>
  <c r="M446" i="20"/>
  <c r="O410" i="20"/>
  <c r="M410" i="20"/>
  <c r="O75" i="20"/>
  <c r="M75" i="20"/>
  <c r="O45" i="20"/>
  <c r="M45" i="20"/>
  <c r="O101" i="20"/>
  <c r="M101" i="20"/>
  <c r="O221" i="20"/>
  <c r="M221" i="20"/>
  <c r="O285" i="20"/>
  <c r="M285" i="20"/>
  <c r="I455" i="20"/>
  <c r="J455" i="20" s="1"/>
  <c r="O277" i="20"/>
  <c r="M277" i="20"/>
  <c r="O250" i="20"/>
  <c r="M250" i="20"/>
  <c r="O227" i="20"/>
  <c r="M227" i="20"/>
  <c r="O211" i="20"/>
  <c r="M211" i="20"/>
  <c r="O437" i="20"/>
  <c r="M437" i="20"/>
  <c r="O407" i="20"/>
  <c r="M407" i="20"/>
  <c r="O60" i="20"/>
  <c r="M60" i="20"/>
  <c r="O174" i="20"/>
  <c r="M174" i="20"/>
  <c r="O142" i="20"/>
  <c r="M142" i="20"/>
  <c r="O256" i="20"/>
  <c r="M256" i="20"/>
  <c r="O113" i="20"/>
  <c r="M113" i="20"/>
  <c r="O396" i="20"/>
  <c r="M396" i="20"/>
  <c r="O171" i="20"/>
  <c r="M171" i="20"/>
  <c r="O139" i="20"/>
  <c r="M139" i="20"/>
  <c r="O109" i="20"/>
  <c r="M109" i="20"/>
  <c r="O178" i="20"/>
  <c r="M178" i="20"/>
  <c r="O305" i="20"/>
  <c r="M305" i="20"/>
  <c r="O183" i="20"/>
  <c r="M183" i="20"/>
  <c r="O244" i="20"/>
  <c r="M244" i="20"/>
  <c r="O226" i="20"/>
  <c r="M226" i="20"/>
  <c r="O44" i="20"/>
  <c r="M44" i="20"/>
  <c r="O168" i="20"/>
  <c r="M168" i="20"/>
  <c r="O136" i="20"/>
  <c r="M136" i="20"/>
  <c r="O100" i="20"/>
  <c r="M100" i="20"/>
  <c r="O289" i="20"/>
  <c r="M289" i="20"/>
  <c r="O436" i="20"/>
  <c r="M436" i="20"/>
  <c r="O173" i="20"/>
  <c r="M173" i="20"/>
  <c r="O141" i="20"/>
  <c r="M141" i="20"/>
  <c r="O111" i="20"/>
  <c r="M111" i="20"/>
  <c r="O301" i="20"/>
  <c r="M301" i="20"/>
  <c r="O255" i="20"/>
  <c r="M255" i="20"/>
  <c r="O413" i="20"/>
  <c r="M413" i="20"/>
  <c r="O126" i="20"/>
  <c r="M126" i="20"/>
  <c r="O28" i="20"/>
  <c r="M28" i="20"/>
  <c r="O96" i="20"/>
  <c r="M96" i="20"/>
  <c r="O52" i="20"/>
  <c r="M52" i="20"/>
  <c r="O356" i="20"/>
  <c r="M356" i="20"/>
  <c r="O266" i="20"/>
  <c r="M266" i="20"/>
  <c r="O35" i="20"/>
  <c r="M35" i="20"/>
  <c r="O273" i="20"/>
  <c r="M273" i="20"/>
  <c r="O212" i="20"/>
  <c r="M212" i="20"/>
  <c r="O405" i="20"/>
  <c r="M405" i="20"/>
  <c r="O58" i="20"/>
  <c r="M58" i="20"/>
  <c r="O180" i="20"/>
  <c r="M180" i="20"/>
  <c r="O118" i="20"/>
  <c r="M118" i="20"/>
  <c r="O159" i="20"/>
  <c r="M159" i="20"/>
  <c r="O321" i="20"/>
  <c r="M321" i="20"/>
  <c r="O440" i="20"/>
  <c r="M440" i="20"/>
  <c r="O161" i="20"/>
  <c r="M161" i="20"/>
  <c r="O123" i="20"/>
  <c r="M123" i="20"/>
  <c r="O353" i="20"/>
  <c r="M353" i="20"/>
  <c r="O395" i="20"/>
  <c r="M395" i="20"/>
  <c r="O360" i="20"/>
  <c r="M360" i="20"/>
  <c r="O386" i="20"/>
  <c r="M386" i="20"/>
  <c r="O350" i="20"/>
  <c r="M350" i="20"/>
  <c r="O325" i="20"/>
  <c r="M325" i="20"/>
  <c r="O307" i="20"/>
  <c r="M307" i="20"/>
  <c r="O291" i="20"/>
  <c r="M291" i="20"/>
  <c r="O262" i="20"/>
  <c r="M262" i="20"/>
  <c r="O426" i="20"/>
  <c r="M426" i="20"/>
  <c r="O93" i="20"/>
  <c r="M93" i="20"/>
  <c r="O53" i="20"/>
  <c r="M53" i="20"/>
  <c r="O31" i="20"/>
  <c r="M31" i="20"/>
  <c r="O419" i="20"/>
  <c r="M419" i="20"/>
  <c r="O343" i="20"/>
  <c r="M343" i="20"/>
  <c r="O261" i="20"/>
  <c r="M261" i="20"/>
  <c r="O210" i="20"/>
  <c r="M210" i="20"/>
  <c r="O439" i="20"/>
  <c r="M439" i="20"/>
  <c r="O401" i="20"/>
  <c r="M401" i="20"/>
  <c r="O84" i="20"/>
  <c r="M84" i="20"/>
  <c r="O334" i="20"/>
  <c r="M334" i="20"/>
  <c r="O80" i="20"/>
  <c r="M80" i="20"/>
  <c r="O49" i="20"/>
  <c r="M49" i="20"/>
  <c r="O362" i="20"/>
  <c r="M362" i="20"/>
  <c r="O335" i="20"/>
  <c r="M335" i="20"/>
  <c r="O314" i="20"/>
  <c r="M314" i="20"/>
  <c r="O298" i="20"/>
  <c r="M298" i="20"/>
  <c r="O282" i="20"/>
  <c r="M282" i="20"/>
  <c r="O406" i="20"/>
  <c r="M406" i="20"/>
  <c r="O95" i="20"/>
  <c r="M95" i="20"/>
  <c r="O55" i="20"/>
  <c r="M55" i="20"/>
  <c r="O30" i="20"/>
  <c r="M30" i="20"/>
  <c r="O269" i="20"/>
  <c r="M269" i="20"/>
  <c r="O433" i="20"/>
  <c r="M433" i="20"/>
  <c r="O154" i="20"/>
  <c r="M154" i="20"/>
  <c r="O280" i="20"/>
  <c r="M280" i="20"/>
  <c r="O441" i="20"/>
  <c r="M441" i="20"/>
  <c r="O188" i="20"/>
  <c r="M188" i="20"/>
  <c r="O137" i="20"/>
  <c r="M137" i="20"/>
  <c r="O345" i="20"/>
  <c r="M345" i="20"/>
  <c r="O411" i="20"/>
  <c r="M411" i="20"/>
  <c r="O295" i="20"/>
  <c r="M295" i="20"/>
  <c r="O63" i="20"/>
  <c r="M63" i="20"/>
  <c r="O102" i="20"/>
  <c r="M102" i="20"/>
  <c r="O332" i="20"/>
  <c r="M332" i="20"/>
  <c r="O228" i="20"/>
  <c r="M228" i="20"/>
  <c r="O435" i="20"/>
  <c r="M435" i="20"/>
  <c r="O375" i="20"/>
  <c r="M375" i="20"/>
  <c r="O148" i="20"/>
  <c r="M148" i="20"/>
  <c r="O268" i="20"/>
  <c r="M268" i="20"/>
  <c r="O140" i="20"/>
  <c r="M140" i="20"/>
  <c r="O425" i="20"/>
  <c r="M425" i="20"/>
  <c r="O352" i="20"/>
  <c r="M352" i="20"/>
  <c r="O430" i="20"/>
  <c r="M430" i="20"/>
  <c r="O346" i="20"/>
  <c r="M346" i="20"/>
  <c r="O300" i="20"/>
  <c r="M300" i="20"/>
  <c r="O284" i="20"/>
  <c r="M284" i="20"/>
  <c r="O263" i="20"/>
  <c r="M263" i="20"/>
  <c r="O402" i="20"/>
  <c r="M402" i="20"/>
  <c r="O91" i="20"/>
  <c r="M91" i="20"/>
  <c r="O69" i="20"/>
  <c r="M69" i="20"/>
  <c r="O193" i="20"/>
  <c r="M193" i="20"/>
  <c r="O97" i="20"/>
  <c r="M97" i="20"/>
  <c r="O424" i="20"/>
  <c r="M424" i="20"/>
  <c r="I583" i="20"/>
  <c r="J583" i="20" s="1"/>
  <c r="O338" i="20"/>
  <c r="M338" i="20"/>
  <c r="O271" i="20"/>
  <c r="M271" i="20"/>
  <c r="O241" i="20"/>
  <c r="M241" i="20"/>
  <c r="O223" i="20"/>
  <c r="M223" i="20"/>
  <c r="O207" i="20"/>
  <c r="M207" i="20"/>
  <c r="O429" i="20"/>
  <c r="M429" i="20"/>
  <c r="O399" i="20"/>
  <c r="M399" i="20"/>
  <c r="O82" i="20"/>
  <c r="M82" i="20"/>
  <c r="O48" i="20"/>
  <c r="M48" i="20"/>
  <c r="O166" i="20"/>
  <c r="M166" i="20"/>
  <c r="O134" i="20"/>
  <c r="M134" i="20"/>
  <c r="I40" i="20"/>
  <c r="J40" i="20" s="1"/>
  <c r="O420" i="20"/>
  <c r="M420" i="20"/>
  <c r="O163" i="20"/>
  <c r="M163" i="20"/>
  <c r="O131" i="20"/>
  <c r="M131" i="20"/>
  <c r="O281" i="20"/>
  <c r="M281" i="20"/>
  <c r="O167" i="20"/>
  <c r="M167" i="20"/>
  <c r="O240" i="20"/>
  <c r="M240" i="20"/>
  <c r="O222" i="20"/>
  <c r="M222" i="20"/>
  <c r="O160" i="20"/>
  <c r="M160" i="20"/>
  <c r="O239" i="20"/>
  <c r="M239" i="20"/>
  <c r="O444" i="20"/>
  <c r="M444" i="20"/>
  <c r="O121" i="20"/>
  <c r="M121" i="20"/>
  <c r="O428" i="20"/>
  <c r="M428" i="20"/>
  <c r="O133" i="20"/>
  <c r="M133" i="20"/>
  <c r="O322" i="20"/>
  <c r="M322" i="20"/>
  <c r="O427" i="20"/>
  <c r="M427" i="20"/>
  <c r="O172" i="20"/>
  <c r="M172" i="20"/>
  <c r="O143" i="20"/>
  <c r="M143" i="20"/>
  <c r="O185" i="20"/>
  <c r="M185" i="20"/>
  <c r="O115" i="20"/>
  <c r="M115" i="20"/>
  <c r="O323" i="20"/>
  <c r="M323" i="20"/>
  <c r="O92" i="20"/>
  <c r="M92" i="20"/>
  <c r="O43" i="20"/>
  <c r="M43" i="20"/>
  <c r="O128" i="20"/>
  <c r="M128" i="20"/>
  <c r="O229" i="20"/>
  <c r="M229" i="20"/>
  <c r="O381" i="20"/>
  <c r="M381" i="20"/>
  <c r="O293" i="20"/>
  <c r="M293" i="20"/>
  <c r="O73" i="20"/>
  <c r="M73" i="20"/>
  <c r="O37" i="20"/>
  <c r="M37" i="20"/>
  <c r="O344" i="20"/>
  <c r="M344" i="20"/>
  <c r="O320" i="20"/>
  <c r="M320" i="20"/>
  <c r="O303" i="20"/>
  <c r="M303" i="20"/>
  <c r="O287" i="20"/>
  <c r="M287" i="20"/>
  <c r="O245" i="20"/>
  <c r="M245" i="20"/>
  <c r="O390" i="20"/>
  <c r="M390" i="20"/>
  <c r="O87" i="20"/>
  <c r="M87" i="20"/>
  <c r="O202" i="20"/>
  <c r="M202" i="20"/>
  <c r="O103" i="20"/>
  <c r="M103" i="20"/>
  <c r="O403" i="20"/>
  <c r="M403" i="20"/>
  <c r="O162" i="20"/>
  <c r="M162" i="20"/>
  <c r="O336" i="20"/>
  <c r="M336" i="20"/>
  <c r="O257" i="20"/>
  <c r="M257" i="20"/>
  <c r="O206" i="20"/>
  <c r="M206" i="20"/>
  <c r="O431" i="20"/>
  <c r="M431" i="20"/>
  <c r="O393" i="20"/>
  <c r="M393" i="20"/>
  <c r="O74" i="20"/>
  <c r="M74" i="20"/>
  <c r="O192" i="20"/>
  <c r="M192" i="20"/>
  <c r="O130" i="20"/>
  <c r="M130" i="20"/>
  <c r="O116" i="20"/>
  <c r="M116" i="20"/>
  <c r="O354" i="20"/>
  <c r="M354" i="20"/>
  <c r="O328" i="20"/>
  <c r="M328" i="20"/>
  <c r="O310" i="20"/>
  <c r="M310" i="20"/>
  <c r="O294" i="20"/>
  <c r="M294" i="20"/>
  <c r="O265" i="20"/>
  <c r="M265" i="20"/>
  <c r="O398" i="20"/>
  <c r="M398" i="20"/>
  <c r="O89" i="20"/>
  <c r="M89" i="20"/>
  <c r="O47" i="20"/>
  <c r="M47" i="20"/>
  <c r="O165" i="20"/>
  <c r="M165" i="20"/>
  <c r="O105" i="20"/>
  <c r="M105" i="20"/>
  <c r="O243" i="20"/>
  <c r="M243" i="20"/>
  <c r="O86" i="20"/>
  <c r="M86" i="20"/>
  <c r="O138" i="20"/>
  <c r="M138" i="20"/>
  <c r="O274" i="20"/>
  <c r="M274" i="20"/>
  <c r="U98" i="15"/>
  <c r="V98" i="15" s="1"/>
  <c r="U97" i="15"/>
  <c r="V97" i="15" s="1"/>
  <c r="U96" i="15"/>
  <c r="V96" i="15" s="1"/>
  <c r="U93" i="15"/>
  <c r="U95" i="15"/>
  <c r="V95" i="15" s="1"/>
  <c r="U94" i="15"/>
  <c r="V94" i="15" s="1"/>
  <c r="U100" i="15"/>
  <c r="V100" i="15" s="1"/>
  <c r="U99" i="15"/>
  <c r="V99" i="15" s="1"/>
  <c r="I635" i="19"/>
  <c r="J635" i="19" s="1"/>
  <c r="L635" i="19" s="1"/>
  <c r="J199" i="19"/>
  <c r="L199" i="19" s="1"/>
  <c r="I198" i="19"/>
  <c r="J198" i="19" s="1"/>
  <c r="L198" i="19" s="1"/>
  <c r="J363" i="19"/>
  <c r="L363" i="19" s="1"/>
  <c r="I446" i="19"/>
  <c r="J446" i="19" s="1"/>
  <c r="L446" i="19" s="1"/>
  <c r="I204" i="20"/>
  <c r="J204" i="20" s="1"/>
  <c r="O204" i="20" s="1"/>
  <c r="J205" i="20"/>
  <c r="J372" i="20"/>
  <c r="J448" i="19"/>
  <c r="I574" i="19"/>
  <c r="J574" i="19" s="1"/>
  <c r="J28" i="19"/>
  <c r="L28" i="19" s="1"/>
  <c r="I41" i="19"/>
  <c r="J41" i="19" s="1"/>
  <c r="L41" i="19" s="1"/>
  <c r="J43" i="19"/>
  <c r="L43" i="19" s="1"/>
  <c r="I197" i="19"/>
  <c r="J197" i="19" s="1"/>
  <c r="L197" i="19" s="1"/>
  <c r="J457" i="20"/>
  <c r="M457" i="20" s="1"/>
  <c r="J27" i="20"/>
  <c r="J42" i="20"/>
  <c r="U33" i="15"/>
  <c r="V33" i="15" s="1"/>
  <c r="U52" i="15"/>
  <c r="U56" i="15"/>
  <c r="V56" i="15" s="1"/>
  <c r="U26" i="15"/>
  <c r="U57" i="15"/>
  <c r="V57" i="15" s="1"/>
  <c r="U27" i="15"/>
  <c r="V27" i="15" s="1"/>
  <c r="U30" i="15"/>
  <c r="V30" i="15" s="1"/>
  <c r="U53" i="15"/>
  <c r="V53" i="15" s="1"/>
  <c r="U31" i="15"/>
  <c r="V31" i="15" s="1"/>
  <c r="U32" i="15"/>
  <c r="V32" i="15" s="1"/>
  <c r="U54" i="15"/>
  <c r="V54" i="15" s="1"/>
  <c r="U28" i="15"/>
  <c r="V28" i="15" s="1"/>
  <c r="U58" i="15"/>
  <c r="V58" i="15" s="1"/>
  <c r="U55" i="15"/>
  <c r="V55" i="15" s="1"/>
  <c r="U29" i="15"/>
  <c r="V29" i="15" s="1"/>
  <c r="U59" i="15"/>
  <c r="V59" i="15" s="1"/>
  <c r="U118" i="15"/>
  <c r="V118" i="15" s="1"/>
  <c r="U117" i="15"/>
  <c r="V117" i="15" s="1"/>
  <c r="U116" i="15"/>
  <c r="V116" i="15" s="1"/>
  <c r="U115" i="15"/>
  <c r="V115" i="15" s="1"/>
  <c r="U114" i="15"/>
  <c r="V114" i="15" s="1"/>
  <c r="U113" i="15"/>
  <c r="V113" i="15" s="1"/>
  <c r="U112" i="15"/>
  <c r="V112" i="15" s="1"/>
  <c r="U111" i="15"/>
  <c r="K26" i="20" l="1"/>
  <c r="L26" i="20" s="1"/>
  <c r="M583" i="20"/>
  <c r="O203" i="20"/>
  <c r="M203" i="20"/>
  <c r="O42" i="20"/>
  <c r="M42" i="20"/>
  <c r="O40" i="20"/>
  <c r="M40" i="20"/>
  <c r="O27" i="20"/>
  <c r="M27" i="20"/>
  <c r="O455" i="20"/>
  <c r="M455" i="20"/>
  <c r="O372" i="20"/>
  <c r="M372" i="20"/>
  <c r="O205" i="20"/>
  <c r="M205" i="20"/>
  <c r="I583" i="19"/>
  <c r="I581" i="19" s="1"/>
  <c r="I26" i="20"/>
  <c r="J26" i="20" s="1"/>
  <c r="I362" i="19"/>
  <c r="J362" i="19" s="1"/>
  <c r="L362" i="19" s="1"/>
  <c r="I42" i="19"/>
  <c r="J42" i="19" s="1"/>
  <c r="L42" i="19" s="1"/>
  <c r="I456" i="20"/>
  <c r="J456" i="20" s="1"/>
  <c r="O456" i="20" s="1"/>
  <c r="I447" i="19"/>
  <c r="J447" i="19" s="1"/>
  <c r="L447" i="19" s="1"/>
  <c r="I27" i="19"/>
  <c r="I41" i="20"/>
  <c r="J41" i="20" s="1"/>
  <c r="O41" i="20" s="1"/>
  <c r="I371" i="20"/>
  <c r="J371" i="20" s="1"/>
  <c r="O371" i="20" s="1"/>
  <c r="U119" i="15"/>
  <c r="D114" i="15" s="1"/>
  <c r="V111" i="15"/>
  <c r="V52" i="15"/>
  <c r="U60" i="15"/>
  <c r="V93" i="15"/>
  <c r="U101" i="15"/>
  <c r="D96" i="15" s="1"/>
  <c r="V26" i="15"/>
  <c r="U34" i="15"/>
  <c r="D29" i="15" s="1"/>
  <c r="J583" i="19" l="1"/>
  <c r="L583" i="19" s="1"/>
  <c r="J27" i="19"/>
  <c r="I25" i="19"/>
  <c r="J25" i="20"/>
  <c r="O26" i="20"/>
  <c r="I25" i="20"/>
  <c r="D55"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<sst xmlns="http://schemas.openxmlformats.org/spreadsheetml/2006/main" count="28645" uniqueCount="1892">
  <si>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</si>
  <si>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</si>
  <si>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</si>
  <si>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</si>
  <si>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</si>
  <si>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</si>
  <si>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</si>
  <si>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</si>
  <si>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</si>
  <si>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</si>
  <si>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</si>
  <si>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</si>
  <si>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</si>
  <si>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</si>
  <si>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</si>
  <si>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</si>
  <si>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</si>
  <si>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</si>
  <si>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</si>
  <si>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</si>
  <si>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</si>
  <si>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</si>
  <si>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</si>
  <si>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</si>
  <si>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</si>
  <si>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</si>
  <si>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</si>
  <si>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</si>
  <si>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</si>
  <si>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</si>
  <si>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</si>
  <si>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</si>
  <si>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</si>
  <si>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</si>
  <si>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</si>
  <si>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</si>
  <si>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</si>
  <si>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</si>
  <si>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</si>
  <si>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</si>
  <si>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</si>
  <si>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</si>
  <si>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</si>
  <si>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</si>
  <si>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</si>
  <si>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</si>
  <si>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</si>
  <si>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</si>
  <si>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</si>
  <si>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</si>
  <si>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</si>
  <si>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</si>
  <si>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</si>
  <si>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</si>
  <si>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</si>
  <si>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</si>
  <si>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</si>
  <si>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</si>
  <si>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</si>
  <si>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</si>
  <si>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</si>
  <si>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</si>
  <si>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</si>
  <si>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</si>
  <si>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</si>
  <si>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</si>
  <si>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</si>
  <si>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</si>
  <si>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</si>
  <si>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</si>
  <si>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</si>
  <si>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</si>
  <si>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</si>
  <si>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</si>
  <si>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</si>
  <si>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</si>
  <si>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</si>
  <si>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</si>
  <si>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</si>
  <si>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</si>
  <si>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</si>
  <si>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</si>
  <si>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</si>
  <si>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</si>
  <si>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</si>
  <si>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</si>
  <si>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</si>
  <si>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</si>
  <si>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</si>
  <si>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</si>
  <si>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</si>
  <si>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</si>
  <si>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</si>
  <si>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</si>
  <si>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</si>
  <si>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</si>
  <si>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</si>
  <si>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</si>
  <si>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</si>
  <si>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</si>
  <si>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</si>
  <si>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</si>
  <si>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</si>
  <si>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</si>
  <si>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</si>
  <si>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</si>
  <si>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</si>
  <si>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</si>
  <si>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</si>
  <si>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</si>
  <si>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</si>
  <si>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</si>
  <si>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</si>
  <si>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</si>
  <si>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</si>
  <si>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</si>
  <si>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</si>
  <si>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</si>
  <si>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</si>
  <si>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</si>
  <si>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</si>
  <si>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</si>
  <si>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</si>
  <si>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</si>
  <si>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</si>
  <si>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</si>
  <si>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</si>
  <si>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</si>
  <si>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</si>
  <si>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</si>
  <si>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</si>
  <si>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</si>
  <si>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</si>
  <si>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</si>
  <si>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</si>
  <si>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</si>
  <si>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</si>
  <si>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</si>
  <si>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</si>
  <si>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</si>
  <si>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</si>
  <si>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</si>
  <si>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</si>
  <si>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</si>
  <si>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</si>
  <si>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</si>
  <si>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</si>
  <si>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</si>
  <si>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</si>
  <si>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</si>
  <si>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</si>
  <si>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</si>
  <si>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</si>
  <si>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</si>
  <si>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</si>
  <si>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</si>
  <si>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</si>
  <si>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</si>
  <si>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</si>
  <si>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</si>
  <si>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</si>
  <si>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</si>
  <si>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</si>
  <si>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</si>
  <si>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</si>
  <si>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</si>
  <si>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</si>
  <si>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</si>
  <si>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</si>
  <si>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</si>
  <si>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</si>
  <si>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</si>
  <si>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</si>
  <si>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</si>
  <si>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</si>
  <si>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</si>
  <si>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</si>
  <si>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</si>
  <si>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</si>
  <si>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</si>
  <si>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</si>
  <si>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</si>
  <si>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</si>
  <si>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</si>
  <si>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</si>
  <si>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</si>
  <si>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</si>
  <si>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</si>
  <si>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</si>
  <si>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</si>
  <si>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</si>
  <si>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</si>
  <si>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</si>
  <si>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</si>
  <si>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</si>
  <si>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</si>
  <si>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</si>
  <si>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</si>
  <si>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</si>
  <si>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</si>
  <si>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</si>
  <si>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</si>
  <si>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</si>
  <si>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</si>
  <si>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</si>
  <si>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</si>
  <si>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</si>
  <si>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</si>
  <si>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</si>
  <si>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</si>
  <si>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</si>
  <si>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</si>
  <si>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</si>
  <si>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</si>
  <si>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</si>
  <si>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</si>
  <si>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</si>
  <si>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</si>
  <si>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</si>
  <si>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</si>
  <si>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</si>
  <si>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</si>
  <si>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</si>
  <si>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</si>
  <si>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</si>
  <si>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</si>
  <si>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</si>
  <si>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</si>
  <si>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</si>
  <si>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</si>
  <si>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</si>
  <si>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</si>
  <si>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</si>
  <si>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</si>
  <si>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</si>
  <si>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</si>
  <si>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</si>
  <si>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</si>
  <si>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</si>
  <si>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</si>
  <si>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</si>
  <si>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</si>
  <si>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</si>
  <si>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</si>
  <si>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</si>
  <si>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</si>
  <si>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</si>
  <si>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</si>
  <si>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</si>
  <si>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</si>
  <si>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</si>
  <si>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</si>
  <si>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</si>
  <si>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</si>
  <si>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</si>
  <si>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</si>
  <si>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</si>
  <si>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</si>
  <si>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</si>
  <si>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</si>
  <si>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</si>
  <si>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</si>
  <si>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</si>
  <si>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</si>
  <si>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</si>
  <si>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</si>
  <si>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</si>
  <si>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</si>
  <si>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</si>
  <si>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</si>
  <si>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</si>
  <si>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</si>
  <si>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</si>
  <si>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</si>
  <si>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</si>
  <si>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</si>
  <si>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</si>
  <si>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</si>
  <si>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</si>
  <si>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</si>
  <si>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</si>
  <si>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</si>
  <si>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</si>
  <si>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</si>
  <si>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</si>
  <si>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</si>
  <si>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</si>
  <si>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</si>
  <si>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</si>
  <si>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</si>
  <si>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</si>
  <si>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</si>
  <si>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</si>
  <si>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</si>
  <si>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</si>
  <si>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</si>
  <si>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</si>
  <si>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</si>
  <si>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</si>
  <si>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</si>
  <si>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</si>
  <si>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</si>
  <si>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</si>
  <si>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</si>
  <si>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</si>
  <si>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</si>
  <si>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</si>
  <si>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</si>
  <si>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</si>
  <si>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</si>
  <si>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</si>
  <si>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</si>
  <si>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</si>
  <si>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</si>
  <si>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</si>
  <si>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</si>
  <si>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</si>
  <si>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</si>
  <si>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</si>
  <si>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</si>
  <si>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</si>
  <si>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</si>
  <si>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</si>
  <si>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</si>
  <si>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</si>
  <si>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</si>
  <si>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</si>
  <si>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</si>
  <si>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</si>
  <si>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</si>
  <si>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</si>
  <si>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</si>
  <si>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</si>
  <si>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</si>
  <si>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</si>
  <si>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</si>
  <si>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</si>
  <si>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</si>
  <si>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</si>
  <si>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</si>
  <si>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</si>
  <si>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</si>
  <si>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</si>
  <si>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</si>
  <si>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</si>
  <si>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</si>
  <si>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</si>
  <si>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</si>
  <si>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</si>
  <si>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</si>
  <si>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</si>
  <si>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</si>
  <si>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</si>
  <si>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</si>
  <si>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</si>
  <si>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</si>
  <si>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</si>
  <si>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</si>
  <si>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</si>
  <si>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</si>
  <si>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</si>
  <si>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</si>
  <si>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</si>
  <si>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</si>
  <si>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</si>
  <si>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</si>
  <si>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</si>
  <si>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</si>
  <si>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</si>
  <si>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</si>
  <si>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</si>
  <si>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</si>
  <si>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</si>
  <si>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</si>
  <si>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</si>
  <si>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</si>
  <si>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</si>
  <si>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</si>
  <si>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</si>
  <si>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</si>
  <si>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</si>
  <si>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</si>
  <si>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</si>
  <si>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</si>
  <si>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</si>
  <si>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</si>
  <si>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</si>
  <si>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</si>
  <si>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</si>
  <si>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</si>
  <si>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</si>
  <si>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</si>
  <si>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</si>
  <si>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</si>
  <si>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</si>
  <si>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</si>
  <si>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</si>
  <si>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</si>
  <si>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</si>
  <si>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</si>
  <si>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</si>
  <si>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</si>
  <si>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</si>
  <si>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</si>
  <si>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</si>
  <si>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</si>
  <si>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</si>
  <si>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</si>
  <si>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</si>
  <si>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</si>
  <si>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</si>
  <si>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</si>
  <si>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</si>
  <si>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</si>
  <si>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</si>
  <si>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</si>
  <si>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</si>
  <si>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</si>
  <si>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</si>
  <si>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</si>
  <si>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</si>
  <si>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</si>
  <si>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</si>
  <si>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</si>
  <si>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</si>
  <si>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</si>
  <si>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</si>
  <si>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</si>
  <si>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</si>
  <si>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</si>
  <si>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</si>
  <si>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</si>
  <si>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</si>
  <si>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</si>
  <si>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</si>
  <si>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</si>
  <si>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</si>
  <si>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</si>
  <si>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</si>
  <si>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</si>
  <si>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</si>
  <si>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</si>
  <si>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</si>
  <si>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</si>
  <si>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</si>
  <si>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</si>
  <si>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</si>
  <si>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</si>
  <si>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</si>
  <si>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</si>
  <si>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</si>
  <si>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</si>
  <si>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</si>
  <si>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</si>
  <si>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</si>
  <si>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</si>
  <si>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</si>
  <si>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</si>
  <si>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</si>
  <si>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</si>
  <si>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</si>
  <si>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</si>
  <si>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</si>
  <si>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</si>
  <si>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</si>
  <si>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</si>
  <si>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</si>
  <si>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</si>
  <si>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</si>
  <si>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</si>
  <si>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</si>
  <si>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</si>
  <si>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</si>
  <si>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</si>
  <si>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</si>
  <si>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</si>
  <si>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</si>
  <si>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</si>
  <si>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</si>
  <si>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</si>
  <si>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</si>
  <si>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</si>
  <si>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</si>
  <si>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</si>
  <si>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</si>
  <si>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</si>
  <si>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</si>
  <si>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</si>
  <si>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</si>
  <si>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</si>
  <si>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</si>
  <si>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</si>
  <si>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</si>
  <si>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</si>
  <si>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</si>
  <si>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</si>
  <si>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</si>
  <si>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</si>
  <si>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</si>
  <si>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</si>
  <si>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</si>
  <si>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</si>
  <si>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</si>
  <si>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Novo Campo no input corporativo</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</si>
  <si>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</si>
  <si>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</si>
  <si>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</si>
  <si>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</si>
  <si>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</si>
  <si>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</si>
  <si>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</si>
  <si>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</si>
  <si>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</si>
  <si>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</si>
  <si>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</si>
  <si>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</si>
  <si>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</si>
  <si>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</si>
  <si>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</si>
  <si>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</si>
  <si>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</si>
  <si>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</si>
  <si>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</si>
  <si>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</si>
  <si>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</si>
  <si>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</si>
  <si>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</si>
  <si>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</si>
  <si>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</si>
  <si>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</si>
  <si>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</si>
  <si>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</si>
  <si>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</si>
  <si>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</si>
  <si>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</si>
  <si>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</si>
  <si>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</si>
  <si>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</si>
  <si>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</si>
  <si>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</si>
  <si>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</si>
  <si>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</si>
  <si>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</si>
  <si>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</si>
  <si>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</si>
  <si>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</si>
  <si>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</si>
  <si>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</si>
  <si>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</si>
  <si>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</si>
  <si>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</si>
  <si>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</si>
  <si>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</si>
  <si>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</si>
  <si>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</si>
  <si>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</si>
  <si>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</si>
  <si>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</si>
  <si>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</si>
  <si>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</si>
  <si>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</si>
  <si>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</si>
  <si>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</si>
  <si>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</si>
  <si>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</si>
  <si>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</si>
  <si>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</si>
  <si>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</si>
  <si>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</si>
  <si>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</si>
  <si>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</si>
  <si>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</si>
  <si>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</si>
  <si>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</si>
  <si>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</si>
  <si>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</si>
  <si>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</si>
  <si>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</si>
  <si>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</si>
  <si>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</si>
  <si>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</si>
  <si>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</si>
  <si>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</si>
  <si>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</si>
  <si>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</si>
  <si>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</si>
  <si>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</si>
  <si>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</si>
  <si>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</si>
  <si>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</si>
  <si>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</si>
  <si>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</si>
  <si>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</si>
  <si>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</si>
  <si>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</si>
  <si>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</si>
  <si>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</si>
  <si>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</si>
  <si>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</si>
  <si>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</si>
  <si>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</si>
  <si>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</si>
  <si>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</si>
  <si>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</si>
  <si>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</si>
  <si>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</si>
  <si>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</si>
  <si>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</si>
  <si>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</si>
  <si>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</si>
  <si>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</si>
  <si>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</si>
  <si>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</si>
  <si>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</si>
  <si>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</si>
  <si>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</si>
  <si>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</si>
  <si>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</si>
  <si>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</si>
  <si>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</si>
  <si>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</si>
  <si>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</si>
  <si>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</si>
  <si>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</si>
  <si>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</si>
  <si>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</si>
  <si>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</si>
  <si>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</si>
  <si>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</si>
  <si>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</si>
  <si>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</si>
  <si>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</si>
  <si>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</si>
  <si>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</si>
  <si>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</si>
  <si>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</si>
  <si>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</si>
  <si>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</si>
  <si>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</si>
  <si>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</si>
  <si>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</si>
  <si>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</si>
  <si>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</si>
  <si>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</si>
  <si>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</si>
  <si>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</si>
  <si>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</si>
  <si>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</si>
  <si>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</si>
  <si>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</si>
  <si>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</si>
  <si>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</si>
  <si>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</si>
  <si>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</si>
  <si>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</si>
  <si>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</si>
  <si>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</si>
  <si>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</si>
  <si>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</si>
  <si>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</si>
  <si>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</si>
  <si>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</si>
  <si>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</si>
  <si>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</si>
  <si>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</si>
  <si>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</si>
  <si>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</si>
  <si>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</si>
  <si>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</si>
  <si>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</si>
  <si>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</si>
  <si>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</si>
  <si>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</si>
  <si>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</si>
  <si>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</si>
  <si>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</si>
  <si>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</si>
  <si>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</si>
  <si>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</si>
  <si>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</si>
  <si>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</si>
  <si>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</si>
  <si>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</si>
  <si>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</si>
  <si>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</si>
  <si>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</si>
  <si>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</si>
  <si>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</si>
  <si>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</si>
  <si>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</si>
  <si>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</si>
  <si>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</si>
  <si>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</si>
  <si>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</si>
  <si>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</si>
  <si>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</si>
  <si>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</si>
  <si>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</si>
  <si>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</si>
  <si>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</si>
  <si>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</si>
  <si>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</si>
  <si>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</si>
  <si>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</si>
  <si>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</si>
  <si>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</si>
  <si>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</si>
  <si>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</si>
  <si>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</si>
  <si>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</si>
  <si>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</si>
  <si>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</si>
  <si>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</si>
  <si>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</si>
  <si>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</si>
  <si>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</si>
  <si>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</si>
  <si>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</si>
  <si>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</si>
  <si>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</si>
  <si>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</si>
  <si>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</si>
  <si>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</si>
  <si>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</si>
  <si>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</si>
  <si>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</si>
  <si>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</si>
  <si>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</si>
  <si>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</si>
  <si>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</si>
  <si>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</si>
  <si>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</si>
  <si>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</si>
  <si>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</si>
  <si>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</si>
  <si>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</si>
  <si>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</si>
  <si>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</si>
  <si>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</si>
  <si>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</si>
  <si>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</si>
  <si>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</si>
  <si>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</si>
  <si>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</si>
  <si>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</si>
  <si>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</si>
  <si>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</si>
  <si>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</si>
  <si>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</si>
  <si>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</si>
  <si>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</si>
  <si>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</si>
  <si>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</si>
  <si>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</si>
  <si>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</si>
  <si>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</si>
  <si>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</si>
  <si>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</si>
  <si>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</si>
  <si>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</si>
  <si>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</si>
  <si>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</si>
  <si>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</si>
  <si>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</si>
  <si>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</si>
  <si>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</si>
  <si>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</si>
  <si>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</si>
  <si>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</si>
  <si>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</si>
  <si>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</si>
  <si>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</si>
  <si>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</si>
  <si>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</si>
  <si>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</si>
  <si>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</si>
  <si>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</si>
  <si>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</si>
  <si>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</si>
  <si>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</si>
  <si>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</si>
  <si>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</si>
  <si>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</si>
  <si>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</si>
  <si>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</si>
  <si>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</si>
  <si>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</si>
  <si>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</si>
  <si>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</si>
  <si>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</si>
  <si>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</si>
  <si>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</si>
  <si>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</si>
  <si>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</si>
  <si>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</si>
  <si>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</si>
  <si>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</si>
  <si>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</si>
  <si>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</si>
  <si>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</si>
  <si>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</si>
  <si>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</si>
  <si>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</si>
  <si>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</si>
  <si>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</si>
  <si>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</si>
  <si>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</si>
  <si>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</si>
  <si>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</si>
  <si>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</si>
  <si>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</si>
  <si>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</si>
  <si>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</si>
  <si>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</si>
  <si>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</si>
  <si>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</si>
  <si>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</si>
  <si>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</si>
  <si>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</si>
  <si>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</si>
  <si>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</si>
  <si>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</si>
  <si>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</si>
  <si>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</si>
  <si>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</si>
  <si>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</si>
  <si>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</si>
  <si>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</si>
  <si>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</si>
  <si>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</si>
  <si>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</si>
  <si>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</si>
  <si>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</si>
  <si>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</si>
  <si>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</si>
  <si>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</si>
  <si>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</si>
  <si>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</si>
  <si>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</si>
  <si>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</si>
  <si>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</si>
  <si>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</si>
  <si>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</si>
  <si>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</si>
  <si>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</si>
  <si>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</si>
  <si>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</si>
  <si>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</si>
  <si>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</si>
  <si>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</si>
  <si>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</si>
  <si>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</si>
  <si>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</si>
  <si>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</si>
  <si>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</si>
  <si>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</si>
  <si>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</si>
  <si>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</si>
  <si>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</si>
  <si>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</si>
  <si>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</si>
  <si>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</si>
  <si>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</si>
  <si>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</si>
  <si>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</si>
  <si>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</si>
  <si>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</si>
  <si>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</si>
  <si>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</si>
  <si>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</si>
  <si>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</si>
  <si>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</si>
  <si>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</si>
  <si>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</si>
  <si>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</si>
  <si>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</si>
  <si>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</si>
  <si>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</si>
  <si>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</si>
  <si>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</si>
  <si>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</si>
  <si>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</si>
  <si>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</si>
  <si>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</si>
  <si>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</si>
  <si>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</si>
  <si>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</si>
  <si>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modesg_inp_emss_bens_imoveisunidade_funcional</t>
  </si>
  <si>
    <t>modesg_inp_emss_naceano</t>
  </si>
  <si>
    <t>modesg_inp_emss_nacearea_atividade</t>
  </si>
  <si>
    <t>modesg_inp_emss_nacecod_class_indust</t>
  </si>
  <si>
    <t>modesg_inp_emss_nacecod_nace_esg</t>
  </si>
  <si>
    <t>modesg_inp_emss_nacefator_emissao</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</si>
  <si>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</si>
  <si>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</si>
  <si>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</si>
  <si>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</si>
  <si>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</si>
  <si>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</si>
  <si>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</si>
  <si>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</si>
  <si>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</si>
  <si>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</si>
  <si>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</si>
  <si>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</si>
  <si>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</si>
  <si>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</si>
  <si>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</si>
  <si>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</si>
  <si>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</si>
  <si>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</si>
  <si>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</si>
  <si>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</si>
  <si>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</si>
  <si>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</si>
  <si>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</si>
  <si>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</si>
  <si>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</si>
  <si>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</si>
  <si>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</si>
  <si>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</si>
  <si>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</si>
  <si>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</si>
  <si>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</si>
  <si>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</si>
  <si>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</si>
  <si>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</si>
  <si>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</si>
  <si>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</si>
  <si>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</si>
  <si>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</si>
  <si>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</si>
  <si>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</si>
  <si>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</si>
  <si>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</si>
  <si>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</si>
  <si>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</si>
  <si>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</si>
  <si>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</si>
  <si>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</si>
  <si>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</si>
  <si>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</si>
  <si>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</si>
  <si>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</si>
  <si>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</si>
  <si>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</si>
  <si>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</si>
  <si>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</si>
  <si>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</si>
  <si>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</si>
  <si>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</si>
  <si>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</si>
  <si>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</si>
  <si>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</si>
  <si>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</si>
  <si>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</si>
  <si>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</si>
  <si>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</si>
  <si>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</si>
  <si>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</si>
  <si>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</si>
  <si>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</si>
  <si>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</si>
  <si>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</si>
  <si>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</si>
  <si>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</si>
  <si>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</si>
  <si>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</si>
  <si>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</si>
  <si>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</si>
  <si>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</si>
  <si>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</si>
  <si>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</si>
  <si>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</si>
  <si>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</si>
  <si>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</si>
  <si>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</si>
  <si>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</si>
  <si>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</si>
  <si>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</si>
  <si>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</si>
  <si>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</si>
  <si>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</si>
  <si>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</si>
  <si>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</si>
  <si>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</si>
  <si>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</si>
  <si>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</si>
  <si>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</si>
  <si>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</si>
  <si>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</si>
  <si>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</si>
  <si>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</si>
  <si>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</si>
  <si>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</si>
  <si>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</si>
  <si>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</si>
  <si>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</si>
  <si>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</si>
  <si>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</si>
  <si>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</si>
  <si>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</si>
  <si>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</si>
  <si>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</si>
  <si>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</si>
  <si>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</si>
  <si>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</si>
  <si>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</si>
  <si>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</si>
  <si>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</si>
  <si>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</si>
  <si>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</si>
  <si>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</si>
  <si>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</si>
  <si>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</si>
  <si>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</si>
  <si>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</si>
  <si>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</si>
  <si>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</si>
  <si>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</si>
  <si>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</si>
  <si>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</si>
  <si>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</si>
  <si>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</si>
  <si>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</si>
  <si>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</si>
  <si>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</si>
  <si>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</si>
  <si>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</si>
  <si>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</si>
  <si>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</si>
  <si>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</si>
  <si>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</si>
  <si>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</si>
  <si>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</si>
  <si>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</si>
  <si>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</si>
  <si>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</si>
  <si>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</si>
  <si>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</si>
  <si>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</si>
  <si>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</si>
  <si>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</si>
  <si>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</si>
  <si>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</si>
  <si>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</si>
  <si>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</si>
  <si>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</si>
  <si>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</si>
  <si>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</si>
  <si>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</si>
  <si>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</si>
  <si>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</si>
  <si>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</si>
  <si>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</si>
  <si>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</si>
  <si>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</si>
  <si>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</si>
  <si>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</si>
  <si>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</si>
  <si>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</si>
  <si>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</si>
  <si>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</si>
  <si>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</si>
  <si>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</si>
  <si>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</si>
  <si>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</si>
  <si>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</si>
  <si>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</si>
  <si>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</si>
  <si>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</si>
  <si>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</si>
  <si>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</si>
  <si>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</si>
  <si>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</si>
  <si>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</si>
  <si>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</si>
  <si>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</si>
  <si>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</si>
  <si>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</si>
  <si>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</si>
  <si>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</si>
  <si>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</si>
  <si>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</si>
  <si>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</si>
  <si>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</si>
  <si>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</si>
  <si>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</si>
  <si>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</si>
  <si>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</si>
  <si>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</si>
  <si>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</si>
  <si>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</si>
  <si>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</si>
  <si>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</si>
  <si>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</si>
  <si>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</si>
  <si>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</si>
  <si>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</si>
  <si>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</si>
  <si>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</si>
  <si>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</si>
  <si>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</si>
  <si>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</si>
  <si>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</si>
  <si>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</si>
  <si>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</si>
  <si>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</si>
  <si>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</si>
  <si>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</si>
  <si>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</si>
  <si>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</si>
  <si>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</si>
  <si>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</si>
  <si>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</si>
  <si>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</si>
  <si>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</si>
  <si>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</si>
  <si>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</si>
  <si>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</si>
  <si>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</si>
  <si>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</si>
  <si>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</si>
  <si>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</si>
  <si>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</si>
  <si>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</si>
  <si>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</si>
  <si>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</si>
  <si>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</si>
  <si>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</si>
  <si>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</si>
  <si>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</si>
  <si>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</si>
  <si>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</si>
  <si>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</si>
  <si>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</si>
  <si>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</si>
  <si>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</si>
  <si>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</si>
  <si>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</si>
  <si>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</si>
  <si>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</si>
  <si>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</si>
  <si>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</si>
  <si>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</si>
  <si>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</si>
  <si>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</si>
  <si>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</si>
  <si>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</si>
  <si>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</si>
  <si>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</si>
  <si>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</si>
  <si>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</si>
  <si>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</si>
  <si>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</si>
  <si>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</si>
  <si>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</si>
  <si>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</si>
  <si>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</si>
  <si>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</si>
  <si>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</si>
  <si>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</si>
  <si>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</si>
  <si>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</si>
  <si>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</si>
  <si>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</si>
  <si>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</si>
  <si>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</si>
  <si>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</si>
  <si>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</si>
  <si>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</si>
  <si>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</si>
  <si>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</si>
  <si>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</si>
  <si>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</si>
  <si>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</si>
  <si>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</si>
  <si>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</si>
  <si>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</si>
  <si>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</si>
  <si>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</si>
  <si>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</si>
  <si>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</si>
  <si>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</si>
  <si>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</si>
  <si>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</si>
  <si>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</si>
  <si>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</si>
  <si>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</si>
  <si>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</si>
  <si>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</si>
  <si>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</si>
  <si>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</si>
  <si>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</si>
  <si>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</si>
  <si>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</si>
  <si>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</si>
  <si>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</si>
  <si>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</si>
  <si>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</si>
  <si>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</si>
  <si>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</si>
  <si>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</si>
  <si>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</si>
  <si>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</si>
  <si>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</si>
  <si>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</si>
  <si>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</si>
  <si>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</si>
  <si>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</si>
  <si>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</si>
  <si>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</si>
  <si>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</si>
  <si>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</si>
  <si>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</si>
  <si>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</si>
  <si>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</si>
  <si>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</si>
  <si>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</si>
  <si>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</si>
  <si>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</si>
  <si>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</si>
  <si>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</si>
  <si>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</si>
  <si>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</si>
  <si>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</si>
  <si>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</si>
  <si>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</si>
  <si>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</si>
  <si>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</si>
  <si>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</si>
  <si>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</si>
  <si>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</si>
  <si>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</si>
  <si>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</si>
  <si>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</si>
  <si>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</si>
  <si>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</si>
  <si>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</si>
  <si>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</si>
  <si>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</si>
  <si>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</si>
  <si>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</si>
  <si>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</si>
  <si>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</si>
  <si>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</si>
  <si>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</si>
  <si>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</si>
  <si>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</si>
  <si>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</si>
  <si>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</si>
  <si>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</si>
  <si>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</si>
  <si>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</si>
  <si>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</si>
  <si>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</si>
  <si>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</si>
  <si>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</si>
  <si>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</si>
  <si>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</si>
  <si>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</si>
  <si>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</si>
  <si>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</si>
  <si>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</si>
  <si>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</si>
  <si>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</si>
  <si>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</si>
  <si>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</si>
  <si>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</si>
  <si>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</si>
  <si>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</si>
  <si>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</si>
  <si>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</si>
  <si>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</si>
  <si>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</si>
  <si>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</si>
  <si>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</si>
  <si>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</si>
  <si>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</si>
  <si>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</si>
  <si>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</si>
  <si>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</si>
  <si>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</si>
  <si>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</si>
  <si>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</si>
  <si>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</si>
  <si>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</si>
  <si>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</si>
  <si>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</si>
  <si>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</si>
  <si>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</si>
  <si>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</si>
  <si>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</si>
  <si>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</si>
  <si>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</si>
  <si>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</si>
  <si>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</si>
  <si>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</si>
  <si>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</si>
  <si>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</si>
  <si>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</si>
  <si>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</si>
  <si>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</si>
  <si>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</si>
  <si>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</si>
  <si>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</si>
  <si>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</si>
  <si>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</si>
  <si>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</si>
  <si>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</si>
  <si>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</si>
  <si>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</si>
  <si>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</si>
  <si>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</si>
  <si>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</si>
  <si>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</si>
  <si>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</si>
  <si>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</si>
  <si>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</si>
  <si>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</si>
  <si>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</si>
  <si>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</si>
  <si>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</si>
  <si>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</si>
  <si>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</si>
  <si>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</si>
  <si>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</si>
  <si>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</si>
  <si>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</si>
  <si>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</si>
  <si>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</si>
  <si>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</si>
  <si>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</si>
  <si>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</si>
  <si>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</si>
  <si>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</si>
  <si>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</si>
  <si>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</si>
  <si>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</si>
  <si>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</si>
  <si>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</si>
  <si>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</si>
  <si>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</si>
  <si>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</si>
  <si>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</si>
  <si>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</si>
  <si>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</si>
  <si>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</si>
  <si>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</si>
  <si>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</si>
  <si>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</si>
  <si>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</si>
  <si>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</si>
  <si>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</si>
  <si>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</si>
  <si>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</si>
  <si>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</si>
  <si>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</si>
  <si>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</si>
  <si>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</si>
  <si>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</si>
  <si>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</si>
  <si>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</si>
  <si>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</si>
  <si>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</si>
  <si>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</si>
  <si>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</si>
  <si>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</si>
  <si>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</si>
  <si>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</si>
  <si>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</si>
  <si>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</si>
  <si>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</si>
  <si>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</si>
  <si>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</si>
  <si>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</si>
  <si>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</si>
  <si>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</si>
  <si>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</si>
  <si>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</si>
  <si>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</si>
  <si>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</si>
  <si>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</si>
  <si>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</si>
  <si>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</si>
  <si>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</si>
  <si>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</si>
  <si>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</si>
  <si>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</si>
  <si>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</si>
  <si>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</si>
  <si>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</si>
  <si>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</si>
  <si>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</si>
  <si>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</si>
  <si>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</si>
  <si>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</si>
  <si>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</si>
  <si>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</si>
  <si>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</si>
  <si>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</si>
  <si>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</si>
  <si>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</si>
  <si>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</si>
  <si>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</si>
  <si>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</si>
  <si>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</si>
  <si>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</si>
  <si>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</si>
  <si>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</si>
  <si>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</si>
  <si>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</si>
  <si>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</si>
  <si>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</si>
  <si>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</si>
  <si>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</si>
  <si>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</si>
  <si>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</si>
  <si>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</si>
  <si>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</si>
  <si>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</si>
  <si>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</si>
  <si>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</si>
  <si>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</si>
  <si>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</si>
  <si>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</si>
  <si>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</si>
  <si>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</si>
  <si>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</si>
  <si>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</si>
  <si>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</si>
  <si>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</si>
  <si>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</si>
  <si>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</si>
  <si>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</si>
  <si>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</si>
  <si>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</si>
  <si>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</si>
  <si>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</si>
  <si>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</si>
  <si>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</si>
  <si>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</si>
  <si>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</si>
  <si>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</si>
  <si>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</si>
  <si>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</si>
  <si>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</si>
  <si>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</si>
  <si>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</si>
  <si>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</si>
  <si>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</si>
  <si>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</si>
  <si>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</si>
  <si>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</si>
  <si>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</si>
  <si>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</si>
  <si>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</si>
  <si>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</si>
  <si>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</si>
  <si>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</si>
  <si>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</si>
  <si>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</si>
  <si>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</si>
  <si>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</si>
  <si>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</si>
  <si>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</si>
  <si>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</si>
  <si>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</si>
  <si>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</si>
  <si>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</si>
  <si>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</si>
  <si>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</si>
  <si>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</si>
  <si>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</si>
  <si>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</si>
  <si>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</si>
  <si>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</si>
  <si>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</si>
  <si>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</si>
  <si>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</si>
  <si>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</si>
  <si>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</si>
  <si>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</si>
  <si>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</si>
  <si>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</si>
  <si>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</si>
  <si>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</si>
  <si>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</si>
  <si>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</si>
  <si>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</si>
  <si>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</si>
  <si>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</si>
  <si>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</si>
  <si>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</si>
  <si>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</si>
  <si>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</si>
  <si>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</si>
  <si>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</si>
  <si>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</si>
  <si>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</si>
  <si>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</si>
  <si>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</si>
  <si>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</si>
  <si>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</si>
  <si>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</si>
  <si>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</si>
  <si>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</si>
  <si>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</si>
  <si>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</si>
  <si>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</si>
  <si>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</si>
  <si>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</si>
  <si>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</si>
  <si>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</si>
  <si>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</si>
  <si>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</si>
  <si>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</si>
  <si>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</si>
  <si>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</si>
  <si>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</si>
  <si>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</si>
  <si>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</si>
  <si>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</si>
  <si>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</si>
  <si>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</si>
  <si>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</si>
  <si>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</si>
  <si>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</si>
  <si>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</si>
  <si>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</si>
  <si>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</si>
  <si>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</si>
  <si>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</si>
  <si>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</si>
  <si>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</si>
  <si>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</si>
  <si>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</si>
  <si>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</si>
  <si>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</si>
  <si>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</si>
  <si>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</si>
  <si>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</si>
  <si>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</si>
  <si>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</si>
  <si>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</si>
  <si>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</si>
  <si>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</si>
  <si>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</si>
  <si>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</si>
  <si>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</si>
  <si>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</si>
  <si>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</si>
  <si>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</si>
  <si>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</si>
  <si>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</si>
  <si>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</si>
  <si>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</si>
  <si>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</si>
  <si>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</si>
  <si>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</si>
  <si>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</si>
  <si>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</si>
  <si>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</si>
  <si>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</si>
  <si>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</si>
  <si>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</si>
  <si>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</si>
  <si>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</si>
  <si>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</si>
  <si>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</si>
  <si>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</si>
  <si>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</si>
  <si>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</si>
  <si>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</si>
  <si>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</si>
  <si>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</si>
  <si>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</si>
  <si>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</si>
  <si>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</si>
  <si>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</si>
  <si>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</si>
  <si>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</si>
  <si>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</si>
  <si>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</si>
  <si>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</si>
  <si>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</si>
  <si>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</si>
  <si>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</si>
  <si>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</si>
  <si>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</si>
  <si>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</si>
  <si>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</si>
  <si>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</si>
  <si>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</si>
  <si>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</si>
  <si>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</si>
  <si>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</si>
  <si>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</si>
  <si>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</si>
  <si>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</si>
  <si>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</si>
  <si>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</si>
  <si>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</si>
  <si>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</si>
  <si>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</si>
  <si>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</si>
  <si>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</si>
  <si>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</si>
  <si>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</si>
  <si>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</si>
  <si>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</si>
  <si>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</si>
  <si>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</si>
  <si>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</si>
  <si>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</si>
  <si>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</si>
  <si>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</si>
  <si>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</si>
  <si>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</si>
  <si>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</si>
  <si>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</si>
  <si>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</si>
  <si>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</si>
  <si>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</si>
  <si>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</si>
  <si>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</si>
  <si>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</si>
  <si>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</si>
  <si>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</si>
  <si>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</si>
  <si>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</si>
  <si>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</si>
  <si>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</si>
  <si>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</si>
  <si>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</si>
  <si>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</si>
  <si>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</si>
  <si>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</si>
  <si>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</si>
  <si>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</si>
  <si>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</si>
  <si>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</si>
  <si>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</si>
  <si>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</si>
  <si>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</si>
  <si>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</si>
  <si>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</si>
  <si>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</si>
  <si>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</si>
  <si>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</si>
  <si>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</si>
  <si>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</si>
  <si>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</si>
  <si>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</si>
  <si>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</si>
  <si>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</si>
  <si>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</si>
  <si>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</si>
  <si>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</si>
  <si>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</si>
  <si>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</si>
  <si>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</si>
  <si>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</si>
  <si>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</si>
  <si>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</si>
  <si>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</si>
  <si>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</si>
  <si>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</si>
  <si>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</si>
  <si>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</si>
  <si>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</si>
  <si>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</si>
  <si>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</si>
  <si>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</si>
  <si>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</si>
  <si>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</si>
  <si>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</si>
  <si>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</si>
  <si>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</si>
  <si>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</si>
  <si>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</si>
  <si>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</si>
  <si>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</si>
  <si>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</si>
  <si>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</si>
  <si>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</si>
  <si>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</si>
  <si>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</si>
  <si>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</si>
  <si>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</si>
  <si>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</si>
  <si>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</si>
  <si>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</si>
  <si>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</si>
  <si>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</si>
  <si>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</si>
  <si>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</si>
  <si>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</si>
  <si>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</si>
  <si>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</si>
  <si>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</si>
  <si>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</si>
  <si>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</si>
  <si>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</si>
  <si>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</si>
  <si>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</si>
  <si>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</si>
  <si>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</si>
  <si>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</si>
  <si>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</si>
  <si>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</si>
  <si>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</si>
  <si>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</si>
  <si>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</si>
  <si>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</si>
  <si>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</si>
  <si>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</si>
  <si>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</si>
  <si>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</si>
  <si>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</si>
  <si>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</si>
  <si>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</si>
  <si>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</si>
  <si>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</si>
  <si>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</si>
  <si>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</si>
  <si>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</si>
  <si>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</si>
  <si>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</si>
  <si>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</si>
  <si>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</si>
  <si>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</si>
  <si>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</si>
  <si>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</si>
  <si>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</si>
  <si>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</si>
  <si>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</si>
  <si>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</si>
  <si>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</si>
  <si>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</si>
  <si>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</si>
  <si>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</si>
  <si>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</si>
  <si>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</si>
  <si>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</si>
  <si>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</si>
  <si>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</si>
  <si>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</si>
  <si>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</si>
  <si>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</si>
  <si>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</si>
  <si>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</si>
  <si>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</si>
  <si>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</si>
  <si>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</si>
  <si>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</si>
  <si>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</si>
  <si>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</si>
  <si>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</si>
  <si>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</si>
  <si>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</si>
  <si>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</si>
  <si>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</si>
  <si>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</si>
  <si>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</si>
  <si>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</si>
  <si>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</si>
  <si>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</si>
  <si>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</si>
  <si>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</si>
  <si>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</si>
  <si>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</si>
  <si>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</si>
  <si>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</si>
  <si>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</si>
  <si>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</si>
  <si>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</si>
  <si>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</si>
  <si>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</si>
  <si>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</si>
  <si>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</si>
  <si>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</si>
  <si>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</si>
  <si>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</si>
  <si>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</si>
  <si>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</si>
  <si>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</si>
  <si>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</si>
  <si>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</si>
  <si>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</si>
  <si>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</si>
  <si>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</si>
  <si>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</si>
  <si>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</si>
  <si>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</si>
  <si>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</si>
  <si>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</si>
  <si>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</si>
  <si>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</si>
  <si>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</si>
  <si>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</si>
  <si>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</si>
  <si>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</si>
  <si>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</si>
  <si>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</si>
  <si>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</si>
  <si>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</si>
  <si>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</si>
  <si>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</si>
  <si>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</si>
  <si>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</si>
  <si>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</si>
  <si>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</si>
  <si>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</si>
  <si>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</si>
  <si>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</si>
  <si>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</si>
  <si>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modesg_out_ems_vcls</t>
  </si>
  <si>
    <t xml:space="preserve"> </t>
  </si>
  <si>
    <t>modesg_inp_nfrd_alinhamento_taxnome_pais</t>
  </si>
  <si>
    <t>08/08/2024: Campo eliminado de modo a garantir a coerência com o atualmente realizado no Modelo Único de Garantias.</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</si>
  <si>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</si>
  <si>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Códigos do tipo finalidade bem do input da corporação tem maior granularidade que os o tipo finalidade bem do DL</t>
  </si>
  <si>
    <t>Em Implementação (re-especificação)</t>
  </si>
  <si>
    <t>&lt;</t>
  </si>
  <si>
    <t>Definir a priorização das categorias e novos códigos 
Controlo de input não está de acordo com a chave primária da tabela de output - Email recebido no dia 28/08 da corporação</t>
  </si>
  <si>
    <t>nivel_classificacao_1</t>
  </si>
  <si>
    <t>classe_ativo</t>
  </si>
  <si>
    <t>opcao_metodologia</t>
  </si>
  <si>
    <t>modesg_inp_emss_naceclasse_ativo</t>
  </si>
  <si>
    <t>modesg_inp_emss_nacenivel_classificacao_1</t>
  </si>
  <si>
    <t>modesg_inp_emss_naceopcao_metodologia</t>
  </si>
  <si>
    <t>Status (Tabelas)</t>
  </si>
  <si>
    <t>Tabela de Bens Imóveis</t>
  </si>
  <si>
    <t>Tabelas de Processos Imobiliários</t>
  </si>
  <si>
    <t xml:space="preserve">Tabela de Traçabilidade Processo -Bem </t>
  </si>
  <si>
    <t>Tabela de Traçabilidade Crédito - Processo</t>
  </si>
  <si>
    <t>Tabela input de Cerificados Energéticos (Gloval)</t>
  </si>
  <si>
    <t>Tabela Output de Cerificados Energéticos</t>
  </si>
  <si>
    <t>subgrupo</t>
  </si>
  <si>
    <t>modesg_inp_km_medios_emss_vclssubgrupo</t>
  </si>
  <si>
    <t>Max of Data de incidência / pedido esclarecimento</t>
  </si>
  <si>
    <t>Max of Data de correção/resposta prevista</t>
  </si>
  <si>
    <t>Max of Data de correção/resposta efetiva</t>
  </si>
  <si>
    <t>Validação da Susana/LCM/Corp/conceito/alterações</t>
  </si>
  <si>
    <t>modesg_inp_emss_vclssubgrupo</t>
  </si>
  <si>
    <t xml:space="preserve">Parte dos testes foram feitos exportando a versão do IT e feita a comparação direta em excel (está nas análises equipa) </t>
  </si>
  <si>
    <t xml:space="preserve">Mudança de posição
Parte dos testes foram feitos exportando a versão do IT e feita a comparação direta em excel (está nas análises equipa) 
</t>
  </si>
  <si>
    <t xml:space="preserve"> A scp3_ftr_emss não deverá estar preenchida com valores numéricos, uma vez que os veículos não emitem este tipo de scopes</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</si>
  <si>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</si>
  <si>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</si>
  <si>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</si>
  <si>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Campo removido </t>
  </si>
  <si>
    <t>ano_fator_emissao</t>
  </si>
  <si>
    <t>regiao</t>
  </si>
  <si>
    <t>modesg_inp_emss_bens_imoveisano_fator_emissao</t>
  </si>
  <si>
    <t>modesg_inp_emss_bens_imoveisclasse_ativo</t>
  </si>
  <si>
    <t>modesg_inp_emss_bens_imoveisregiao</t>
  </si>
  <si>
    <t>modesg_inp_emss_bens_imoveisunidade_fator_de_emissao</t>
  </si>
  <si>
    <t>Devido aos caracteres especiais, parte dos testes foi realizado através de counts para garantir que as diferenças eram apenas dos caracteres especiais</t>
  </si>
  <si>
    <t>nivel_mrc</t>
  </si>
  <si>
    <t>modesg_param_sfcs_taxon_europeianivel_mrc</t>
  </si>
  <si>
    <t>modesg_param_sfcs_taxon_europeiaordem</t>
  </si>
  <si>
    <t>18/07/2024: Em validação com Corporação sobre a possibilidade de valores zero (contra especificação); 26/07/2024: Campo concluido</t>
  </si>
  <si>
    <t>13/09/2024: Dependente da atualização dos códigos de SFICS por parte da Corporação.</t>
  </si>
  <si>
    <t>13/09/2024: Dependente da TAT para identificação de códigos de veículos</t>
  </si>
  <si>
    <t>Parte do universo foi testado através de validação manual</t>
  </si>
  <si>
    <t>Em Implementação</t>
  </si>
  <si>
    <r>
      <t xml:space="preserve">1. Não foram realizados avanços devido à dependência dos desenvolvimentos no Modelo de Bens Imóveis e Modelo Verde.
2. Atualmente existem 42 campos concluídos.
3. Encontra-se atualmente 9 campos em validação EF.
</t>
    </r>
    <r>
      <rPr>
        <sz val="9"/>
        <color theme="0" tint="-0.499984740745262"/>
        <rFont val="Santander Text"/>
        <family val="2"/>
      </rPr>
      <t>Notas:
1. Universo de contratos deve corresponder ao da Loan Tape Estrutural. 
2. Na tabela da Protection apenas serão testados os imóveis colateralizados.</t>
    </r>
  </si>
  <si>
    <t>cd_imv_out_certifarea_util</t>
  </si>
  <si>
    <t>cd_imv_out_certifcod_art_matr</t>
  </si>
  <si>
    <t>cd_imv_out_certifcod_disconf</t>
  </si>
  <si>
    <t>cd_imv_out_certifcod_fin_bem</t>
  </si>
  <si>
    <t>cd_imv_out_certifcod_morada</t>
  </si>
  <si>
    <t>cd_imv_out_certifid_frac</t>
  </si>
  <si>
    <t>cd_imv_out_certiflocalid</t>
  </si>
  <si>
    <t>Data Reunião</t>
  </si>
  <si>
    <t>26/09/2024: Remoção de campo</t>
  </si>
  <si>
    <t>Aguardamos resposta da corporação sobre esclarecimento de uma metodologia
Tema de dependência: Todos os clientes aprovisionados com 'PCAF', ao contrário da EF:  as variáveis scp1_emss e scp2_emss tenham um valor &lt;&gt; 0</t>
  </si>
  <si>
    <t>Aguardamos resposta da corporação sobre esclarecimento de uma metodologia
Tema de dependência: Não sei se devíamos dar por concluído devido à especificação (para ser coerente com a unidade funcional em validação)</t>
  </si>
  <si>
    <t>Aguardamos resposta da corporação sobre esclarecimento de uma metodologia
Aprovisionamente da tabela de bens imóveis caso não exista EPC associado (validação funcional) (penso que fica resolvido com a nova especificação)</t>
  </si>
  <si>
    <t>Aguardamos resposta da corporação sobre esclarecimento de uma metodologia
Tema de dependência: Todos os clientes aprovisionados com 'TC02/M2', ao contrário da EF:  as variáveis scp1_emss e scp2_emss tenham um valor &lt;&gt; 0</t>
  </si>
  <si>
    <t>Enviado o novo universo da tabela para o IT</t>
  </si>
  <si>
    <t>A fechar reespecificação</t>
  </si>
  <si>
    <t xml:space="preserve">Re-especificação </t>
  </si>
  <si>
    <t>A concluir re-especificação</t>
  </si>
  <si>
    <t>metodologia a aplicar para os casos em que um ccli_grupo tem mais que um clei deveria ser a metodologia aplicada na Loan Tape, isto é, o clei máximo do grupo.</t>
  </si>
  <si>
    <t>Cancelado</t>
  </si>
  <si>
    <r>
      <t xml:space="preserve">1. Realizaram-se </t>
    </r>
    <r>
      <rPr>
        <b/>
        <sz val="11"/>
        <rFont val="Santander Text"/>
        <family val="2"/>
      </rPr>
      <t>reuniões de esclarecimento dos ficheiros da OCR</t>
    </r>
    <r>
      <rPr>
        <sz val="11"/>
        <rFont val="Santander Text"/>
        <family val="2"/>
      </rPr>
      <t xml:space="preserve"> da aplicação de Gestão de Empreendimentos de forma a compreender o Modelo de Dados e garantir coerência na informação. 
2. A equipa </t>
    </r>
    <r>
      <rPr>
        <b/>
        <sz val="11"/>
        <rFont val="Santander Text"/>
        <family val="2"/>
      </rPr>
      <t>enviou a especificação dos campos esclarecidos da tabela de certificados energéticos para implementação  do IT</t>
    </r>
    <r>
      <rPr>
        <sz val="11"/>
        <rFont val="Santander Text"/>
        <family val="2"/>
      </rPr>
      <t xml:space="preserve">.
3. Atualmente encontram-se </t>
    </r>
    <r>
      <rPr>
        <b/>
        <sz val="11"/>
        <rFont val="Santander Text"/>
        <family val="2"/>
      </rPr>
      <t>4 tabelas concluídas, ficando apenas 34 campos em implementação do lado do IT.</t>
    </r>
    <r>
      <rPr>
        <sz val="11"/>
        <rFont val="Santander Text"/>
        <family val="2"/>
      </rPr>
      <t xml:space="preserve">
4. Continuação das simulações do MBI em inglês. </t>
    </r>
    <r>
      <rPr>
        <b/>
        <sz val="11"/>
        <rFont val="Santander Text"/>
        <family val="2"/>
      </rPr>
      <t>Concluíram-se as simulações de 2 tabelas: PROCESS e RESPONSIBILITY_PROCESS_REL</t>
    </r>
    <r>
      <rPr>
        <sz val="11"/>
        <rFont val="Santander Text"/>
        <family val="2"/>
      </rPr>
      <t xml:space="preserve">.
 </t>
    </r>
  </si>
  <si>
    <t xml:space="preserve">1. Foram realizadas reuniões de esclarecimento relativas à informação proveniente de Gestão de Empreendimentos, tendo sido as especificações dos campos esclarecidos sido enviados para implementação de tecnologia. Concluiram-se as simulações de 2 tabelas do MBI em inglês. Atualmente, encontram-se fechadas 4 tabelas, totalizando 124 de campos concluídos no Modelo de Bens Imóveis.
2. No âmbito do Modelo Verde, foram realizadas várias reuniões que permitiram fechar re-especificações, que neste momento se encontram em validação ou em implementação do lado do IT.
</t>
  </si>
  <si>
    <r>
      <t xml:space="preserve">1. Continua em curso o assessment ao Modelo Verde.
2. Temas endereçados:
</t>
    </r>
    <r>
      <rPr>
        <u/>
        <sz val="11"/>
        <color theme="1"/>
        <rFont val="Santander Text"/>
        <family val="2"/>
      </rPr>
      <t>2.1 Inputs Corporativos:</t>
    </r>
    <r>
      <rPr>
        <sz val="11"/>
        <color theme="1"/>
        <rFont val="Santander Text"/>
        <family val="2"/>
      </rPr>
      <t xml:space="preserve">
Foi carregado e testado o input nace (modesg_inp_emss_nace), após alteração manual ao campo do cod nace e fechados 4 campos.
</t>
    </r>
    <r>
      <rPr>
        <u/>
        <sz val="11"/>
        <color theme="1"/>
        <rFont val="Santander Text"/>
        <family val="2"/>
      </rPr>
      <t>2.2. Tabela de Veiculos (Modesg_out_ems_vcls):</t>
    </r>
    <r>
      <rPr>
        <sz val="11"/>
        <color theme="1"/>
        <rFont val="Santander Text"/>
        <family val="2"/>
      </rPr>
      <t xml:space="preserve">
- Já foi partilhada a re-especificação do novo universo com IT para implementação
- Adicionalmente, a especificação da nova tat já foi também partilhada com o IT do MUG para implementação
- Após reunião com CDO relativamente à tabela de parametrização, a mesma foi aprovada e estamos a fechar a especificação. Aguardamos resposta do lease relativamente a um mapeamento.
- Estamos a terminar a re-especificação dos campos das scopes.</t>
    </r>
    <r>
      <rPr>
        <b/>
        <sz val="11"/>
        <color theme="1"/>
        <rFont val="Santander Text"/>
        <family val="2"/>
      </rPr>
      <t xml:space="preserve">
</t>
    </r>
    <r>
      <rPr>
        <sz val="11"/>
        <color theme="1"/>
        <rFont val="Santander Text"/>
        <family val="2"/>
      </rPr>
      <t xml:space="preserve">
</t>
    </r>
    <r>
      <rPr>
        <u/>
        <sz val="11"/>
        <color theme="1"/>
        <rFont val="Santander Text"/>
        <family val="2"/>
      </rPr>
      <t xml:space="preserve">2.3. Tabela de Clientes (modesg_out_empr_info_nfin)
</t>
    </r>
    <r>
      <rPr>
        <sz val="11"/>
        <color theme="1"/>
        <rFont val="Santander Text"/>
        <family val="2"/>
      </rPr>
      <t xml:space="preserve">- O universo de clientes foi testado e está ok, tendo sido fechado 1 campo (zcliente).
- Foram partilhados 4 re-especificações relativamente aos campos cod nace (já partilhado com IT), flag exclusão de paris, flg nfrd e rácios de eligibilidade e flags de risco físico para aprovação.
- Estamos a terminar a re-especificação dos campos das scopes.
 </t>
    </r>
    <r>
      <rPr>
        <u/>
        <sz val="11"/>
        <color theme="1"/>
        <rFont val="Santander Text"/>
        <family val="2"/>
      </rPr>
      <t xml:space="preserve">2.4. Tabela de Marcação Verde (output e parametrização)
</t>
    </r>
    <r>
      <rPr>
        <sz val="11"/>
        <color theme="1"/>
        <rFont val="Santander Text"/>
        <family val="2"/>
      </rPr>
      <t>Foi realizada uma sessão de validação com o CDO e irá ser partilhado durante o dia de hoje o e-mail de re-especificação para desenvolvimento por parte do IT. Aguardamos o envio da tabela de parametrização com os códigos das categorias atualizados pelo Controlo de Gestão.</t>
    </r>
    <r>
      <rPr>
        <u/>
        <sz val="11"/>
        <color theme="1"/>
        <rFont val="Santander Text"/>
        <family val="2"/>
      </rPr>
      <t xml:space="preserve">
2.5. Tabela de Bens Imóveis
</t>
    </r>
    <r>
      <rPr>
        <sz val="11"/>
        <color theme="1"/>
        <rFont val="Santander Text"/>
        <family val="2"/>
      </rPr>
      <t>- Após reunião com CDO relativamente à tabela de parametrização, a mesma foi aprovada e estamos a fechar a especificação. Aguardamos resposta do lease relativamente a um mapeamento.
- Foi partilhada a re-especificações relativa aos campos das flags de risco físico para aprovação.
- Iremos terminar a re-especificação dos campos de scopes desta tabela, tendo em conta a resposta da corporação referente a uma das metodologias. Contudo, parte da re-especificação já foi partilhada com o IT.</t>
    </r>
    <r>
      <rPr>
        <u/>
        <sz val="11"/>
        <color theme="1"/>
        <rFont val="Santander Text"/>
        <family val="2"/>
      </rPr>
      <t xml:space="preserve">
</t>
    </r>
    <r>
      <rPr>
        <sz val="11"/>
        <color theme="1"/>
        <rFont val="Santander Text"/>
        <family val="2"/>
      </rPr>
      <t xml:space="preserve">
</t>
    </r>
  </si>
  <si>
    <r>
      <t>Sumário Executivo</t>
    </r>
    <r>
      <rPr>
        <b/>
        <sz val="14"/>
        <color theme="4"/>
        <rFont val="Santander Text"/>
        <family val="2"/>
      </rPr>
      <t xml:space="preserve"> |</t>
    </r>
    <r>
      <rPr>
        <b/>
        <sz val="11"/>
        <color theme="4"/>
        <rFont val="Santander Text"/>
        <family val="2"/>
      </rPr>
      <t>27 de Setembro a 04 de outubro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</si>
</sst>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2">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sz val="9"/>
      <color theme="1"/>
      <name val="Verdana"/>
      <family val="2"/>
    </font>
    <font>
      <i/>
      <sz val="9"/>
      <color theme="1"/>
      <name val="Verdana"/>
      <family val="2"/>
    </font>
    <font>
      <sz val="10"/>
      <color theme="1"/>
      <name val="Santander Text"/>
      <family val="2"/>
    </font>
    <font>
      <b/>
      <sz val="11"/>
      <color theme="0"/>
      <name val="Santander Text"/>
      <family val="2"/>
    </font>
    <font>
      <sz val="10"/>
      <color rgb="FFFF0000"/>
      <name val="Santander Text"/>
      <family val="2"/>
    </font>
    <font>
      <sz val="11"/>
      <color theme="1"/>
      <name val="Calibri"/>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6">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5" fillId="0" borderId="0" xfId="0" quotePrefix="1" applyFont="1"/>
    <xf numFmtId="0" fontId="2" fillId="0" borderId="21" xfId="0" applyFont="1" applyBorder="1" applyAlignment="1">
      <alignment horizontal="left" vertical="top" wrapText="1" indent="1"/>
    </xf>
    <xf numFmtId="0" fontId="45" fillId="0" borderId="0" xfId="0" applyFont="1"/>
    <xf numFmtId="0" fontId="22" fillId="0" borderId="0" xfId="0" applyFont="1" applyAlignment="1">
      <alignment horizontal="right"/>
    </xf>
    <xf numFmtId="0" fontId="50" fillId="0" borderId="0" xfId="0" applyFont="1"/>
    <xf numFmtId="0" fontId="48" fillId="0" borderId="0" xfId="0" applyFont="1"/>
    <xf numFmtId="0" fontId="51"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9" fillId="0" borderId="0" xfId="0" applyFont="1"/>
    <xf numFmtId="0" fontId="55" fillId="0" borderId="0" xfId="0" applyFont="1"/>
    <xf numFmtId="0" fontId="4" fillId="0" borderId="0" xfId="0" applyFont="1" applyAlignment="1">
      <alignment horizontal="left" vertical="center" wrapText="1" indent="1"/>
    </xf>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14" fontId="58" fillId="0" borderId="25" xfId="0" applyNumberFormat="1" applyFont="1" applyBorder="1"/>
    <xf numFmtId="14" fontId="58" fillId="0" borderId="33" xfId="0" applyNumberFormat="1" applyFont="1" applyBorder="1"/>
    <xf numFmtId="14" fontId="58" fillId="0" borderId="27" xfId="0" applyNumberFormat="1" applyFont="1" applyBorder="1"/>
    <xf numFmtId="0" fontId="59" fillId="4" borderId="34" xfId="0" applyFont="1" applyFill="1" applyBorder="1" applyAlignment="1">
      <alignment horizontal="left" vertical="center"/>
    </xf>
    <xf numFmtId="0" fontId="60" fillId="0" borderId="25" xfId="0" applyFont="1" applyBorder="1" applyAlignment="1">
      <alignment vertical="center"/>
    </xf>
    <xf numFmtId="0" fontId="60" fillId="0" borderId="25" xfId="0" applyFont="1" applyBorder="1"/>
    <xf numFmtId="0" fontId="61" fillId="0" borderId="0" xfId="0" applyFont="1"/>
    <xf numFmtId="0" fontId="0" fillId="0" borderId="0" xfId="0" applyNumberFormat="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1" fillId="14" borderId="17" xfId="0" applyFont="1" applyFill="1" applyBorder="1" applyAlignment="1">
      <alignment horizontal="left" vertical="top" wrapText="1" indent="1"/>
    </xf>
    <xf numFmtId="0" fontId="51" fillId="14" borderId="18" xfId="0" applyFont="1" applyFill="1" applyBorder="1" applyAlignment="1">
      <alignment horizontal="left" vertical="top" indent="1"/>
    </xf>
    <xf numFmtId="0" fontId="51" fillId="14" borderId="19" xfId="0" applyFont="1" applyFill="1" applyBorder="1" applyAlignment="1">
      <alignment horizontal="left" vertical="top" indent="1"/>
    </xf>
    <xf numFmtId="0" fontId="51" fillId="14" borderId="20" xfId="0" applyFont="1" applyFill="1" applyBorder="1" applyAlignment="1">
      <alignment horizontal="left" vertical="top" indent="1"/>
    </xf>
    <xf numFmtId="0" fontId="51" fillId="14" borderId="0" xfId="0" applyFont="1" applyFill="1" applyAlignment="1">
      <alignment horizontal="left" vertical="top" indent="1"/>
    </xf>
    <xf numFmtId="0" fontId="51" fillId="14" borderId="21" xfId="0" applyFont="1" applyFill="1" applyBorder="1" applyAlignment="1">
      <alignment horizontal="left" vertical="top" indent="1"/>
    </xf>
    <xf numFmtId="0" fontId="51" fillId="14" borderId="22" xfId="0" applyFont="1" applyFill="1" applyBorder="1" applyAlignment="1">
      <alignment horizontal="left" vertical="top" indent="1"/>
    </xf>
    <xf numFmtId="0" fontId="51" fillId="14" borderId="23" xfId="0" applyFont="1" applyFill="1" applyBorder="1" applyAlignment="1">
      <alignment horizontal="left" vertical="top" indent="1"/>
    </xf>
    <xf numFmtId="0" fontId="51" fillId="14" borderId="24" xfId="0" applyFont="1" applyFill="1" applyBorder="1" applyAlignment="1">
      <alignment horizontal="left" vertical="top"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Alignment="1">
      <alignment horizontal="left" vertical="top" wrapText="1"/>
    </xf>
    <xf numFmtId="0" fontId="4" fillId="14" borderId="21" xfId="0" applyFont="1" applyFill="1" applyBorder="1" applyAlignment="1">
      <alignment horizontal="left" vertical="top" wrapText="1"/>
    </xf>
    <xf numFmtId="0" fontId="4" fillId="14" borderId="29" xfId="0" applyFont="1" applyFill="1" applyBorder="1" applyAlignment="1">
      <alignment horizontal="left" vertical="top" wrapText="1"/>
    </xf>
    <xf numFmtId="0" fontId="4" fillId="14" borderId="28" xfId="0" applyFont="1" applyFill="1" applyBorder="1" applyAlignment="1">
      <alignment horizontal="left" vertical="top" wrapText="1"/>
    </xf>
    <xf numFmtId="0" fontId="4" fillId="14" borderId="30"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12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trabalho_V1.34.xlsx]Aux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6"/>
        <c:spPr>
          <a:solidFill>
            <a:schemeClr val="tx2"/>
          </a:solidFill>
          <a:ln>
            <a:noFill/>
          </a:ln>
          <a:effectLst/>
        </c:spPr>
      </c:pivotFmt>
      <c:pivotFmt>
        <c:idx val="27"/>
        <c:spPr>
          <a:solidFill>
            <a:schemeClr val="accent4"/>
          </a:solidFill>
          <a:ln>
            <a:noFill/>
          </a:ln>
          <a:effectLst/>
        </c:spPr>
      </c:pivotFmt>
      <c:pivotFmt>
        <c:idx val="28"/>
        <c:spPr>
          <a:solidFill>
            <a:srgbClr val="FF0000"/>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rgbClr val="FF0000"/>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trabalho_V1.34.xlsx]Aux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6"/>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1"/>
          </a:solidFill>
          <a:ln>
            <a:noFill/>
          </a:ln>
          <a:effectLst/>
        </c:spPr>
        <c:marker>
          <c:symbol val="none"/>
        </c:marke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5</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2">
                  <c:v>6</c:v>
                </c:pt>
                <c:pt idx="3">
                  <c:v>6</c:v>
                </c:pt>
                <c:pt idx="4">
                  <c:v>8</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pt idx="1">
                  <c:v>1</c:v>
                </c:pt>
                <c:pt idx="3">
                  <c:v>4</c:v>
                </c:pt>
                <c:pt idx="4">
                  <c:v>4</c:v>
                </c:pt>
                <c:pt idx="5">
                  <c:v>1</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5. Em Correção</c:v>
                </c:pt>
              </c:strCache>
            </c:strRef>
          </c:tx>
          <c:spPr>
            <a:solidFill>
              <a:schemeClr val="accent5"/>
            </a:solidFill>
            <a:ln>
              <a:noFill/>
            </a:ln>
            <a:effectLst/>
          </c:spPr>
          <c:invertIfNegative val="0"/>
          <c:dLbls>
            <c:delete val="1"/>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2</c:v>
                </c:pt>
              </c:numCache>
            </c:numRef>
          </c:val>
          <c:extLst>
            <c:ext xmlns:c16="http://schemas.microsoft.com/office/drawing/2014/chart" uri="{C3380CC4-5D6E-409C-BE32-E72D297353CC}">
              <c16:uniqueId val="{00000004-55D0-4B61-B7F6-CFC53BD2568F}"/>
            </c:ext>
          </c:extLst>
        </c:ser>
        <c:ser>
          <c:idx val="5"/>
          <c:order val="5"/>
          <c:tx>
            <c:strRef>
              <c:f>'Aux - Pivots2'!$H$48:$H$49</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0">
                  <c:v>13</c:v>
                </c:pt>
                <c:pt idx="1">
                  <c:v>11</c:v>
                </c:pt>
                <c:pt idx="2">
                  <c:v>1</c:v>
                </c:pt>
                <c:pt idx="3">
                  <c:v>20</c:v>
                </c:pt>
              </c:numCache>
            </c:numRef>
          </c:val>
          <c:extLst>
            <c:ext xmlns:c16="http://schemas.microsoft.com/office/drawing/2014/chart" uri="{C3380CC4-5D6E-409C-BE32-E72D297353CC}">
              <c16:uniqueId val="{00000002-479B-4274-BF1C-7647DF6B14AC}"/>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trabalho_V1.34.xlsx]Aux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noFill/>
          </a:ln>
          <a:effectLst/>
        </c:spPr>
      </c:pivotFmt>
      <c:pivotFmt>
        <c:idx val="36"/>
        <c:spPr>
          <a:solidFill>
            <a:schemeClr val="accent6"/>
          </a:solidFill>
          <a:ln>
            <a:noFill/>
          </a:ln>
          <a:effectLst/>
        </c:spPr>
      </c:pivotFmt>
      <c:pivotFmt>
        <c:idx val="37"/>
        <c:spPr>
          <a:solidFill>
            <a:schemeClr val="accent5"/>
          </a:solidFill>
          <a:ln>
            <a:noFill/>
          </a:ln>
          <a:effectLst/>
        </c:spPr>
      </c:pivotFmt>
      <c:pivotFmt>
        <c:idx val="38"/>
        <c:spPr>
          <a:solidFill>
            <a:srgbClr val="C00000"/>
          </a:solidFill>
          <a:ln>
            <a:noFill/>
          </a:ln>
          <a:effectLst/>
        </c:spPr>
      </c:pivotFmt>
      <c:pivotFmt>
        <c:idx val="39"/>
        <c:spPr>
          <a:solidFill>
            <a:srgbClr val="FF0000"/>
          </a:solidFill>
          <a:ln>
            <a:noFill/>
          </a:ln>
          <a:effectLst/>
        </c:spPr>
      </c:pivotFmt>
      <c:pivotFmt>
        <c:idx val="40"/>
        <c:spPr>
          <a:solidFill>
            <a:schemeClr val="tx2"/>
          </a:solidFill>
          <a:ln>
            <a:noFill/>
          </a:ln>
          <a:effectLst/>
        </c:spPr>
      </c:pivotFmt>
      <c:pivotFmt>
        <c:idx val="4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Pivots2'!$C$72</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noFill/>
              </a:ln>
              <a:effectLst/>
            </c:spPr>
            <c:extLst>
              <c:ext xmlns:c16="http://schemas.microsoft.com/office/drawing/2014/chart" uri="{C3380CC4-5D6E-409C-BE32-E72D297353CC}">
                <c16:uniqueId val="{0000000F-75D4-4EB6-B42F-AB8E0C055C1D}"/>
              </c:ext>
            </c:extLst>
          </c:dPt>
          <c:dPt>
            <c:idx val="4"/>
            <c:bubble3D val="0"/>
            <c:spPr>
              <a:solidFill>
                <a:srgbClr val="C00000"/>
              </a:solidFill>
              <a:ln>
                <a:noFill/>
              </a:ln>
              <a:effectLst/>
            </c:spPr>
            <c:extLst>
              <c:ext xmlns:c16="http://schemas.microsoft.com/office/drawing/2014/chart" uri="{C3380CC4-5D6E-409C-BE32-E72D297353CC}">
                <c16:uniqueId val="{00000009-6DD8-496C-AAD9-6B132DEF52B5}"/>
              </c:ext>
            </c:extLst>
          </c:dPt>
          <c:dPt>
            <c:idx val="5"/>
            <c:bubble3D val="0"/>
            <c:spPr>
              <a:solidFill>
                <a:srgbClr val="FF0000"/>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Pivots2'!$B$73:$B$79</c:f>
              <c:strCache>
                <c:ptCount val="6"/>
                <c:pt idx="0">
                  <c:v>0. Cancelado</c:v>
                </c:pt>
                <c:pt idx="1">
                  <c:v>1. Concluído</c:v>
                </c:pt>
                <c:pt idx="2">
                  <c:v>2. Em Teste</c:v>
                </c:pt>
                <c:pt idx="3">
                  <c:v>4. Validação EF</c:v>
                </c:pt>
                <c:pt idx="4">
                  <c:v>5. Em Correção</c:v>
                </c:pt>
                <c:pt idx="5">
                  <c:v>6. Em implementação (re-especificação)</c:v>
                </c:pt>
              </c:strCache>
            </c:strRef>
          </c:cat>
          <c:val>
            <c:numRef>
              <c:f>'Aux - Pivots2'!$C$73:$C$79</c:f>
              <c:numCache>
                <c:formatCode>General</c:formatCode>
                <c:ptCount val="6"/>
                <c:pt idx="0">
                  <c:v>14</c:v>
                </c:pt>
                <c:pt idx="1">
                  <c:v>153</c:v>
                </c:pt>
                <c:pt idx="2">
                  <c:v>20</c:v>
                </c:pt>
                <c:pt idx="3">
                  <c:v>11</c:v>
                </c:pt>
                <c:pt idx="4">
                  <c:v>2</c:v>
                </c:pt>
                <c:pt idx="5">
                  <c:v>45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trabalho_V1.34.xlsx]Aux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bg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7. Por iniciar</c:v>
                </c:pt>
              </c:strCache>
            </c:strRef>
          </c:tx>
          <c:spPr>
            <a:solidFill>
              <a:schemeClr val="bg1">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14</c:v>
                </c:pt>
                <c:pt idx="1">
                  <c:v>32</c:v>
                </c:pt>
                <c:pt idx="2">
                  <c:v>10</c:v>
                </c:pt>
                <c:pt idx="5">
                  <c:v>10</c:v>
                </c:pt>
                <c:pt idx="6">
                  <c:v>9</c:v>
                </c:pt>
              </c:numCache>
            </c:numRef>
          </c:val>
          <c:extLst>
            <c:ext xmlns:c16="http://schemas.microsoft.com/office/drawing/2014/chart" uri="{C3380CC4-5D6E-409C-BE32-E72D297353CC}">
              <c16:uniqueId val="{00000001-DAFF-4CFF-97F0-1CEACC2C6137}"/>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trabalho_V1.34.xlsx]Aux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Pivots2'!$B$116:$B$119</c:f>
              <c:strCache>
                <c:ptCount val="3"/>
                <c:pt idx="0">
                  <c:v>7. Por iniciar</c:v>
                </c:pt>
                <c:pt idx="1">
                  <c:v>1. Concluído</c:v>
                </c:pt>
                <c:pt idx="2">
                  <c:v>4. Validação EF</c:v>
                </c:pt>
              </c:strCache>
            </c:strRef>
          </c:cat>
          <c:val>
            <c:numRef>
              <c:f>'Aux - Pivots2'!$C$116:$C$119</c:f>
              <c:numCache>
                <c:formatCode>General</c:formatCode>
                <c:ptCount val="3"/>
                <c:pt idx="0">
                  <c:v>75</c:v>
                </c:pt>
                <c:pt idx="1">
                  <c:v>42</c:v>
                </c:pt>
                <c:pt idx="2">
                  <c:v>9</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trabalho_V1.34.xlsx]Aux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trabalho_V1.34.xlsx]Aux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trabalho_V1.34.xlsx]Aux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17</c:v>
                </c:pt>
                <c:pt idx="2">
                  <c:v>13</c:v>
                </c:pt>
                <c:pt idx="3">
                  <c:v>50</c:v>
                </c:pt>
                <c:pt idx="4">
                  <c:v>30</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3">
                  <c:v>22</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57538</xdr:rowOff>
    </xdr:from>
    <xdr:to>
      <xdr:col>14</xdr:col>
      <xdr:colOff>621111</xdr:colOff>
      <xdr:row>52</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56118</xdr:rowOff>
    </xdr:from>
    <xdr:to>
      <xdr:col>14</xdr:col>
      <xdr:colOff>621111</xdr:colOff>
      <xdr:row>53</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54</xdr:row>
      <xdr:rowOff>60189</xdr:rowOff>
    </xdr:from>
    <xdr:to>
      <xdr:col>14</xdr:col>
      <xdr:colOff>632959</xdr:colOff>
      <xdr:row>54</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74234</xdr:rowOff>
    </xdr:from>
    <xdr:to>
      <xdr:col>14</xdr:col>
      <xdr:colOff>621111</xdr:colOff>
      <xdr:row>55</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74943</xdr:rowOff>
    </xdr:from>
    <xdr:to>
      <xdr:col>14</xdr:col>
      <xdr:colOff>621111</xdr:colOff>
      <xdr:row>56</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58</xdr:row>
      <xdr:rowOff>56346</xdr:rowOff>
    </xdr:from>
    <xdr:to>
      <xdr:col>14</xdr:col>
      <xdr:colOff>621111</xdr:colOff>
      <xdr:row>58</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57</xdr:row>
      <xdr:rowOff>92090</xdr:rowOff>
    </xdr:from>
    <xdr:to>
      <xdr:col>14</xdr:col>
      <xdr:colOff>621111</xdr:colOff>
      <xdr:row>57</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92</xdr:row>
      <xdr:rowOff>60414</xdr:rowOff>
    </xdr:from>
    <xdr:to>
      <xdr:col>14</xdr:col>
      <xdr:colOff>621111</xdr:colOff>
      <xdr:row>92</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93</xdr:row>
      <xdr:rowOff>57538</xdr:rowOff>
    </xdr:from>
    <xdr:to>
      <xdr:col>14</xdr:col>
      <xdr:colOff>621111</xdr:colOff>
      <xdr:row>93</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56118</xdr:rowOff>
    </xdr:from>
    <xdr:to>
      <xdr:col>14</xdr:col>
      <xdr:colOff>621111</xdr:colOff>
      <xdr:row>94</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95</xdr:row>
      <xdr:rowOff>60189</xdr:rowOff>
    </xdr:from>
    <xdr:to>
      <xdr:col>14</xdr:col>
      <xdr:colOff>632959</xdr:colOff>
      <xdr:row>95</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96</xdr:row>
      <xdr:rowOff>74234</xdr:rowOff>
    </xdr:from>
    <xdr:to>
      <xdr:col>14</xdr:col>
      <xdr:colOff>621111</xdr:colOff>
      <xdr:row>96</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97</xdr:row>
      <xdr:rowOff>74943</xdr:rowOff>
    </xdr:from>
    <xdr:to>
      <xdr:col>14</xdr:col>
      <xdr:colOff>621111</xdr:colOff>
      <xdr:row>97</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99</xdr:row>
      <xdr:rowOff>56346</xdr:rowOff>
    </xdr:from>
    <xdr:to>
      <xdr:col>14</xdr:col>
      <xdr:colOff>621111</xdr:colOff>
      <xdr:row>99</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98</xdr:row>
      <xdr:rowOff>92090</xdr:rowOff>
    </xdr:from>
    <xdr:to>
      <xdr:col>14</xdr:col>
      <xdr:colOff>621111</xdr:colOff>
      <xdr:row>98</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71</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61</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91</xdr:row>
      <xdr:rowOff>37660</xdr:rowOff>
    </xdr:from>
    <xdr:to>
      <xdr:col>14</xdr:col>
      <xdr:colOff>397922</xdr:colOff>
      <xdr:row>104</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88</xdr:row>
      <xdr:rowOff>125619</xdr:rowOff>
    </xdr:from>
    <xdr:to>
      <xdr:col>5</xdr:col>
      <xdr:colOff>664817</xdr:colOff>
      <xdr:row>103</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110</xdr:row>
      <xdr:rowOff>60414</xdr:rowOff>
    </xdr:from>
    <xdr:to>
      <xdr:col>14</xdr:col>
      <xdr:colOff>621111</xdr:colOff>
      <xdr:row>110</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111</xdr:row>
      <xdr:rowOff>57538</xdr:rowOff>
    </xdr:from>
    <xdr:to>
      <xdr:col>14</xdr:col>
      <xdr:colOff>621111</xdr:colOff>
      <xdr:row>111</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56118</xdr:rowOff>
    </xdr:from>
    <xdr:to>
      <xdr:col>14</xdr:col>
      <xdr:colOff>621111</xdr:colOff>
      <xdr:row>112</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113</xdr:row>
      <xdr:rowOff>60189</xdr:rowOff>
    </xdr:from>
    <xdr:to>
      <xdr:col>14</xdr:col>
      <xdr:colOff>632959</xdr:colOff>
      <xdr:row>113</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114</xdr:row>
      <xdr:rowOff>74234</xdr:rowOff>
    </xdr:from>
    <xdr:to>
      <xdr:col>14</xdr:col>
      <xdr:colOff>621111</xdr:colOff>
      <xdr:row>114</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74943</xdr:rowOff>
    </xdr:from>
    <xdr:to>
      <xdr:col>14</xdr:col>
      <xdr:colOff>621111</xdr:colOff>
      <xdr:row>115</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56346</xdr:rowOff>
    </xdr:from>
    <xdr:to>
      <xdr:col>14</xdr:col>
      <xdr:colOff>621111</xdr:colOff>
      <xdr:row>117</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92090</xdr:rowOff>
    </xdr:from>
    <xdr:to>
      <xdr:col>14</xdr:col>
      <xdr:colOff>621111</xdr:colOff>
      <xdr:row>116</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112</xdr:row>
      <xdr:rowOff>130394</xdr:rowOff>
    </xdr:from>
    <xdr:to>
      <xdr:col>14</xdr:col>
      <xdr:colOff>369793</xdr:colOff>
      <xdr:row>115</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108</xdr:row>
      <xdr:rowOff>78081</xdr:rowOff>
    </xdr:from>
    <xdr:to>
      <xdr:col>6</xdr:col>
      <xdr:colOff>327030</xdr:colOff>
      <xdr:row>120</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10136</xdr:colOff>
      <xdr:row>24</xdr:row>
      <xdr:rowOff>83925</xdr:rowOff>
    </xdr:from>
    <xdr:to>
      <xdr:col>14</xdr:col>
      <xdr:colOff>350254</xdr:colOff>
      <xdr:row>34</xdr:row>
      <xdr:rowOff>31952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63.452010532405" backgroundQuery="1" createdVersion="8" refreshedVersion="6" minRefreshableVersion="3" recordCount="0" supportSubquery="1" supportAdvancedDrill="1">
  <cacheSource type="external" connectionId="1"/>
  <cacheFields count="5">
    <cacheField name="[Table1].[concat].[concat]" caption="concat" numFmtId="0" hierarchy="24" level="1">
      <sharedItems count="613">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area_util"/>
        <s v="cd_imv_out_certifcempbem"/>
        <s v="cd_imv_out_certifckbalbem"/>
        <s v="cd_imv_out_certifckctabem"/>
        <s v="cd_imv_out_certifckrefbem"/>
        <s v="cd_imv_out_certifcod_art_matr"/>
        <s v="cd_imv_out_certifcod_cnsrvtr_rgst_prdl"/>
        <s v="cd_imv_out_certifcod_disconf"/>
        <s v="cd_imv_out_certifcod_fin_bem"/>
        <s v="cd_imv_out_certifcod_inscrc"/>
        <s v="cd_imv_out_certifcod_morada"/>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id_frac"/>
        <s v="cd_imv_out_certiflocalid"/>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3" level="32767"/>
    <cacheField name="[Measures].[Max of Data de incidência / pedido esclarecimento 2]" caption="Max of Data de incidência / pedido esclarecimento 2" numFmtId="0" hierarchy="70" level="32767"/>
    <cacheField name="[Measures].[Max of Data de correção/resposta prevista]" caption="Max of Data de correção/resposta prevista" numFmtId="0" hierarchy="71" level="32767"/>
    <cacheField name="[Measures].[Max of Data de correção/resposta efetiva]" caption="Max of Data de correção/resposta efetiva" numFmtId="0" hierarchy="72"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63.452018981479"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4">
        <s v="1. Concluído"/>
        <s v="4. Validação EF"/>
        <s v="7. Por iniciar"/>
        <s v="6. Em implementação (re-especificação)" u="1"/>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63.452021064812"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63.452023379628"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6"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63.452025462961"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6" level="32767"/>
    <cacheField name="[Table4].[Status Atual].[Status Atual]" caption="Status Atual" numFmtId="0" hierarchy="46" level="1">
      <sharedItems count="4">
        <s v="1. Concluído"/>
        <s v="4. Validação EF"/>
        <s v="7. Por iniciar"/>
        <s v="6. Em implementação (re-especificação)"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63.452027430554"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6" level="32767"/>
    <cacheField name="[Table4].[Status Atual].[Status Atual]" caption="Status Atual" numFmtId="0" hierarchy="46" level="1">
      <sharedItems count="6">
        <s v="0. Cancelado"/>
        <s v="1. Concluído"/>
        <s v="6. Em implementação (re-especificação)"/>
        <s v="4. Validação EF" u="1"/>
        <s v="2. Em Teste"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63.452029166663"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4">
        <s v="0. Cancelado"/>
        <s v="1. Concluíd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ana Rita Bentinho Silva" refreshedDate="45563.452044212965"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5" level="32767"/>
    <cacheField name="[Range 1].[Status Atual].[Status Atual]" caption="Status Atual" numFmtId="0" hierarchy="11" level="1">
      <sharedItems count="3">
        <s v="1. Concluído"/>
        <s v="2.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oana Rita Bentinho Silva" refreshedDate="45563.452046527775"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5" level="32767"/>
    <cacheField name="[Range 1].[Status Atual].[Status Atual]" caption="Status Atual" numFmtId="0" hierarchy="11" level="1">
      <sharedItems count="3">
        <s v="1. Concluído"/>
        <s v="2.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56"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17" firstHeaderRow="0" firstDataRow="1" firstDataCol="1"/>
  <pivotFields count="5">
    <pivotField axis="axisRow" compact="0" allDrilled="1" outline="0" subtotalTop="0" showAll="0" dataSourceSort="1" defaultSubtotal="0" defaultAttributeDrillState="1">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1" cacheId="8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7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4"/>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7" cacheId="6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I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7"/>
  </rowFields>
  <rowItems count="14">
    <i>
      <x/>
    </i>
    <i>
      <x v="1"/>
    </i>
    <i>
      <x v="2"/>
    </i>
    <i>
      <x v="3"/>
    </i>
    <i>
      <x v="4"/>
    </i>
    <i>
      <x v="5"/>
    </i>
    <i>
      <x v="6"/>
    </i>
    <i>
      <x v="7"/>
    </i>
    <i>
      <x v="8"/>
    </i>
    <i>
      <x v="9"/>
    </i>
    <i>
      <x v="10"/>
    </i>
    <i>
      <x v="11"/>
    </i>
    <i>
      <x v="12"/>
    </i>
    <i t="grand">
      <x/>
    </i>
  </rowItems>
  <colFields count="1">
    <field x="9"/>
  </colFields>
  <colItems count="7">
    <i>
      <x/>
    </i>
    <i>
      <x v="1"/>
    </i>
    <i>
      <x v="2"/>
    </i>
    <i>
      <x v="3"/>
    </i>
    <i>
      <x v="4"/>
    </i>
    <i>
      <x v="5"/>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6">
    <chartFormat chart="3" format="42" series="1">
      <pivotArea type="data" outline="0" fieldPosition="0">
        <references count="2">
          <reference field="4294967294" count="1" selected="0">
            <x v="0"/>
          </reference>
          <reference field="9" count="1" selected="0">
            <x v="3"/>
          </reference>
        </references>
      </pivotArea>
    </chartFormat>
    <chartFormat chart="3" format="43" series="1">
      <pivotArea type="data" outline="0" fieldPosition="0">
        <references count="2">
          <reference field="4294967294" count="1" selected="0">
            <x v="0"/>
          </reference>
          <reference field="9" count="1" selected="0">
            <x v="1"/>
          </reference>
        </references>
      </pivotArea>
    </chartFormat>
    <chartFormat chart="3" format="44" series="1">
      <pivotArea type="data" outline="0" fieldPosition="0">
        <references count="2">
          <reference field="4294967294" count="1" selected="0">
            <x v="0"/>
          </reference>
          <reference field="9" count="1" selected="0">
            <x v="0"/>
          </reference>
        </references>
      </pivotArea>
    </chartFormat>
    <chartFormat chart="3" format="45" series="1">
      <pivotArea type="data" outline="0" fieldPosition="0">
        <references count="2">
          <reference field="4294967294" count="1" selected="0">
            <x v="0"/>
          </reference>
          <reference field="9" count="1" selected="0">
            <x v="2"/>
          </reference>
        </references>
      </pivotArea>
    </chartFormat>
    <chartFormat chart="3" format="46" series="1">
      <pivotArea type="data" outline="0" fieldPosition="0">
        <references count="2">
          <reference field="4294967294" count="1" selected="0">
            <x v="0"/>
          </reference>
          <reference field="9" count="1" selected="0">
            <x v="5"/>
          </reference>
        </references>
      </pivotArea>
    </chartFormat>
    <chartFormat chart="3" format="47" series="1">
      <pivotArea type="data" outline="0" fieldPosition="0">
        <references count="2">
          <reference field="4294967294" count="1" selected="0">
            <x v="0"/>
          </reference>
          <reference field="9" count="1" selected="0">
            <x v="4"/>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2" cacheId="7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8" cacheId="6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9"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7"/>
  </rowFields>
  <rowItems count="7">
    <i>
      <x/>
    </i>
    <i>
      <x v="1"/>
    </i>
    <i>
      <x v="2"/>
    </i>
    <i>
      <x v="3"/>
    </i>
    <i>
      <x v="4"/>
    </i>
    <i>
      <x v="5"/>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7">
    <chartFormat chart="6" format="35">
      <pivotArea type="data" outline="0" fieldPosition="0">
        <references count="2">
          <reference field="4294967294" count="1" selected="0">
            <x v="0"/>
          </reference>
          <reference field="7" count="1" selected="0">
            <x v="1"/>
          </reference>
        </references>
      </pivotArea>
    </chartFormat>
    <chartFormat chart="6" format="36">
      <pivotArea type="data" outline="0" fieldPosition="0">
        <references count="2">
          <reference field="4294967294" count="1" selected="0">
            <x v="0"/>
          </reference>
          <reference field="7" count="1" selected="0">
            <x v="2"/>
          </reference>
        </references>
      </pivotArea>
    </chartFormat>
    <chartFormat chart="6" format="37">
      <pivotArea type="data" outline="0" fieldPosition="0">
        <references count="2">
          <reference field="4294967294" count="1" selected="0">
            <x v="0"/>
          </reference>
          <reference field="7" count="1" selected="0">
            <x v="3"/>
          </reference>
        </references>
      </pivotArea>
    </chartFormat>
    <chartFormat chart="6" format="38">
      <pivotArea type="data" outline="0" fieldPosition="0">
        <references count="2">
          <reference field="4294967294" count="1" selected="0">
            <x v="0"/>
          </reference>
          <reference field="7" count="1" selected="0">
            <x v="4"/>
          </reference>
        </references>
      </pivotArea>
    </chartFormat>
    <chartFormat chart="6" format="39">
      <pivotArea type="data" outline="0" fieldPosition="0">
        <references count="2">
          <reference field="4294967294" count="1" selected="0">
            <x v="0"/>
          </reference>
          <reference field="7" count="1" selected="0">
            <x v="5"/>
          </reference>
        </references>
      </pivotArea>
    </chartFormat>
    <chartFormat chart="6" format="40">
      <pivotArea type="data" outline="0" fieldPosition="0">
        <references count="2">
          <reference field="4294967294" count="1" selected="0">
            <x v="0"/>
          </reference>
          <reference field="7"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9" cacheId="6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94:F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7"/>
  </rowFields>
  <rowItems count="8">
    <i>
      <x/>
    </i>
    <i>
      <x v="1"/>
    </i>
    <i>
      <x v="2"/>
    </i>
    <i>
      <x v="3"/>
    </i>
    <i>
      <x v="4"/>
    </i>
    <i>
      <x v="5"/>
    </i>
    <i>
      <x v="6"/>
    </i>
    <i t="grand">
      <x/>
    </i>
  </rowItems>
  <colFields count="1">
    <field x="9"/>
  </colFields>
  <colItems count="4">
    <i>
      <x/>
    </i>
    <i>
      <x v="1"/>
    </i>
    <i>
      <x v="2"/>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5">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2"/>
          </reference>
        </references>
      </pivotArea>
    </chartFormat>
    <chartFormat chart="7" format="25" series="1">
      <pivotArea type="data" outline="0" fieldPosition="0">
        <references count="2">
          <reference field="4294967294" count="1" selected="0">
            <x v="0"/>
          </reference>
          <reference field="9" count="1" selected="0">
            <x v="3"/>
          </reference>
        </references>
      </pivotArea>
    </chartFormat>
    <chartFormat chart="7" format="26">
      <pivotArea type="data" outline="0" fieldPosition="0">
        <references count="3">
          <reference field="4294967294" count="1" selected="0">
            <x v="0"/>
          </reference>
          <reference field="7" count="1" selected="0">
            <x v="0"/>
          </reference>
          <reference field="9" count="1" selected="0">
            <x v="3"/>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5" cacheId="7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0" cacheId="5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19"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4">
        <item x="2"/>
        <item x="0"/>
        <item x="1"/>
        <item x="3"/>
      </items>
    </pivotField>
    <pivotField dataField="1" subtotalTop="0" showAll="0" defaultSubtotal="0"/>
  </pivotFields>
  <rowFields count="1">
    <field x="5"/>
  </rowFields>
  <rowItems count="4">
    <i>
      <x/>
    </i>
    <i>
      <x v="1"/>
    </i>
    <i>
      <x v="2"/>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6">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2"/>
          </reference>
        </references>
      </pivotArea>
    </chartFormat>
    <chartFormat chart="6" format="20">
      <pivotArea type="data" outline="0" fieldPosition="0">
        <references count="2">
          <reference field="4294967294" count="1" selected="0">
            <x v="0"/>
          </reference>
          <reference field="5" count="1" selected="0">
            <x v="3"/>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M615" totalsRowShown="0" headerRowDxfId="92" tableBorderDxfId="91">
  <autoFilter ref="B6:M615"/>
  <tableColumns count="12">
    <tableColumn id="1" name="Âmbito" dataDxfId="90"/>
    <tableColumn id="2" name="Sub-âmbito" dataDxfId="89"/>
    <tableColumn id="3" name="Tipo de teste" dataDxfId="88"/>
    <tableColumn id="4" name="Tabela" dataDxfId="87"/>
    <tableColumn id="5" name="Campo" dataDxfId="86"/>
    <tableColumn id="6" name="Status Atual" dataDxfId="85"/>
    <tableColumn id="7" name="Status Anterior" dataDxfId="84"/>
    <tableColumn id="8" name="Observações" dataDxfId="83"/>
    <tableColumn id="9" name="Data de Pedido correção/esclarecimento" dataDxfId="82">
      <calculatedColumnFormula>IF(VLOOKUP(A7,'Aux - pivots1'!$A:$E,3,0)=0, "",VLOOKUP(A7,'Aux - pivots1'!$A:$E,3,0))</calculatedColumnFormula>
    </tableColumn>
    <tableColumn id="10" name="Data de correção prevista" dataDxfId="81">
      <calculatedColumnFormula>IF(VLOOKUP(A7,'Aux - pivots1'!$A:$E,4,0)=0, "",VLOOKUP(A7,'Aux - pivots1'!$A:$E,4,0))</calculatedColumnFormula>
    </tableColumn>
    <tableColumn id="11" name="Data de correção efetiva" dataDxfId="80">
      <calculatedColumnFormula>IF(VLOOKUP(A7,'Aux - pivots1'!$A:$E,5,0)=0, "",VLOOKUP(A7,'Aux - pivots1'!$A:$E,5,0))</calculatedColumnFormula>
    </tableColumn>
    <tableColumn id="12" name="Data Reunião" dataDxfId="79"/>
  </tableColumns>
  <tableStyleInfo showFirstColumn="0" showLastColumn="0" showRowStripes="1" showColumnStripes="0"/>
</table>
</file>

<file path=xl/tables/table2.xml><?xml version="1.0" encoding="utf-8"?>
<table xmlns="http://schemas.openxmlformats.org/spreadsheetml/2006/main" id="1" name="Table1" displayName="Table1" ref="B8:X1443" headerRowDxfId="54" dataDxfId="52" totalsRowDxfId="50" headerRowBorderDxfId="53" tableBorderDxfId="51" totalsRowBorderDxfId="49">
  <autoFilter ref="B8:X1443">
    <filterColumn colId="4">
      <filters>
        <filter val="cd_imv_out_certif"/>
      </filters>
    </filterColumn>
    <filterColumn colId="7">
      <filters>
        <filter val="6. Em implementação (re-especificação)"/>
      </filters>
    </filterColumn>
  </autoFilter>
  <tableColumns count="23">
    <tableColumn id="1" name="Âmbito" dataDxfId="48" totalsRowDxfId="47"/>
    <tableColumn id="12" name="Sub-âmbito" dataDxfId="46" totalsRowDxfId="45"/>
    <tableColumn id="2" name="Origem" dataDxfId="44" totalsRowDxfId="43"/>
    <tableColumn id="18" name="Campo Origem" dataDxfId="42" totalsRowDxfId="41"/>
    <tableColumn id="5" name="Tabela" dataDxfId="40" totalsRowDxfId="39"/>
    <tableColumn id="3" name="Campo" dataDxfId="38" totalsRowDxfId="37"/>
    <tableColumn id="20" name="concat" dataDxfId="36" totalsRowDxfId="35">
      <calculatedColumnFormula>Table1[[#This Row],[Tabela]]&amp;Table1[[#This Row],[Campo]]</calculatedColumnFormula>
    </tableColumn>
    <tableColumn id="4" name="Status" dataDxfId="34" totalsRowDxfId="33"/>
    <tableColumn id="19" name="Status2" dataDxfId="32">
      <calculatedColumnFormula>VLOOKUP(Table1[[#This Row],[Status]],Auxiliar!$B$16:$C$23,2,0)</calculatedColumnFormula>
    </tableColumn>
    <tableColumn id="6" name="Tipologia_Testes" dataDxfId="31" totalsRowDxfId="30"/>
    <tableColumn id="10" name="Necessidade de re-especificação? (campo)" dataDxfId="29" totalsRowDxfId="28"/>
    <tableColumn id="9" name="Complexidade" dataDxfId="27" totalsRowDxfId="26"/>
    <tableColumn id="17" name="Data de Alteração Status" dataDxfId="25" totalsRowDxfId="24"/>
    <tableColumn id="8" name="Estimação (horas)" totalsRowFunction="custom" dataDxfId="23" totalsRowDxfId="22">
      <calculatedColumnFormula>INDEX(Auxiliar!$D$5:$F$11,MATCH(Table1[[#This Row],[Tipologia_Testes]],Auxiliar!$B$5:$B$11,0),MATCH(Table1[[#This Row],[Complexidade]],Auxiliar!$D$4:$F$4,0))</calculatedColumnFormula>
      <totalsRowFormula>SUMIF(Table1[Estimação (horas)],"&gt;0")</totalsRowFormula>
    </tableColumn>
    <tableColumn id="7" name="Notas" dataDxfId="21" totalsRowDxfId="20"/>
    <tableColumn id="11" name="Owner" dataDxfId="19" totalsRowDxfId="18"/>
    <tableColumn id="21" name="Data alteração especificação" dataDxfId="17" totalsRowDxfId="16"/>
    <tableColumn id="13" name="Data de inicio testes" dataDxfId="15" totalsRowDxfId="14"/>
    <tableColumn id="14" name="Data de incidência / pedido esclarecimento" dataDxfId="13" totalsRowDxfId="12"/>
    <tableColumn id="15" name="Data de correção/resposta prevista" dataDxfId="11" totalsRowDxfId="10"/>
    <tableColumn id="22" name="Data de correção/resposta efetiva" dataDxfId="9" totalsRowDxfId="8"/>
    <tableColumn id="23" name="Horas efetivas" dataDxfId="7" totalsRowDxfId="6">
      <calculatedColumnFormula>VLOOKUP(Table1[[#This Row],[Status]],Auxiliar!$B$16:$D$23,3,0)*Table1[[#This Row],[Estimação (horas)]]</calculatedColumnFormula>
    </tableColumn>
    <tableColumn id="16" name="Query" dataDxfId="5" totalsRowDxfId="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topLeftCell="N1" zoomScale="85" zoomScaleNormal="85" workbookViewId="0">
      <selection activeCell="D136" sqref="D136"/>
    </sheetView>
  </sheetViews>
  <sheetFormatPr defaultColWidth="0" defaultRowHeight="17.55" customHeight="1" zeroHeight="1"/>
  <cols>
    <col min="1" max="2" width="3.69921875" style="27" customWidth="1"/>
    <col min="3" max="38" width="8.69921875" style="27" customWidth="1"/>
    <col min="39" max="40" width="3.69921875" style="27" customWidth="1"/>
    <col min="41" max="16384" width="8.69921875" style="27" hidden="1"/>
  </cols>
  <sheetData>
    <row r="1" spans="1:40" ht="17.399999999999999">
      <c r="AN1" s="136"/>
    </row>
    <row r="2" spans="1:40" ht="17.399999999999999"/>
    <row r="3" spans="1:40" ht="17.399999999999999"/>
    <row r="4" spans="1:40"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row>
    <row r="5" spans="1:40" ht="17.399999999999999">
      <c r="A5" s="135"/>
      <c r="B5" s="135"/>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5"/>
    </row>
    <row r="6" spans="1:40" ht="22.2">
      <c r="A6" s="135"/>
      <c r="B6" s="145" t="s">
        <v>0</v>
      </c>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row>
    <row r="7" spans="1:40" ht="4.95" customHeight="1">
      <c r="A7" s="135"/>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5"/>
      <c r="AC7" s="135"/>
      <c r="AD7" s="135"/>
      <c r="AE7" s="135"/>
      <c r="AF7" s="135"/>
      <c r="AG7" s="135"/>
      <c r="AH7" s="135"/>
      <c r="AI7" s="135"/>
      <c r="AJ7" s="135"/>
      <c r="AK7" s="135"/>
      <c r="AL7" s="135"/>
      <c r="AM7" s="135"/>
      <c r="AN7" s="135"/>
    </row>
    <row r="8" spans="1:40" ht="17.399999999999999">
      <c r="A8" s="135"/>
      <c r="B8" s="137"/>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9"/>
      <c r="AN8" s="135"/>
    </row>
    <row r="9" spans="1:40" ht="22.2">
      <c r="A9" s="135"/>
      <c r="B9" s="140"/>
      <c r="C9" s="158" t="s">
        <v>1</v>
      </c>
      <c r="T9" s="159"/>
      <c r="V9" s="158" t="s">
        <v>2</v>
      </c>
      <c r="AM9" s="141"/>
      <c r="AN9" s="135"/>
    </row>
    <row r="10" spans="1:40" ht="17.399999999999999">
      <c r="A10" s="135"/>
      <c r="B10" s="140"/>
      <c r="T10" s="159"/>
      <c r="AM10" s="141"/>
      <c r="AN10" s="135"/>
    </row>
    <row r="11" spans="1:40" ht="17.399999999999999">
      <c r="A11" s="135"/>
      <c r="B11" s="140"/>
      <c r="T11" s="159"/>
      <c r="AM11" s="141"/>
      <c r="AN11" s="135"/>
    </row>
    <row r="12" spans="1:40" ht="17.399999999999999">
      <c r="A12" s="135"/>
      <c r="B12" s="140"/>
      <c r="T12" s="159"/>
      <c r="AM12" s="141"/>
      <c r="AN12" s="135"/>
    </row>
    <row r="13" spans="1:40" ht="17.399999999999999">
      <c r="A13" s="135"/>
      <c r="B13" s="140"/>
      <c r="T13" s="159"/>
      <c r="AM13" s="141"/>
      <c r="AN13" s="135"/>
    </row>
    <row r="14" spans="1:40" ht="17.399999999999999">
      <c r="A14" s="135"/>
      <c r="B14" s="140"/>
      <c r="T14" s="159"/>
      <c r="AM14" s="141"/>
      <c r="AN14" s="135"/>
    </row>
    <row r="15" spans="1:40" ht="17.399999999999999">
      <c r="A15" s="135"/>
      <c r="B15" s="140"/>
      <c r="T15" s="159"/>
      <c r="AM15" s="141"/>
      <c r="AN15" s="135"/>
    </row>
    <row r="16" spans="1:40" ht="17.399999999999999">
      <c r="A16" s="135"/>
      <c r="B16" s="140"/>
      <c r="T16" s="159"/>
      <c r="AM16" s="141"/>
      <c r="AN16" s="135"/>
    </row>
    <row r="17" spans="1:40" ht="17.399999999999999">
      <c r="A17" s="135"/>
      <c r="B17" s="140"/>
      <c r="T17" s="159"/>
      <c r="AM17" s="141"/>
      <c r="AN17" s="135"/>
    </row>
    <row r="18" spans="1:40" ht="17.399999999999999">
      <c r="A18" s="135"/>
      <c r="B18" s="140"/>
      <c r="T18" s="159"/>
      <c r="AM18" s="141"/>
      <c r="AN18" s="135"/>
    </row>
    <row r="19" spans="1:40" ht="17.399999999999999">
      <c r="A19" s="135"/>
      <c r="B19" s="140"/>
      <c r="T19" s="159"/>
      <c r="AM19" s="141"/>
      <c r="AN19" s="135"/>
    </row>
    <row r="20" spans="1:40" ht="17.399999999999999">
      <c r="A20" s="135"/>
      <c r="B20" s="140"/>
      <c r="T20" s="159"/>
      <c r="AM20" s="141"/>
      <c r="AN20" s="135"/>
    </row>
    <row r="21" spans="1:40" ht="17.399999999999999">
      <c r="A21" s="135"/>
      <c r="B21" s="140"/>
      <c r="T21" s="159"/>
      <c r="AM21" s="141"/>
      <c r="AN21" s="135"/>
    </row>
    <row r="22" spans="1:40" ht="17.399999999999999">
      <c r="A22" s="135"/>
      <c r="B22" s="140"/>
      <c r="T22" s="159"/>
      <c r="AM22" s="141"/>
      <c r="AN22" s="135"/>
    </row>
    <row r="23" spans="1:40" ht="17.399999999999999">
      <c r="A23" s="135"/>
      <c r="B23" s="140"/>
      <c r="T23" s="159"/>
      <c r="AM23" s="141"/>
      <c r="AN23" s="135"/>
    </row>
    <row r="24" spans="1:40" ht="17.399999999999999">
      <c r="A24" s="135"/>
      <c r="B24" s="140"/>
      <c r="T24" s="159"/>
      <c r="AM24" s="141"/>
      <c r="AN24" s="135"/>
    </row>
    <row r="25" spans="1:40" ht="17.399999999999999">
      <c r="A25" s="135"/>
      <c r="B25" s="140"/>
      <c r="T25" s="159"/>
      <c r="AM25" s="141"/>
      <c r="AN25" s="135"/>
    </row>
    <row r="26" spans="1:40" ht="17.399999999999999">
      <c r="A26" s="135"/>
      <c r="B26" s="140"/>
      <c r="T26" s="159"/>
      <c r="AM26" s="141"/>
      <c r="AN26" s="135"/>
    </row>
    <row r="27" spans="1:40" ht="17.399999999999999">
      <c r="A27" s="135"/>
      <c r="B27" s="140"/>
      <c r="T27" s="159"/>
      <c r="AM27" s="141"/>
      <c r="AN27" s="135"/>
    </row>
    <row r="28" spans="1:40" ht="17.399999999999999">
      <c r="A28" s="135"/>
      <c r="B28" s="140"/>
      <c r="T28" s="159"/>
      <c r="AM28" s="141"/>
      <c r="AN28" s="135"/>
    </row>
    <row r="29" spans="1:40" ht="17.399999999999999">
      <c r="A29" s="135"/>
      <c r="B29" s="140"/>
      <c r="T29" s="159"/>
      <c r="AM29" s="141"/>
      <c r="AN29" s="135"/>
    </row>
    <row r="30" spans="1:40" ht="17.399999999999999">
      <c r="A30" s="135"/>
      <c r="B30" s="140"/>
      <c r="T30" s="159"/>
      <c r="AM30" s="141"/>
      <c r="AN30" s="135"/>
    </row>
    <row r="31" spans="1:40" ht="17.399999999999999">
      <c r="A31" s="135"/>
      <c r="B31" s="140"/>
      <c r="T31" s="159"/>
      <c r="AM31" s="141"/>
      <c r="AN31" s="135"/>
    </row>
    <row r="32" spans="1:40" ht="17.399999999999999">
      <c r="A32" s="135"/>
      <c r="B32" s="140"/>
      <c r="T32" s="159"/>
      <c r="AM32" s="141"/>
      <c r="AN32" s="135"/>
    </row>
    <row r="33" spans="1:40" ht="17.399999999999999">
      <c r="A33" s="135"/>
      <c r="B33" s="140"/>
      <c r="T33" s="159"/>
      <c r="AM33" s="141"/>
      <c r="AN33" s="135"/>
    </row>
    <row r="34" spans="1:40" ht="17.399999999999999">
      <c r="A34" s="135"/>
      <c r="B34" s="140"/>
      <c r="T34" s="159"/>
      <c r="AM34" s="141"/>
      <c r="AN34" s="135"/>
    </row>
    <row r="35" spans="1:40" ht="17.399999999999999">
      <c r="A35" s="135"/>
      <c r="B35" s="140"/>
      <c r="T35" s="159"/>
      <c r="AM35" s="141"/>
      <c r="AN35" s="135"/>
    </row>
    <row r="36" spans="1:40" ht="17.399999999999999">
      <c r="A36" s="135"/>
      <c r="B36" s="140"/>
      <c r="T36" s="159"/>
      <c r="AM36" s="141"/>
      <c r="AN36" s="135"/>
    </row>
    <row r="37" spans="1:40" ht="17.399999999999999">
      <c r="A37" s="135"/>
      <c r="B37" s="140"/>
      <c r="T37" s="159"/>
      <c r="AM37" s="141"/>
      <c r="AN37" s="135"/>
    </row>
    <row r="38" spans="1:40" ht="17.399999999999999">
      <c r="A38" s="135"/>
      <c r="B38" s="140"/>
      <c r="T38" s="159"/>
      <c r="AM38" s="141"/>
      <c r="AN38" s="135"/>
    </row>
    <row r="39" spans="1:40" ht="17.399999999999999">
      <c r="A39" s="135"/>
      <c r="B39" s="140"/>
      <c r="C39" s="146" t="s">
        <v>3</v>
      </c>
      <c r="AM39" s="141"/>
      <c r="AN39" s="135"/>
    </row>
    <row r="40" spans="1:40" ht="17.399999999999999">
      <c r="A40" s="135"/>
      <c r="B40" s="140"/>
      <c r="C40" s="133"/>
      <c r="D40" s="27" t="s">
        <v>4</v>
      </c>
      <c r="AM40" s="141"/>
      <c r="AN40" s="135"/>
    </row>
    <row r="41" spans="1:40" ht="17.399999999999999">
      <c r="A41" s="135"/>
      <c r="B41" s="142"/>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4"/>
      <c r="AN41" s="135"/>
    </row>
    <row r="42" spans="1:40" ht="17.399999999999999">
      <c r="A42" s="135"/>
      <c r="B42" s="135"/>
      <c r="C42" s="135"/>
      <c r="D42" s="135"/>
      <c r="E42" s="135"/>
      <c r="F42" s="135"/>
      <c r="G42" s="135"/>
      <c r="H42" s="135"/>
      <c r="I42" s="135"/>
      <c r="J42" s="135"/>
      <c r="K42" s="135"/>
      <c r="L42" s="135"/>
      <c r="M42" s="135"/>
      <c r="N42" s="135"/>
      <c r="O42" s="135"/>
      <c r="P42" s="135"/>
      <c r="Q42" s="135"/>
      <c r="R42" s="135"/>
      <c r="S42" s="135"/>
      <c r="T42" s="135"/>
      <c r="U42" s="135"/>
      <c r="V42" s="135"/>
      <c r="W42" s="135"/>
      <c r="X42" s="135"/>
      <c r="Y42" s="135"/>
      <c r="Z42" s="135"/>
      <c r="AA42" s="135"/>
      <c r="AB42" s="135"/>
      <c r="AC42" s="135"/>
      <c r="AD42" s="135"/>
      <c r="AE42" s="135"/>
      <c r="AF42" s="135"/>
      <c r="AG42" s="135"/>
      <c r="AH42" s="135"/>
      <c r="AI42" s="135"/>
      <c r="AJ42" s="135"/>
      <c r="AK42" s="135"/>
      <c r="AL42" s="135"/>
      <c r="AM42" s="135"/>
      <c r="AN42" s="13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O584"/>
  <sheetViews>
    <sheetView showGridLines="0" zoomScale="70" zoomScaleNormal="70" workbookViewId="0">
      <pane xSplit="15" ySplit="13" topLeftCell="P14" activePane="bottomRight" state="frozen"/>
      <selection activeCell="D136" sqref="D136"/>
      <selection pane="topRight" activeCell="D136" sqref="D136"/>
      <selection pane="bottomLeft" activeCell="D136" sqref="D136"/>
      <selection pane="bottomRight" activeCell="I31" sqref="I31"/>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c r="AI1" s="136"/>
    </row>
    <row r="2" spans="1:148" s="27" customFormat="1"/>
    <row r="3" spans="1:148" s="27" customFormat="1"/>
    <row r="4" spans="1:148" s="27" customFormat="1"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c r="BO4" s="133"/>
      <c r="BP4" s="133"/>
      <c r="BQ4" s="133"/>
      <c r="BR4" s="133"/>
      <c r="BS4" s="133"/>
      <c r="BT4" s="133"/>
      <c r="BU4" s="133"/>
      <c r="BV4" s="133"/>
      <c r="BW4" s="133"/>
      <c r="BX4" s="133"/>
      <c r="BY4" s="133"/>
      <c r="BZ4" s="133"/>
      <c r="CA4" s="133"/>
      <c r="CB4" s="133"/>
      <c r="CC4" s="133"/>
      <c r="CD4" s="133"/>
      <c r="CE4" s="133"/>
      <c r="CF4" s="133"/>
      <c r="CG4" s="133"/>
      <c r="CH4" s="133"/>
      <c r="CI4" s="133"/>
      <c r="CJ4" s="133"/>
      <c r="CK4" s="133"/>
      <c r="CL4" s="133"/>
      <c r="CM4" s="133"/>
      <c r="CN4" s="133"/>
      <c r="CO4" s="133"/>
      <c r="CP4" s="133"/>
      <c r="CQ4" s="133"/>
      <c r="CR4" s="133"/>
      <c r="CS4" s="133"/>
      <c r="CT4" s="133"/>
      <c r="CU4" s="133"/>
      <c r="CV4" s="133"/>
      <c r="CW4" s="133"/>
      <c r="CX4" s="133"/>
      <c r="CY4" s="133"/>
      <c r="CZ4" s="133"/>
      <c r="DA4" s="133"/>
      <c r="DB4" s="133"/>
      <c r="DC4" s="133"/>
      <c r="DD4" s="133"/>
      <c r="DE4" s="133"/>
      <c r="DF4" s="133"/>
      <c r="DG4" s="133"/>
      <c r="DH4" s="133"/>
      <c r="DI4" s="133"/>
      <c r="DJ4" s="133"/>
      <c r="DK4" s="133"/>
      <c r="DL4" s="133"/>
      <c r="DM4" s="133"/>
      <c r="DN4" s="133"/>
      <c r="DO4" s="133"/>
      <c r="DP4" s="133"/>
      <c r="DQ4" s="133"/>
      <c r="DR4" s="133"/>
      <c r="DS4" s="133"/>
      <c r="DT4" s="133"/>
      <c r="DU4" s="133"/>
      <c r="DV4" s="133"/>
      <c r="DW4" s="133"/>
      <c r="DX4" s="133"/>
      <c r="DY4" s="133"/>
      <c r="DZ4" s="133"/>
      <c r="EA4" s="133"/>
      <c r="EB4" s="133"/>
      <c r="EC4" s="133"/>
      <c r="ED4" s="133"/>
      <c r="EE4" s="133"/>
      <c r="EF4" s="133"/>
      <c r="EG4" s="133"/>
      <c r="EH4" s="133"/>
      <c r="EI4" s="133"/>
      <c r="EJ4" s="133"/>
      <c r="EK4" s="133"/>
      <c r="EL4" s="133"/>
      <c r="EM4" s="133"/>
      <c r="EN4" s="133"/>
      <c r="EO4" s="133"/>
      <c r="EP4" s="133"/>
      <c r="EQ4" s="133"/>
      <c r="ER4" s="133"/>
    </row>
    <row r="5" spans="1:148">
      <c r="P5" s="99"/>
    </row>
    <row r="6" spans="1:148">
      <c r="B6" s="117" t="s">
        <v>5</v>
      </c>
      <c r="C6" s="117"/>
      <c r="D6" s="118">
        <v>0.2</v>
      </c>
      <c r="P6" s="99">
        <f>P7-P10</f>
        <v>0</v>
      </c>
      <c r="Q6" s="99">
        <f t="shared" ref="Q6:CB6" si="0">Q7-Q10</f>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si="0"/>
        <v>0</v>
      </c>
      <c r="CA6" s="99">
        <f t="shared" si="0"/>
        <v>0</v>
      </c>
      <c r="CB6" s="99">
        <f t="shared" si="0"/>
        <v>0</v>
      </c>
      <c r="CC6" s="99">
        <f t="shared" ref="CC6:EN6" si="1">CC7-CC10</f>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si="1"/>
        <v>0</v>
      </c>
      <c r="EM6" s="99">
        <f t="shared" si="1"/>
        <v>0</v>
      </c>
      <c r="EN6" s="99">
        <f t="shared" si="1"/>
        <v>0</v>
      </c>
      <c r="EO6" s="99">
        <f>EO7-EO10</f>
        <v>0</v>
      </c>
      <c r="EP6" s="99">
        <f>EP7-EP10</f>
        <v>0</v>
      </c>
      <c r="EQ6" s="99">
        <f>EQ7-EQ10</f>
        <v>0</v>
      </c>
    </row>
    <row r="7" spans="1:148">
      <c r="B7" s="117" t="s">
        <v>6</v>
      </c>
      <c r="C7" s="117"/>
      <c r="D7" s="118">
        <f>50%*25%</f>
        <v>0.125</v>
      </c>
      <c r="E7" s="104"/>
      <c r="O7" s="115">
        <f>AVERAGE(P7:EO7)</f>
        <v>2.4923076923076923</v>
      </c>
      <c r="P7" s="99">
        <v>3</v>
      </c>
      <c r="Q7" s="99">
        <v>3</v>
      </c>
      <c r="R7" s="99">
        <v>3</v>
      </c>
      <c r="S7" s="99">
        <v>3</v>
      </c>
      <c r="T7" s="99">
        <v>3</v>
      </c>
      <c r="U7" s="99">
        <v>2</v>
      </c>
      <c r="V7" s="99">
        <v>2</v>
      </c>
      <c r="W7" s="99">
        <v>2</v>
      </c>
      <c r="X7" s="99">
        <v>2</v>
      </c>
      <c r="Y7" s="99">
        <v>2</v>
      </c>
      <c r="Z7" s="99">
        <v>2</v>
      </c>
      <c r="AA7" s="99">
        <v>2</v>
      </c>
      <c r="AB7" s="99">
        <v>2</v>
      </c>
      <c r="AC7" s="99">
        <v>2</v>
      </c>
      <c r="AD7" s="99">
        <v>2</v>
      </c>
      <c r="AE7" s="99">
        <v>2</v>
      </c>
      <c r="AF7" s="99">
        <v>2</v>
      </c>
      <c r="AG7" s="99">
        <v>1</v>
      </c>
      <c r="AH7" s="99">
        <v>1</v>
      </c>
      <c r="AI7" s="99">
        <v>1</v>
      </c>
      <c r="AJ7" s="99">
        <v>3</v>
      </c>
      <c r="AK7" s="99">
        <v>3</v>
      </c>
      <c r="AL7" s="99">
        <v>3</v>
      </c>
      <c r="AM7" s="99">
        <v>3</v>
      </c>
      <c r="AN7" s="99">
        <v>2</v>
      </c>
      <c r="AO7" s="99">
        <v>3</v>
      </c>
      <c r="AP7" s="99">
        <v>3</v>
      </c>
      <c r="AQ7" s="99">
        <v>3</v>
      </c>
      <c r="AR7" s="99">
        <v>3</v>
      </c>
      <c r="AS7" s="99">
        <v>3</v>
      </c>
      <c r="AT7" s="99">
        <v>2</v>
      </c>
      <c r="AU7" s="99">
        <v>2</v>
      </c>
      <c r="AV7" s="99">
        <v>2</v>
      </c>
      <c r="AW7" s="99">
        <v>0</v>
      </c>
      <c r="AX7" s="99">
        <v>1</v>
      </c>
      <c r="AY7" s="99">
        <v>1</v>
      </c>
      <c r="AZ7" s="99">
        <v>0</v>
      </c>
      <c r="BA7" s="99">
        <v>1</v>
      </c>
      <c r="BB7" s="99">
        <v>1</v>
      </c>
      <c r="BC7" s="99">
        <v>1</v>
      </c>
      <c r="BD7" s="99">
        <v>2</v>
      </c>
      <c r="BE7" s="99">
        <v>2</v>
      </c>
      <c r="BF7" s="99">
        <v>2</v>
      </c>
      <c r="BG7" s="99">
        <v>2</v>
      </c>
      <c r="BH7" s="99">
        <v>2</v>
      </c>
      <c r="BI7" s="99">
        <v>2</v>
      </c>
      <c r="BJ7" s="99">
        <v>2</v>
      </c>
      <c r="BK7" s="99">
        <v>2</v>
      </c>
      <c r="BL7" s="99">
        <v>2</v>
      </c>
      <c r="BM7" s="99">
        <v>2</v>
      </c>
      <c r="BN7" s="99">
        <v>2</v>
      </c>
      <c r="BO7" s="99">
        <v>2</v>
      </c>
      <c r="BP7" s="99">
        <v>2</v>
      </c>
      <c r="BQ7" s="99">
        <v>2</v>
      </c>
      <c r="BR7" s="99">
        <v>2</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3</v>
      </c>
      <c r="DO7" s="99">
        <v>3</v>
      </c>
      <c r="DP7" s="99">
        <v>3</v>
      </c>
      <c r="DQ7" s="99">
        <v>2</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3</v>
      </c>
      <c r="EJ7" s="99">
        <v>3</v>
      </c>
      <c r="EK7" s="99">
        <v>3</v>
      </c>
      <c r="EL7" s="99">
        <v>0</v>
      </c>
      <c r="EM7" s="99">
        <v>0</v>
      </c>
      <c r="EN7" s="99">
        <v>0</v>
      </c>
      <c r="EO7" s="99">
        <v>0</v>
      </c>
      <c r="EP7" s="99">
        <v>0</v>
      </c>
      <c r="EQ7" s="99">
        <v>0</v>
      </c>
    </row>
    <row r="10" spans="1:148">
      <c r="P10" s="99">
        <f t="shared" ref="P10:AU10" si="2">SUBTOTAL(9,P14:P583)</f>
        <v>3</v>
      </c>
      <c r="Q10" s="99">
        <f t="shared" si="2"/>
        <v>3</v>
      </c>
      <c r="R10" s="99">
        <f t="shared" si="2"/>
        <v>3</v>
      </c>
      <c r="S10" s="99">
        <f t="shared" si="2"/>
        <v>3</v>
      </c>
      <c r="T10" s="99">
        <f t="shared" si="2"/>
        <v>3</v>
      </c>
      <c r="U10" s="99">
        <f t="shared" si="2"/>
        <v>2</v>
      </c>
      <c r="V10" s="99">
        <f t="shared" si="2"/>
        <v>2</v>
      </c>
      <c r="W10" s="99">
        <f t="shared" si="2"/>
        <v>2</v>
      </c>
      <c r="X10" s="99">
        <f t="shared" si="2"/>
        <v>2</v>
      </c>
      <c r="Y10" s="99">
        <f t="shared" si="2"/>
        <v>2</v>
      </c>
      <c r="Z10" s="99">
        <f t="shared" si="2"/>
        <v>2</v>
      </c>
      <c r="AA10" s="99">
        <f t="shared" si="2"/>
        <v>2</v>
      </c>
      <c r="AB10" s="99">
        <f t="shared" si="2"/>
        <v>2</v>
      </c>
      <c r="AC10" s="99">
        <f t="shared" si="2"/>
        <v>2</v>
      </c>
      <c r="AD10" s="99">
        <f t="shared" si="2"/>
        <v>2</v>
      </c>
      <c r="AE10" s="99">
        <f t="shared" si="2"/>
        <v>2</v>
      </c>
      <c r="AF10" s="99">
        <f t="shared" si="2"/>
        <v>2</v>
      </c>
      <c r="AG10" s="99">
        <f t="shared" si="2"/>
        <v>1</v>
      </c>
      <c r="AH10" s="99">
        <f t="shared" si="2"/>
        <v>1</v>
      </c>
      <c r="AI10" s="99">
        <f t="shared" si="2"/>
        <v>1</v>
      </c>
      <c r="AJ10" s="99">
        <f t="shared" si="2"/>
        <v>3</v>
      </c>
      <c r="AK10" s="99">
        <f t="shared" si="2"/>
        <v>3</v>
      </c>
      <c r="AL10" s="99">
        <f t="shared" si="2"/>
        <v>3</v>
      </c>
      <c r="AM10" s="99">
        <f t="shared" si="2"/>
        <v>3</v>
      </c>
      <c r="AN10" s="99">
        <f t="shared" si="2"/>
        <v>2</v>
      </c>
      <c r="AO10" s="99">
        <f t="shared" si="2"/>
        <v>3</v>
      </c>
      <c r="AP10" s="99">
        <f t="shared" si="2"/>
        <v>3</v>
      </c>
      <c r="AQ10" s="99">
        <f t="shared" si="2"/>
        <v>3</v>
      </c>
      <c r="AR10" s="99">
        <f t="shared" si="2"/>
        <v>3</v>
      </c>
      <c r="AS10" s="99">
        <f t="shared" si="2"/>
        <v>3</v>
      </c>
      <c r="AT10" s="99">
        <f t="shared" si="2"/>
        <v>2</v>
      </c>
      <c r="AU10" s="99">
        <f t="shared" si="2"/>
        <v>2</v>
      </c>
      <c r="AV10" s="99">
        <f t="shared" ref="AV10:CA10" si="3">SUBTOTAL(9,AV14:AV583)</f>
        <v>2</v>
      </c>
      <c r="AW10" s="99">
        <f t="shared" si="3"/>
        <v>0</v>
      </c>
      <c r="AX10" s="99">
        <f t="shared" si="3"/>
        <v>1</v>
      </c>
      <c r="AY10" s="99">
        <f t="shared" si="3"/>
        <v>1</v>
      </c>
      <c r="AZ10" s="99">
        <f t="shared" si="3"/>
        <v>0</v>
      </c>
      <c r="BA10" s="99">
        <f t="shared" si="3"/>
        <v>1</v>
      </c>
      <c r="BB10" s="99">
        <f t="shared" si="3"/>
        <v>1</v>
      </c>
      <c r="BC10" s="99">
        <f t="shared" si="3"/>
        <v>1</v>
      </c>
      <c r="BD10" s="99">
        <f t="shared" si="3"/>
        <v>2</v>
      </c>
      <c r="BE10" s="99">
        <f t="shared" si="3"/>
        <v>2</v>
      </c>
      <c r="BF10" s="99">
        <f t="shared" si="3"/>
        <v>2</v>
      </c>
      <c r="BG10" s="99">
        <f t="shared" si="3"/>
        <v>2</v>
      </c>
      <c r="BH10" s="99">
        <f t="shared" si="3"/>
        <v>2</v>
      </c>
      <c r="BI10" s="99">
        <f t="shared" si="3"/>
        <v>2</v>
      </c>
      <c r="BJ10" s="99">
        <f t="shared" si="3"/>
        <v>2</v>
      </c>
      <c r="BK10" s="99">
        <f t="shared" si="3"/>
        <v>2</v>
      </c>
      <c r="BL10" s="99">
        <f t="shared" si="3"/>
        <v>2</v>
      </c>
      <c r="BM10" s="99">
        <f t="shared" si="3"/>
        <v>2</v>
      </c>
      <c r="BN10" s="99">
        <f t="shared" si="3"/>
        <v>2</v>
      </c>
      <c r="BO10" s="99">
        <f t="shared" si="3"/>
        <v>2</v>
      </c>
      <c r="BP10" s="99">
        <f t="shared" si="3"/>
        <v>2</v>
      </c>
      <c r="BQ10" s="99">
        <f t="shared" si="3"/>
        <v>2</v>
      </c>
      <c r="BR10" s="99">
        <f t="shared" si="3"/>
        <v>2</v>
      </c>
      <c r="BS10" s="99">
        <f t="shared" si="3"/>
        <v>3</v>
      </c>
      <c r="BT10" s="99">
        <f t="shared" si="3"/>
        <v>3</v>
      </c>
      <c r="BU10" s="99">
        <f t="shared" si="3"/>
        <v>3</v>
      </c>
      <c r="BV10" s="99">
        <f t="shared" si="3"/>
        <v>3</v>
      </c>
      <c r="BW10" s="99">
        <f t="shared" si="3"/>
        <v>3</v>
      </c>
      <c r="BX10" s="99">
        <f t="shared" si="3"/>
        <v>3</v>
      </c>
      <c r="BY10" s="99">
        <f t="shared" si="3"/>
        <v>3</v>
      </c>
      <c r="BZ10" s="99">
        <f t="shared" si="3"/>
        <v>3</v>
      </c>
      <c r="CA10" s="99">
        <f t="shared" si="3"/>
        <v>3</v>
      </c>
      <c r="CB10" s="99">
        <f t="shared" ref="CB10:DG10" si="4">SUBTOTAL(9,CB14:CB583)</f>
        <v>3</v>
      </c>
      <c r="CC10" s="99">
        <f t="shared" si="4"/>
        <v>3</v>
      </c>
      <c r="CD10" s="99">
        <f t="shared" si="4"/>
        <v>3</v>
      </c>
      <c r="CE10" s="99">
        <f t="shared" si="4"/>
        <v>3</v>
      </c>
      <c r="CF10" s="99">
        <f t="shared" si="4"/>
        <v>3</v>
      </c>
      <c r="CG10" s="99">
        <f t="shared" si="4"/>
        <v>3</v>
      </c>
      <c r="CH10" s="99">
        <f t="shared" si="4"/>
        <v>3</v>
      </c>
      <c r="CI10" s="99">
        <f t="shared" si="4"/>
        <v>3</v>
      </c>
      <c r="CJ10" s="99">
        <f t="shared" si="4"/>
        <v>3</v>
      </c>
      <c r="CK10" s="99">
        <f t="shared" si="4"/>
        <v>3</v>
      </c>
      <c r="CL10" s="99">
        <f t="shared" si="4"/>
        <v>3</v>
      </c>
      <c r="CM10" s="99">
        <f t="shared" si="4"/>
        <v>3</v>
      </c>
      <c r="CN10" s="99">
        <f t="shared" si="4"/>
        <v>3</v>
      </c>
      <c r="CO10" s="99">
        <f t="shared" si="4"/>
        <v>3</v>
      </c>
      <c r="CP10" s="99">
        <f t="shared" si="4"/>
        <v>3</v>
      </c>
      <c r="CQ10" s="99">
        <f t="shared" si="4"/>
        <v>3</v>
      </c>
      <c r="CR10" s="99">
        <f t="shared" si="4"/>
        <v>3</v>
      </c>
      <c r="CS10" s="99">
        <f t="shared" si="4"/>
        <v>3</v>
      </c>
      <c r="CT10" s="99">
        <f t="shared" si="4"/>
        <v>3</v>
      </c>
      <c r="CU10" s="99">
        <f t="shared" si="4"/>
        <v>3</v>
      </c>
      <c r="CV10" s="99">
        <f t="shared" si="4"/>
        <v>3</v>
      </c>
      <c r="CW10" s="99">
        <f t="shared" si="4"/>
        <v>3</v>
      </c>
      <c r="CX10" s="99">
        <f t="shared" si="4"/>
        <v>3</v>
      </c>
      <c r="CY10" s="99">
        <f t="shared" si="4"/>
        <v>3</v>
      </c>
      <c r="CZ10" s="99">
        <f t="shared" si="4"/>
        <v>3</v>
      </c>
      <c r="DA10" s="99">
        <f t="shared" si="4"/>
        <v>3</v>
      </c>
      <c r="DB10" s="99">
        <f t="shared" si="4"/>
        <v>3</v>
      </c>
      <c r="DC10" s="99">
        <f t="shared" si="4"/>
        <v>3</v>
      </c>
      <c r="DD10" s="99">
        <f t="shared" si="4"/>
        <v>3</v>
      </c>
      <c r="DE10" s="99">
        <f t="shared" si="4"/>
        <v>3</v>
      </c>
      <c r="DF10" s="99">
        <f t="shared" si="4"/>
        <v>3</v>
      </c>
      <c r="DG10" s="99">
        <f t="shared" si="4"/>
        <v>3</v>
      </c>
      <c r="DH10" s="99">
        <f t="shared" ref="DH10:EQ10" si="5">SUBTOTAL(9,DH14:DH583)</f>
        <v>3</v>
      </c>
      <c r="DI10" s="99">
        <f t="shared" si="5"/>
        <v>3</v>
      </c>
      <c r="DJ10" s="99">
        <f t="shared" si="5"/>
        <v>3</v>
      </c>
      <c r="DK10" s="99">
        <f t="shared" si="5"/>
        <v>3</v>
      </c>
      <c r="DL10" s="99">
        <f t="shared" si="5"/>
        <v>3</v>
      </c>
      <c r="DM10" s="99">
        <f t="shared" si="5"/>
        <v>3</v>
      </c>
      <c r="DN10" s="99">
        <f t="shared" si="5"/>
        <v>3</v>
      </c>
      <c r="DO10" s="99">
        <f t="shared" si="5"/>
        <v>3</v>
      </c>
      <c r="DP10" s="99">
        <f t="shared" si="5"/>
        <v>3</v>
      </c>
      <c r="DQ10" s="99">
        <f t="shared" si="5"/>
        <v>2</v>
      </c>
      <c r="DR10" s="99">
        <f t="shared" si="5"/>
        <v>3</v>
      </c>
      <c r="DS10" s="99">
        <f t="shared" si="5"/>
        <v>3</v>
      </c>
      <c r="DT10" s="99">
        <f t="shared" si="5"/>
        <v>3</v>
      </c>
      <c r="DU10" s="99">
        <f t="shared" si="5"/>
        <v>3</v>
      </c>
      <c r="DV10" s="99">
        <f t="shared" si="5"/>
        <v>3</v>
      </c>
      <c r="DW10" s="99">
        <f t="shared" si="5"/>
        <v>3</v>
      </c>
      <c r="DX10" s="99">
        <f t="shared" si="5"/>
        <v>3</v>
      </c>
      <c r="DY10" s="99">
        <f t="shared" si="5"/>
        <v>3</v>
      </c>
      <c r="DZ10" s="99">
        <f t="shared" si="5"/>
        <v>3</v>
      </c>
      <c r="EA10" s="99">
        <f t="shared" si="5"/>
        <v>3</v>
      </c>
      <c r="EB10" s="99">
        <f t="shared" si="5"/>
        <v>3</v>
      </c>
      <c r="EC10" s="99">
        <f t="shared" si="5"/>
        <v>3</v>
      </c>
      <c r="ED10" s="99">
        <f t="shared" si="5"/>
        <v>3</v>
      </c>
      <c r="EE10" s="99">
        <f t="shared" si="5"/>
        <v>3</v>
      </c>
      <c r="EF10" s="99">
        <f t="shared" si="5"/>
        <v>3</v>
      </c>
      <c r="EG10" s="99">
        <f t="shared" si="5"/>
        <v>3</v>
      </c>
      <c r="EH10" s="99">
        <f t="shared" si="5"/>
        <v>3</v>
      </c>
      <c r="EI10" s="99">
        <f t="shared" si="5"/>
        <v>3</v>
      </c>
      <c r="EJ10" s="99">
        <f t="shared" si="5"/>
        <v>3</v>
      </c>
      <c r="EK10" s="99">
        <f t="shared" si="5"/>
        <v>3</v>
      </c>
      <c r="EL10" s="99">
        <f t="shared" si="5"/>
        <v>0</v>
      </c>
      <c r="EM10" s="99">
        <f t="shared" si="5"/>
        <v>0</v>
      </c>
      <c r="EN10" s="99">
        <f t="shared" si="5"/>
        <v>0</v>
      </c>
      <c r="EO10" s="99">
        <f t="shared" si="5"/>
        <v>0</v>
      </c>
      <c r="EP10" s="99">
        <f t="shared" si="5"/>
        <v>0</v>
      </c>
      <c r="EQ10" s="99">
        <f t="shared" si="5"/>
        <v>0</v>
      </c>
    </row>
    <row r="11" spans="1:148">
      <c r="P11" s="84" t="s">
        <v>7</v>
      </c>
      <c r="Q11" s="84"/>
      <c r="R11" s="84"/>
      <c r="S11" s="84"/>
      <c r="T11" s="84"/>
      <c r="U11" s="84"/>
      <c r="V11" s="84"/>
      <c r="W11" s="84"/>
      <c r="X11" s="84"/>
      <c r="Y11" s="84"/>
      <c r="Z11" s="84" t="s">
        <v>7</v>
      </c>
      <c r="AA11" s="84"/>
      <c r="AB11" s="84"/>
      <c r="AC11" s="84"/>
      <c r="AD11" s="84"/>
      <c r="AE11" s="84"/>
      <c r="AF11" s="84"/>
      <c r="AG11" s="84"/>
      <c r="AH11" s="84"/>
      <c r="AI11" s="84"/>
      <c r="AJ11" s="84"/>
      <c r="AK11" s="84"/>
      <c r="AL11" s="84"/>
      <c r="AM11" s="84" t="s">
        <v>8</v>
      </c>
      <c r="AN11" s="84"/>
      <c r="AO11" s="84"/>
      <c r="AP11" s="84"/>
      <c r="AQ11" s="84"/>
      <c r="AR11" s="84"/>
      <c r="AS11" s="84"/>
      <c r="AT11" s="84"/>
      <c r="AU11" s="84"/>
      <c r="AV11" s="84"/>
      <c r="AW11" s="84"/>
      <c r="AX11" s="84"/>
      <c r="AY11" s="84"/>
      <c r="AZ11" s="84"/>
      <c r="BA11" s="84"/>
      <c r="BB11" s="84"/>
      <c r="BC11" s="84"/>
      <c r="BD11" s="84"/>
      <c r="BE11" s="84"/>
      <c r="BF11" s="84"/>
      <c r="BG11" s="84"/>
      <c r="BH11" s="84"/>
      <c r="BI11" s="84" t="s">
        <v>9</v>
      </c>
      <c r="BJ11" s="84"/>
      <c r="BK11" s="84"/>
      <c r="BL11" s="84"/>
      <c r="BM11" s="84"/>
      <c r="BN11" s="84"/>
      <c r="BO11" s="84"/>
      <c r="BP11" s="84"/>
      <c r="BQ11" s="84"/>
      <c r="BR11" s="84"/>
      <c r="BS11" s="84"/>
      <c r="BT11" s="84"/>
      <c r="BU11" s="84"/>
      <c r="BV11" s="84"/>
      <c r="BW11" s="84"/>
      <c r="BX11" s="84"/>
      <c r="BY11" s="84"/>
      <c r="BZ11" s="84"/>
      <c r="CA11" s="84"/>
      <c r="CB11" s="84"/>
      <c r="CC11" s="84"/>
      <c r="CD11" s="84" t="s">
        <v>10</v>
      </c>
      <c r="CE11" s="84"/>
      <c r="CF11" s="84"/>
      <c r="CG11" s="84"/>
      <c r="CH11" s="84"/>
      <c r="CI11" s="84"/>
      <c r="CJ11" s="84"/>
      <c r="CK11" s="84"/>
      <c r="CL11" s="84"/>
      <c r="CM11" s="84"/>
      <c r="CN11" s="84"/>
      <c r="CO11" s="84"/>
      <c r="CP11" s="84"/>
      <c r="CQ11" s="84"/>
      <c r="CR11" s="84"/>
      <c r="CS11" s="84"/>
      <c r="CT11" s="84"/>
      <c r="CU11" s="84"/>
      <c r="CV11" s="84"/>
      <c r="CW11" s="84"/>
      <c r="CX11" s="84"/>
      <c r="CY11" s="84"/>
      <c r="CZ11" s="84"/>
      <c r="DA11" s="84" t="s">
        <v>11</v>
      </c>
      <c r="DB11" s="84"/>
      <c r="DC11" s="84"/>
      <c r="DD11" s="84"/>
      <c r="DE11" s="84"/>
      <c r="DF11" s="84"/>
      <c r="DG11" s="84"/>
      <c r="DH11" s="84"/>
      <c r="DI11" s="84"/>
      <c r="DJ11" s="84"/>
      <c r="DK11" s="84"/>
      <c r="DL11" s="84"/>
      <c r="DM11" s="84"/>
      <c r="DN11" s="84"/>
      <c r="DO11" s="84"/>
      <c r="DP11" s="84"/>
      <c r="DQ11" s="84"/>
      <c r="DR11" s="84"/>
      <c r="DS11" s="84"/>
      <c r="DT11" s="84"/>
      <c r="DU11" s="84"/>
      <c r="DV11" s="84" t="s">
        <v>12</v>
      </c>
      <c r="DW11" s="84"/>
      <c r="DX11" s="84"/>
      <c r="DY11" s="84"/>
      <c r="DZ11" s="84"/>
      <c r="EA11" s="84"/>
      <c r="EB11" s="84"/>
      <c r="EC11" s="84"/>
      <c r="ED11" s="84"/>
      <c r="EE11" s="84"/>
      <c r="EF11" s="84"/>
      <c r="EG11" s="84"/>
      <c r="EH11" s="84"/>
      <c r="EI11" s="84"/>
      <c r="EJ11" s="84"/>
      <c r="EK11" s="84"/>
      <c r="EL11" s="84"/>
      <c r="EM11" s="84"/>
      <c r="EN11" s="84"/>
      <c r="EO11" s="84"/>
      <c r="EP11" s="84"/>
      <c r="EQ11" s="84"/>
    </row>
    <row r="12" spans="1:148">
      <c r="P12" s="85">
        <f t="shared" ref="P12:CA12" si="6">P13</f>
        <v>45474</v>
      </c>
      <c r="Q12" s="85">
        <f t="shared" si="6"/>
        <v>45475</v>
      </c>
      <c r="R12" s="85">
        <f t="shared" si="6"/>
        <v>45476</v>
      </c>
      <c r="S12" s="85">
        <f t="shared" si="6"/>
        <v>45477</v>
      </c>
      <c r="T12" s="85">
        <f t="shared" si="6"/>
        <v>45478</v>
      </c>
      <c r="U12" s="85">
        <f t="shared" si="6"/>
        <v>45481</v>
      </c>
      <c r="V12" s="85">
        <f t="shared" si="6"/>
        <v>45482</v>
      </c>
      <c r="W12" s="85">
        <f t="shared" si="6"/>
        <v>45483</v>
      </c>
      <c r="X12" s="85">
        <f t="shared" si="6"/>
        <v>45484</v>
      </c>
      <c r="Y12" s="85">
        <f t="shared" si="6"/>
        <v>45485</v>
      </c>
      <c r="Z12" s="85">
        <f t="shared" si="6"/>
        <v>45488</v>
      </c>
      <c r="AA12" s="85">
        <f t="shared" si="6"/>
        <v>45489</v>
      </c>
      <c r="AB12" s="85">
        <f t="shared" si="6"/>
        <v>45490</v>
      </c>
      <c r="AC12" s="85">
        <f t="shared" si="6"/>
        <v>45491</v>
      </c>
      <c r="AD12" s="85">
        <f t="shared" si="6"/>
        <v>45492</v>
      </c>
      <c r="AE12" s="85">
        <f t="shared" si="6"/>
        <v>45495</v>
      </c>
      <c r="AF12" s="85">
        <f t="shared" si="6"/>
        <v>45496</v>
      </c>
      <c r="AG12" s="85">
        <f t="shared" si="6"/>
        <v>45497</v>
      </c>
      <c r="AH12" s="85">
        <f t="shared" si="6"/>
        <v>45498</v>
      </c>
      <c r="AI12" s="85">
        <f t="shared" si="6"/>
        <v>45499</v>
      </c>
      <c r="AJ12" s="85">
        <f t="shared" si="6"/>
        <v>45502</v>
      </c>
      <c r="AK12" s="85">
        <f t="shared" si="6"/>
        <v>45503</v>
      </c>
      <c r="AL12" s="85">
        <f t="shared" si="6"/>
        <v>45504</v>
      </c>
      <c r="AM12" s="85">
        <f t="shared" si="6"/>
        <v>45505</v>
      </c>
      <c r="AN12" s="85">
        <f t="shared" si="6"/>
        <v>45506</v>
      </c>
      <c r="AO12" s="85">
        <f t="shared" si="6"/>
        <v>45509</v>
      </c>
      <c r="AP12" s="85">
        <f t="shared" si="6"/>
        <v>45510</v>
      </c>
      <c r="AQ12" s="85">
        <f t="shared" si="6"/>
        <v>45511</v>
      </c>
      <c r="AR12" s="85">
        <f t="shared" si="6"/>
        <v>45512</v>
      </c>
      <c r="AS12" s="85">
        <f t="shared" si="6"/>
        <v>45513</v>
      </c>
      <c r="AT12" s="85">
        <f t="shared" si="6"/>
        <v>45516</v>
      </c>
      <c r="AU12" s="85">
        <f t="shared" si="6"/>
        <v>45517</v>
      </c>
      <c r="AV12" s="85">
        <f t="shared" si="6"/>
        <v>45518</v>
      </c>
      <c r="AW12" s="85">
        <f t="shared" si="6"/>
        <v>45519</v>
      </c>
      <c r="AX12" s="85">
        <f t="shared" si="6"/>
        <v>45520</v>
      </c>
      <c r="AY12" s="85">
        <f t="shared" si="6"/>
        <v>45523</v>
      </c>
      <c r="AZ12" s="85">
        <f t="shared" si="6"/>
        <v>45524</v>
      </c>
      <c r="BA12" s="85">
        <f t="shared" si="6"/>
        <v>45525</v>
      </c>
      <c r="BB12" s="85">
        <f t="shared" si="6"/>
        <v>45526</v>
      </c>
      <c r="BC12" s="85">
        <f t="shared" si="6"/>
        <v>45527</v>
      </c>
      <c r="BD12" s="85">
        <f t="shared" si="6"/>
        <v>45530</v>
      </c>
      <c r="BE12" s="85">
        <f t="shared" si="6"/>
        <v>45531</v>
      </c>
      <c r="BF12" s="85">
        <f t="shared" si="6"/>
        <v>45532</v>
      </c>
      <c r="BG12" s="85">
        <f t="shared" si="6"/>
        <v>45533</v>
      </c>
      <c r="BH12" s="85">
        <f t="shared" si="6"/>
        <v>45534</v>
      </c>
      <c r="BI12" s="85">
        <f t="shared" si="6"/>
        <v>45537</v>
      </c>
      <c r="BJ12" s="85">
        <f t="shared" si="6"/>
        <v>45538</v>
      </c>
      <c r="BK12" s="85">
        <f t="shared" si="6"/>
        <v>45539</v>
      </c>
      <c r="BL12" s="85">
        <f t="shared" si="6"/>
        <v>45540</v>
      </c>
      <c r="BM12" s="85">
        <f t="shared" si="6"/>
        <v>45541</v>
      </c>
      <c r="BN12" s="85">
        <f t="shared" si="6"/>
        <v>45544</v>
      </c>
      <c r="BO12" s="85">
        <f t="shared" si="6"/>
        <v>45545</v>
      </c>
      <c r="BP12" s="85">
        <f t="shared" si="6"/>
        <v>45546</v>
      </c>
      <c r="BQ12" s="85">
        <f t="shared" si="6"/>
        <v>45547</v>
      </c>
      <c r="BR12" s="85">
        <f t="shared" si="6"/>
        <v>45548</v>
      </c>
      <c r="BS12" s="85">
        <f t="shared" si="6"/>
        <v>45551</v>
      </c>
      <c r="BT12" s="85">
        <f t="shared" si="6"/>
        <v>45552</v>
      </c>
      <c r="BU12" s="85">
        <f t="shared" si="6"/>
        <v>45553</v>
      </c>
      <c r="BV12" s="85">
        <f t="shared" si="6"/>
        <v>45554</v>
      </c>
      <c r="BW12" s="85">
        <f t="shared" si="6"/>
        <v>45555</v>
      </c>
      <c r="BX12" s="85">
        <f t="shared" si="6"/>
        <v>45558</v>
      </c>
      <c r="BY12" s="85">
        <f t="shared" si="6"/>
        <v>45559</v>
      </c>
      <c r="BZ12" s="85">
        <f t="shared" si="6"/>
        <v>45560</v>
      </c>
      <c r="CA12" s="85">
        <f t="shared" si="6"/>
        <v>45561</v>
      </c>
      <c r="CB12" s="85">
        <f t="shared" ref="CB12:EM12" si="7">CB13</f>
        <v>45562</v>
      </c>
      <c r="CC12" s="85">
        <f t="shared" si="7"/>
        <v>45565</v>
      </c>
      <c r="CD12" s="85">
        <f t="shared" si="7"/>
        <v>45566</v>
      </c>
      <c r="CE12" s="85">
        <f t="shared" si="7"/>
        <v>45567</v>
      </c>
      <c r="CF12" s="85">
        <f t="shared" si="7"/>
        <v>45568</v>
      </c>
      <c r="CG12" s="85">
        <f t="shared" si="7"/>
        <v>45569</v>
      </c>
      <c r="CH12" s="85">
        <f t="shared" si="7"/>
        <v>45572</v>
      </c>
      <c r="CI12" s="85">
        <f t="shared" si="7"/>
        <v>45573</v>
      </c>
      <c r="CJ12" s="85">
        <f t="shared" si="7"/>
        <v>45574</v>
      </c>
      <c r="CK12" s="85">
        <f t="shared" si="7"/>
        <v>45575</v>
      </c>
      <c r="CL12" s="85">
        <f t="shared" si="7"/>
        <v>45576</v>
      </c>
      <c r="CM12" s="85">
        <f t="shared" si="7"/>
        <v>45579</v>
      </c>
      <c r="CN12" s="85">
        <f t="shared" si="7"/>
        <v>45580</v>
      </c>
      <c r="CO12" s="85">
        <f t="shared" si="7"/>
        <v>45581</v>
      </c>
      <c r="CP12" s="85">
        <f t="shared" si="7"/>
        <v>45582</v>
      </c>
      <c r="CQ12" s="85">
        <f t="shared" si="7"/>
        <v>45583</v>
      </c>
      <c r="CR12" s="85">
        <f t="shared" si="7"/>
        <v>45586</v>
      </c>
      <c r="CS12" s="85">
        <f t="shared" si="7"/>
        <v>45587</v>
      </c>
      <c r="CT12" s="85">
        <f t="shared" si="7"/>
        <v>45588</v>
      </c>
      <c r="CU12" s="85">
        <f t="shared" si="7"/>
        <v>45589</v>
      </c>
      <c r="CV12" s="85">
        <f t="shared" si="7"/>
        <v>45590</v>
      </c>
      <c r="CW12" s="85">
        <f t="shared" si="7"/>
        <v>45593</v>
      </c>
      <c r="CX12" s="85">
        <f t="shared" si="7"/>
        <v>45594</v>
      </c>
      <c r="CY12" s="85">
        <f t="shared" si="7"/>
        <v>45595</v>
      </c>
      <c r="CZ12" s="85">
        <f t="shared" si="7"/>
        <v>45596</v>
      </c>
      <c r="DA12" s="85">
        <f t="shared" si="7"/>
        <v>45597</v>
      </c>
      <c r="DB12" s="85">
        <f t="shared" si="7"/>
        <v>45600</v>
      </c>
      <c r="DC12" s="85">
        <f t="shared" si="7"/>
        <v>45601</v>
      </c>
      <c r="DD12" s="85">
        <f t="shared" si="7"/>
        <v>45602</v>
      </c>
      <c r="DE12" s="85">
        <f t="shared" si="7"/>
        <v>45603</v>
      </c>
      <c r="DF12" s="85">
        <f t="shared" si="7"/>
        <v>45604</v>
      </c>
      <c r="DG12" s="85">
        <f t="shared" si="7"/>
        <v>45607</v>
      </c>
      <c r="DH12" s="85">
        <f t="shared" si="7"/>
        <v>45608</v>
      </c>
      <c r="DI12" s="85">
        <f t="shared" si="7"/>
        <v>45609</v>
      </c>
      <c r="DJ12" s="85">
        <f t="shared" si="7"/>
        <v>45610</v>
      </c>
      <c r="DK12" s="85">
        <f t="shared" si="7"/>
        <v>45611</v>
      </c>
      <c r="DL12" s="85">
        <f t="shared" si="7"/>
        <v>45614</v>
      </c>
      <c r="DM12" s="85">
        <f t="shared" si="7"/>
        <v>45615</v>
      </c>
      <c r="DN12" s="85">
        <f t="shared" si="7"/>
        <v>45616</v>
      </c>
      <c r="DO12" s="85">
        <f t="shared" si="7"/>
        <v>45617</v>
      </c>
      <c r="DP12" s="85">
        <f t="shared" si="7"/>
        <v>45618</v>
      </c>
      <c r="DQ12" s="85">
        <f t="shared" si="7"/>
        <v>45621</v>
      </c>
      <c r="DR12" s="85">
        <f t="shared" si="7"/>
        <v>45622</v>
      </c>
      <c r="DS12" s="85">
        <f t="shared" si="7"/>
        <v>45623</v>
      </c>
      <c r="DT12" s="85">
        <f t="shared" si="7"/>
        <v>45624</v>
      </c>
      <c r="DU12" s="85">
        <f t="shared" si="7"/>
        <v>45625</v>
      </c>
      <c r="DV12" s="85">
        <f t="shared" si="7"/>
        <v>45628</v>
      </c>
      <c r="DW12" s="85">
        <f t="shared" si="7"/>
        <v>45629</v>
      </c>
      <c r="DX12" s="85">
        <f t="shared" si="7"/>
        <v>45630</v>
      </c>
      <c r="DY12" s="85">
        <f t="shared" si="7"/>
        <v>45631</v>
      </c>
      <c r="DZ12" s="85">
        <f t="shared" si="7"/>
        <v>45632</v>
      </c>
      <c r="EA12" s="85">
        <f t="shared" si="7"/>
        <v>45635</v>
      </c>
      <c r="EB12" s="85">
        <f t="shared" si="7"/>
        <v>45636</v>
      </c>
      <c r="EC12" s="85">
        <f t="shared" si="7"/>
        <v>45637</v>
      </c>
      <c r="ED12" s="85">
        <f t="shared" si="7"/>
        <v>45638</v>
      </c>
      <c r="EE12" s="85">
        <f t="shared" si="7"/>
        <v>45639</v>
      </c>
      <c r="EF12" s="85">
        <f t="shared" si="7"/>
        <v>45642</v>
      </c>
      <c r="EG12" s="85">
        <f t="shared" si="7"/>
        <v>45643</v>
      </c>
      <c r="EH12" s="85">
        <f t="shared" si="7"/>
        <v>45644</v>
      </c>
      <c r="EI12" s="85">
        <f t="shared" si="7"/>
        <v>45645</v>
      </c>
      <c r="EJ12" s="85">
        <f t="shared" si="7"/>
        <v>45646</v>
      </c>
      <c r="EK12" s="85">
        <f t="shared" si="7"/>
        <v>45649</v>
      </c>
      <c r="EL12" s="85">
        <f t="shared" si="7"/>
        <v>45650</v>
      </c>
      <c r="EM12" s="85">
        <f t="shared" si="7"/>
        <v>45651</v>
      </c>
      <c r="EN12" s="85">
        <f>EN13</f>
        <v>45652</v>
      </c>
      <c r="EO12" s="85">
        <f>EO13</f>
        <v>45653</v>
      </c>
      <c r="EP12" s="85">
        <f>EP13</f>
        <v>45656</v>
      </c>
      <c r="EQ12" s="85">
        <f>EQ13</f>
        <v>45657</v>
      </c>
    </row>
    <row r="13" spans="1:148">
      <c r="B13" s="69" t="s">
        <v>13</v>
      </c>
      <c r="C13" s="70" t="s">
        <v>14</v>
      </c>
      <c r="D13" s="70" t="s">
        <v>15</v>
      </c>
      <c r="E13" s="70" t="s">
        <v>16</v>
      </c>
      <c r="F13" s="70" t="s">
        <v>17</v>
      </c>
      <c r="G13" s="70" t="s">
        <v>18</v>
      </c>
      <c r="H13" s="70" t="s">
        <v>19</v>
      </c>
      <c r="I13" s="70" t="s">
        <v>20</v>
      </c>
      <c r="J13" s="70" t="s">
        <v>21</v>
      </c>
      <c r="K13" s="70" t="s">
        <v>22</v>
      </c>
      <c r="L13" s="70" t="s">
        <v>23</v>
      </c>
      <c r="M13" s="70" t="s">
        <v>24</v>
      </c>
      <c r="N13" s="71" t="s">
        <v>25</v>
      </c>
      <c r="O13" s="83" t="s">
        <v>26</v>
      </c>
      <c r="P13" s="86">
        <v>45474</v>
      </c>
      <c r="Q13" s="86">
        <f t="shared" ref="Q13:CB13" si="8">WORKDAY(P13,1)</f>
        <v>45475</v>
      </c>
      <c r="R13" s="86">
        <f t="shared" si="8"/>
        <v>45476</v>
      </c>
      <c r="S13" s="86">
        <f t="shared" si="8"/>
        <v>45477</v>
      </c>
      <c r="T13" s="86">
        <f t="shared" si="8"/>
        <v>45478</v>
      </c>
      <c r="U13" s="86">
        <f t="shared" si="8"/>
        <v>45481</v>
      </c>
      <c r="V13" s="86">
        <f t="shared" si="8"/>
        <v>45482</v>
      </c>
      <c r="W13" s="86">
        <f t="shared" si="8"/>
        <v>45483</v>
      </c>
      <c r="X13" s="86">
        <f t="shared" si="8"/>
        <v>45484</v>
      </c>
      <c r="Y13" s="86">
        <f t="shared" si="8"/>
        <v>45485</v>
      </c>
      <c r="Z13" s="86">
        <f t="shared" si="8"/>
        <v>45488</v>
      </c>
      <c r="AA13" s="86">
        <f t="shared" si="8"/>
        <v>45489</v>
      </c>
      <c r="AB13" s="86">
        <f t="shared" si="8"/>
        <v>45490</v>
      </c>
      <c r="AC13" s="86">
        <f t="shared" si="8"/>
        <v>45491</v>
      </c>
      <c r="AD13" s="86">
        <f t="shared" si="8"/>
        <v>45492</v>
      </c>
      <c r="AE13" s="86">
        <f t="shared" si="8"/>
        <v>45495</v>
      </c>
      <c r="AF13" s="86">
        <f t="shared" si="8"/>
        <v>45496</v>
      </c>
      <c r="AG13" s="86">
        <f t="shared" si="8"/>
        <v>45497</v>
      </c>
      <c r="AH13" s="86">
        <f t="shared" si="8"/>
        <v>45498</v>
      </c>
      <c r="AI13" s="86">
        <f t="shared" si="8"/>
        <v>45499</v>
      </c>
      <c r="AJ13" s="86">
        <f t="shared" si="8"/>
        <v>45502</v>
      </c>
      <c r="AK13" s="86">
        <f t="shared" si="8"/>
        <v>45503</v>
      </c>
      <c r="AL13" s="86">
        <f t="shared" si="8"/>
        <v>45504</v>
      </c>
      <c r="AM13" s="86">
        <f t="shared" si="8"/>
        <v>45505</v>
      </c>
      <c r="AN13" s="86">
        <f t="shared" si="8"/>
        <v>45506</v>
      </c>
      <c r="AO13" s="86">
        <f t="shared" si="8"/>
        <v>45509</v>
      </c>
      <c r="AP13" s="86">
        <f t="shared" si="8"/>
        <v>45510</v>
      </c>
      <c r="AQ13" s="86">
        <f t="shared" si="8"/>
        <v>45511</v>
      </c>
      <c r="AR13" s="86">
        <f t="shared" si="8"/>
        <v>45512</v>
      </c>
      <c r="AS13" s="86">
        <f t="shared" si="8"/>
        <v>45513</v>
      </c>
      <c r="AT13" s="86">
        <f t="shared" si="8"/>
        <v>45516</v>
      </c>
      <c r="AU13" s="86">
        <f t="shared" si="8"/>
        <v>45517</v>
      </c>
      <c r="AV13" s="86">
        <f t="shared" si="8"/>
        <v>45518</v>
      </c>
      <c r="AW13" s="86">
        <f t="shared" si="8"/>
        <v>45519</v>
      </c>
      <c r="AX13" s="86">
        <f t="shared" si="8"/>
        <v>45520</v>
      </c>
      <c r="AY13" s="86">
        <f t="shared" si="8"/>
        <v>45523</v>
      </c>
      <c r="AZ13" s="86">
        <f t="shared" si="8"/>
        <v>45524</v>
      </c>
      <c r="BA13" s="86">
        <f t="shared" si="8"/>
        <v>45525</v>
      </c>
      <c r="BB13" s="86">
        <f t="shared" si="8"/>
        <v>45526</v>
      </c>
      <c r="BC13" s="86">
        <f t="shared" si="8"/>
        <v>45527</v>
      </c>
      <c r="BD13" s="86">
        <f t="shared" si="8"/>
        <v>45530</v>
      </c>
      <c r="BE13" s="86">
        <f t="shared" si="8"/>
        <v>45531</v>
      </c>
      <c r="BF13" s="86">
        <f t="shared" si="8"/>
        <v>45532</v>
      </c>
      <c r="BG13" s="86">
        <f t="shared" si="8"/>
        <v>45533</v>
      </c>
      <c r="BH13" s="86">
        <f t="shared" si="8"/>
        <v>45534</v>
      </c>
      <c r="BI13" s="86">
        <f t="shared" si="8"/>
        <v>45537</v>
      </c>
      <c r="BJ13" s="86">
        <f t="shared" si="8"/>
        <v>45538</v>
      </c>
      <c r="BK13" s="86">
        <f t="shared" si="8"/>
        <v>45539</v>
      </c>
      <c r="BL13" s="86">
        <f t="shared" si="8"/>
        <v>45540</v>
      </c>
      <c r="BM13" s="86">
        <f t="shared" si="8"/>
        <v>45541</v>
      </c>
      <c r="BN13" s="86">
        <f t="shared" si="8"/>
        <v>45544</v>
      </c>
      <c r="BO13" s="86">
        <f t="shared" si="8"/>
        <v>45545</v>
      </c>
      <c r="BP13" s="86">
        <f t="shared" si="8"/>
        <v>45546</v>
      </c>
      <c r="BQ13" s="86">
        <f t="shared" si="8"/>
        <v>45547</v>
      </c>
      <c r="BR13" s="86">
        <f t="shared" si="8"/>
        <v>45548</v>
      </c>
      <c r="BS13" s="86">
        <f t="shared" si="8"/>
        <v>45551</v>
      </c>
      <c r="BT13" s="86">
        <f t="shared" si="8"/>
        <v>45552</v>
      </c>
      <c r="BU13" s="86">
        <f t="shared" si="8"/>
        <v>45553</v>
      </c>
      <c r="BV13" s="86">
        <f t="shared" si="8"/>
        <v>45554</v>
      </c>
      <c r="BW13" s="86">
        <f t="shared" si="8"/>
        <v>45555</v>
      </c>
      <c r="BX13" s="86">
        <f t="shared" si="8"/>
        <v>45558</v>
      </c>
      <c r="BY13" s="86">
        <f t="shared" si="8"/>
        <v>45559</v>
      </c>
      <c r="BZ13" s="86">
        <f t="shared" si="8"/>
        <v>45560</v>
      </c>
      <c r="CA13" s="86">
        <f t="shared" si="8"/>
        <v>45561</v>
      </c>
      <c r="CB13" s="86">
        <f t="shared" si="8"/>
        <v>45562</v>
      </c>
      <c r="CC13" s="86">
        <f t="shared" ref="CC13:EN13" si="9">WORKDAY(CB13,1)</f>
        <v>45565</v>
      </c>
      <c r="CD13" s="86">
        <f t="shared" si="9"/>
        <v>45566</v>
      </c>
      <c r="CE13" s="86">
        <f t="shared" si="9"/>
        <v>45567</v>
      </c>
      <c r="CF13" s="86">
        <f t="shared" si="9"/>
        <v>45568</v>
      </c>
      <c r="CG13" s="86">
        <f t="shared" si="9"/>
        <v>45569</v>
      </c>
      <c r="CH13" s="86">
        <f t="shared" si="9"/>
        <v>45572</v>
      </c>
      <c r="CI13" s="86">
        <f t="shared" si="9"/>
        <v>45573</v>
      </c>
      <c r="CJ13" s="86">
        <f t="shared" si="9"/>
        <v>45574</v>
      </c>
      <c r="CK13" s="86">
        <f t="shared" si="9"/>
        <v>45575</v>
      </c>
      <c r="CL13" s="86">
        <f t="shared" si="9"/>
        <v>45576</v>
      </c>
      <c r="CM13" s="86">
        <f t="shared" si="9"/>
        <v>45579</v>
      </c>
      <c r="CN13" s="86">
        <f t="shared" si="9"/>
        <v>45580</v>
      </c>
      <c r="CO13" s="86">
        <f t="shared" si="9"/>
        <v>45581</v>
      </c>
      <c r="CP13" s="86">
        <f t="shared" si="9"/>
        <v>45582</v>
      </c>
      <c r="CQ13" s="86">
        <f t="shared" si="9"/>
        <v>45583</v>
      </c>
      <c r="CR13" s="86">
        <f t="shared" si="9"/>
        <v>45586</v>
      </c>
      <c r="CS13" s="86">
        <f t="shared" si="9"/>
        <v>45587</v>
      </c>
      <c r="CT13" s="86">
        <f t="shared" si="9"/>
        <v>45588</v>
      </c>
      <c r="CU13" s="86">
        <f t="shared" si="9"/>
        <v>45589</v>
      </c>
      <c r="CV13" s="86">
        <f t="shared" si="9"/>
        <v>45590</v>
      </c>
      <c r="CW13" s="86">
        <f t="shared" si="9"/>
        <v>45593</v>
      </c>
      <c r="CX13" s="86">
        <f t="shared" si="9"/>
        <v>45594</v>
      </c>
      <c r="CY13" s="86">
        <f t="shared" si="9"/>
        <v>45595</v>
      </c>
      <c r="CZ13" s="86">
        <f t="shared" si="9"/>
        <v>45596</v>
      </c>
      <c r="DA13" s="86">
        <f t="shared" si="9"/>
        <v>45597</v>
      </c>
      <c r="DB13" s="86">
        <f t="shared" si="9"/>
        <v>45600</v>
      </c>
      <c r="DC13" s="86">
        <f t="shared" si="9"/>
        <v>45601</v>
      </c>
      <c r="DD13" s="86">
        <f t="shared" si="9"/>
        <v>45602</v>
      </c>
      <c r="DE13" s="86">
        <f t="shared" si="9"/>
        <v>45603</v>
      </c>
      <c r="DF13" s="86">
        <f t="shared" si="9"/>
        <v>45604</v>
      </c>
      <c r="DG13" s="86">
        <f t="shared" si="9"/>
        <v>45607</v>
      </c>
      <c r="DH13" s="86">
        <f t="shared" si="9"/>
        <v>45608</v>
      </c>
      <c r="DI13" s="86">
        <f t="shared" si="9"/>
        <v>45609</v>
      </c>
      <c r="DJ13" s="86">
        <f t="shared" si="9"/>
        <v>45610</v>
      </c>
      <c r="DK13" s="86">
        <f t="shared" si="9"/>
        <v>45611</v>
      </c>
      <c r="DL13" s="86">
        <f t="shared" si="9"/>
        <v>45614</v>
      </c>
      <c r="DM13" s="86">
        <f t="shared" si="9"/>
        <v>45615</v>
      </c>
      <c r="DN13" s="86">
        <f t="shared" si="9"/>
        <v>45616</v>
      </c>
      <c r="DO13" s="86">
        <f t="shared" si="9"/>
        <v>45617</v>
      </c>
      <c r="DP13" s="86">
        <f t="shared" si="9"/>
        <v>45618</v>
      </c>
      <c r="DQ13" s="86">
        <f t="shared" si="9"/>
        <v>45621</v>
      </c>
      <c r="DR13" s="86">
        <f t="shared" si="9"/>
        <v>45622</v>
      </c>
      <c r="DS13" s="86">
        <f t="shared" si="9"/>
        <v>45623</v>
      </c>
      <c r="DT13" s="86">
        <f t="shared" si="9"/>
        <v>45624</v>
      </c>
      <c r="DU13" s="86">
        <f t="shared" si="9"/>
        <v>45625</v>
      </c>
      <c r="DV13" s="86">
        <f t="shared" si="9"/>
        <v>45628</v>
      </c>
      <c r="DW13" s="86">
        <f t="shared" si="9"/>
        <v>45629</v>
      </c>
      <c r="DX13" s="86">
        <f t="shared" si="9"/>
        <v>45630</v>
      </c>
      <c r="DY13" s="86">
        <f t="shared" si="9"/>
        <v>45631</v>
      </c>
      <c r="DZ13" s="86">
        <f t="shared" si="9"/>
        <v>45632</v>
      </c>
      <c r="EA13" s="86">
        <f t="shared" si="9"/>
        <v>45635</v>
      </c>
      <c r="EB13" s="86">
        <f t="shared" si="9"/>
        <v>45636</v>
      </c>
      <c r="EC13" s="86">
        <f t="shared" si="9"/>
        <v>45637</v>
      </c>
      <c r="ED13" s="86">
        <f t="shared" si="9"/>
        <v>45638</v>
      </c>
      <c r="EE13" s="86">
        <f t="shared" si="9"/>
        <v>45639</v>
      </c>
      <c r="EF13" s="86">
        <f t="shared" si="9"/>
        <v>45642</v>
      </c>
      <c r="EG13" s="86">
        <f t="shared" si="9"/>
        <v>45643</v>
      </c>
      <c r="EH13" s="86">
        <f t="shared" si="9"/>
        <v>45644</v>
      </c>
      <c r="EI13" s="86">
        <f t="shared" si="9"/>
        <v>45645</v>
      </c>
      <c r="EJ13" s="86">
        <f t="shared" si="9"/>
        <v>45646</v>
      </c>
      <c r="EK13" s="86">
        <f t="shared" si="9"/>
        <v>45649</v>
      </c>
      <c r="EL13" s="86">
        <f t="shared" si="9"/>
        <v>45650</v>
      </c>
      <c r="EM13" s="86">
        <f t="shared" si="9"/>
        <v>45651</v>
      </c>
      <c r="EN13" s="86">
        <f t="shared" si="9"/>
        <v>45652</v>
      </c>
      <c r="EO13" s="86">
        <f>WORKDAY(EN13,1)</f>
        <v>45653</v>
      </c>
      <c r="EP13" s="86">
        <f>WORKDAY(EO13,1)</f>
        <v>45656</v>
      </c>
      <c r="EQ13" s="86">
        <f>WORKDAY(EP13,1)</f>
        <v>45657</v>
      </c>
    </row>
    <row r="14" spans="1:148" ht="17.55" customHeight="1">
      <c r="B14" s="91" t="s">
        <v>27</v>
      </c>
      <c r="C14" s="92"/>
      <c r="D14" s="92"/>
      <c r="E14" s="92"/>
      <c r="F14" s="92"/>
      <c r="G14" s="92"/>
      <c r="H14" s="92"/>
      <c r="I14" s="114">
        <f>SUM(I15:I18)</f>
        <v>280</v>
      </c>
      <c r="J14" s="114">
        <f>SUM(J15:J18)</f>
        <v>35</v>
      </c>
      <c r="K14" s="114"/>
      <c r="L14" s="114"/>
      <c r="M14" s="177">
        <f>SUMPRODUCT(M15:M18,J15:J18)/J14</f>
        <v>0.7142857142857143</v>
      </c>
      <c r="N14" s="95"/>
      <c r="P14" s="160"/>
      <c r="Q14" s="160"/>
      <c r="R14" s="160"/>
      <c r="S14" s="160"/>
      <c r="T14" s="160"/>
      <c r="U14" s="160"/>
      <c r="V14" s="160"/>
      <c r="W14" s="160"/>
      <c r="X14" s="160"/>
      <c r="Y14" s="160"/>
      <c r="Z14" s="160"/>
      <c r="AA14" s="160"/>
      <c r="AB14" s="160"/>
      <c r="AC14" s="160"/>
      <c r="AD14" s="160"/>
      <c r="AE14" s="160"/>
      <c r="AF14" s="160"/>
      <c r="AG14" s="160"/>
      <c r="AH14" s="160"/>
      <c r="AI14" s="160"/>
      <c r="AJ14" s="160"/>
      <c r="AK14" s="87"/>
      <c r="AL14" s="87"/>
      <c r="AM14" s="87"/>
      <c r="AN14" s="87"/>
      <c r="AO14" s="87"/>
      <c r="AP14" s="87"/>
      <c r="AQ14" s="87"/>
      <c r="AR14" s="87"/>
      <c r="AS14" s="87"/>
      <c r="AT14" s="87"/>
      <c r="AU14" s="87"/>
      <c r="AV14" s="87"/>
      <c r="AW14" s="100"/>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87"/>
      <c r="EJ14" s="87"/>
      <c r="EK14" s="87"/>
      <c r="EL14" s="100"/>
      <c r="EM14" s="100"/>
      <c r="EN14" s="100"/>
      <c r="EO14" s="100"/>
      <c r="EP14" s="100"/>
      <c r="EQ14" s="100"/>
    </row>
    <row r="15" spans="1:148" outlineLevel="1">
      <c r="B15" s="74" t="s">
        <v>28</v>
      </c>
      <c r="C15" s="73" t="s">
        <v>29</v>
      </c>
      <c r="D15" s="73"/>
      <c r="E15" s="73"/>
      <c r="F15" s="73"/>
      <c r="G15" s="73" t="s">
        <v>30</v>
      </c>
      <c r="H15" s="73"/>
      <c r="I15" s="93">
        <f>J15*8</f>
        <v>40</v>
      </c>
      <c r="J15" s="93">
        <v>5</v>
      </c>
      <c r="K15" s="93"/>
      <c r="L15" s="93"/>
      <c r="M15" s="178">
        <v>0.5</v>
      </c>
      <c r="N15" s="96"/>
      <c r="O15" s="99">
        <f>J15-SUM(P15:EQ15)</f>
        <v>0</v>
      </c>
      <c r="P15" s="87"/>
      <c r="Q15" s="87"/>
      <c r="R15" s="87"/>
      <c r="S15" s="87"/>
      <c r="T15" s="87"/>
      <c r="U15" s="87"/>
      <c r="V15" s="87"/>
      <c r="W15" s="87"/>
      <c r="X15" s="87"/>
      <c r="Y15" s="87"/>
      <c r="Z15" s="87">
        <v>1</v>
      </c>
      <c r="AA15" s="87">
        <v>1</v>
      </c>
      <c r="AB15" s="87">
        <v>1</v>
      </c>
      <c r="AC15" s="87">
        <v>1</v>
      </c>
      <c r="AD15" s="87">
        <v>1</v>
      </c>
      <c r="AE15" s="87"/>
      <c r="AF15" s="87"/>
      <c r="AG15" s="87"/>
      <c r="AH15" s="87"/>
      <c r="AI15" s="87"/>
      <c r="AJ15" s="87"/>
      <c r="AK15" s="87"/>
      <c r="AL15" s="87"/>
      <c r="AM15" s="87"/>
      <c r="AN15" s="87"/>
      <c r="AO15" s="87"/>
      <c r="AP15" s="87"/>
      <c r="AQ15" s="87"/>
      <c r="AR15" s="87"/>
      <c r="AS15" s="87"/>
      <c r="AT15" s="87"/>
      <c r="AU15" s="87"/>
      <c r="AV15" s="87"/>
      <c r="AW15" s="100"/>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87"/>
      <c r="EJ15" s="87"/>
      <c r="EK15" s="87"/>
      <c r="EL15" s="100"/>
      <c r="EM15" s="100"/>
      <c r="EN15" s="100"/>
      <c r="EO15" s="100"/>
      <c r="EP15" s="100"/>
      <c r="EQ15" s="100"/>
    </row>
    <row r="16" spans="1:148" outlineLevel="1">
      <c r="B16" s="74" t="s">
        <v>28</v>
      </c>
      <c r="C16" s="73" t="s">
        <v>31</v>
      </c>
      <c r="D16" s="73"/>
      <c r="E16" s="75"/>
      <c r="F16" s="73"/>
      <c r="G16" s="73" t="s">
        <v>30</v>
      </c>
      <c r="H16" s="73"/>
      <c r="I16" s="93">
        <f>J16*8</f>
        <v>80</v>
      </c>
      <c r="J16" s="93">
        <v>10</v>
      </c>
      <c r="K16" s="93"/>
      <c r="L16" s="93"/>
      <c r="M16" s="178">
        <v>0.5</v>
      </c>
      <c r="N16" s="96"/>
      <c r="O16" s="99">
        <f>J16-SUM(P16:EQ16)</f>
        <v>0</v>
      </c>
      <c r="P16" s="87"/>
      <c r="Q16" s="87"/>
      <c r="R16" s="87"/>
      <c r="S16" s="87"/>
      <c r="T16" s="87"/>
      <c r="U16" s="87">
        <v>2</v>
      </c>
      <c r="V16" s="87">
        <v>2</v>
      </c>
      <c r="W16" s="87">
        <v>2</v>
      </c>
      <c r="X16" s="87">
        <v>2</v>
      </c>
      <c r="Y16" s="87">
        <v>2</v>
      </c>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100"/>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87"/>
      <c r="EJ16" s="87"/>
      <c r="EK16" s="87"/>
      <c r="EL16" s="100"/>
      <c r="EM16" s="100"/>
      <c r="EN16" s="100"/>
      <c r="EO16" s="100"/>
      <c r="EP16" s="100"/>
      <c r="EQ16" s="100"/>
    </row>
    <row r="17" spans="1:147" outlineLevel="1">
      <c r="B17" s="74" t="s">
        <v>28</v>
      </c>
      <c r="C17" s="73" t="s">
        <v>28</v>
      </c>
      <c r="D17" s="73"/>
      <c r="E17" s="73"/>
      <c r="F17" s="73"/>
      <c r="G17" s="73" t="s">
        <v>30</v>
      </c>
      <c r="H17" s="73"/>
      <c r="I17" s="93">
        <f>J17*8</f>
        <v>40</v>
      </c>
      <c r="J17" s="93">
        <v>5</v>
      </c>
      <c r="K17" s="93"/>
      <c r="L17" s="93"/>
      <c r="M17" s="178">
        <v>0.5</v>
      </c>
      <c r="N17" s="96"/>
      <c r="O17" s="99">
        <f>J17-SUM(P17:EQ17)</f>
        <v>0</v>
      </c>
      <c r="P17" s="87"/>
      <c r="Q17" s="87"/>
      <c r="R17" s="87"/>
      <c r="S17" s="87"/>
      <c r="T17" s="87"/>
      <c r="U17" s="87"/>
      <c r="V17" s="87"/>
      <c r="W17" s="87"/>
      <c r="X17" s="87"/>
      <c r="Y17" s="87"/>
      <c r="Z17" s="87"/>
      <c r="AA17" s="87"/>
      <c r="AB17" s="87"/>
      <c r="AC17" s="87"/>
      <c r="AD17" s="87"/>
      <c r="AE17" s="87">
        <v>1</v>
      </c>
      <c r="AF17" s="87">
        <v>1</v>
      </c>
      <c r="AG17" s="87">
        <v>1</v>
      </c>
      <c r="AH17" s="87">
        <v>1</v>
      </c>
      <c r="AI17" s="87">
        <v>0.5</v>
      </c>
      <c r="AJ17" s="87">
        <v>0.5</v>
      </c>
      <c r="AK17" s="87"/>
      <c r="AL17" s="87"/>
      <c r="AM17" s="87"/>
      <c r="AN17" s="87"/>
      <c r="AO17" s="87"/>
      <c r="AP17" s="87"/>
      <c r="AQ17" s="87"/>
      <c r="AR17" s="87"/>
      <c r="AS17" s="87"/>
      <c r="AT17" s="87"/>
      <c r="AU17" s="87"/>
      <c r="AV17" s="87"/>
      <c r="AW17" s="100"/>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87"/>
      <c r="EJ17" s="87"/>
      <c r="EK17" s="87"/>
      <c r="EL17" s="100"/>
      <c r="EM17" s="100"/>
      <c r="EN17" s="100"/>
      <c r="EO17" s="100"/>
      <c r="EP17" s="100"/>
      <c r="EQ17" s="100"/>
    </row>
    <row r="18" spans="1:147" outlineLevel="1">
      <c r="B18" s="74" t="s">
        <v>32</v>
      </c>
      <c r="C18" s="73" t="s">
        <v>32</v>
      </c>
      <c r="D18" s="73"/>
      <c r="E18" s="73"/>
      <c r="F18" s="73"/>
      <c r="G18" s="73" t="s">
        <v>30</v>
      </c>
      <c r="H18" s="73"/>
      <c r="I18" s="93">
        <f>J18*8</f>
        <v>120</v>
      </c>
      <c r="J18" s="93">
        <v>15</v>
      </c>
      <c r="K18" s="93"/>
      <c r="L18" s="93"/>
      <c r="M18" s="178">
        <v>1</v>
      </c>
      <c r="N18" s="96"/>
      <c r="O18" s="99">
        <f>J18-SUM(P18:EQ18)</f>
        <v>0</v>
      </c>
      <c r="P18" s="89">
        <v>3</v>
      </c>
      <c r="Q18" s="89">
        <v>3</v>
      </c>
      <c r="R18" s="89">
        <v>3</v>
      </c>
      <c r="S18" s="89">
        <v>3</v>
      </c>
      <c r="T18" s="89">
        <v>3</v>
      </c>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101"/>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89"/>
      <c r="EJ18" s="89"/>
      <c r="EK18" s="89"/>
      <c r="EL18" s="101"/>
      <c r="EM18" s="101"/>
      <c r="EN18" s="101"/>
      <c r="EO18" s="101"/>
      <c r="EP18" s="101"/>
      <c r="EQ18" s="101"/>
    </row>
    <row r="19" spans="1:147" ht="10.199999999999999" customHeight="1">
      <c r="B19" s="73"/>
      <c r="C19" s="73"/>
      <c r="D19" s="73"/>
      <c r="E19" s="73"/>
      <c r="F19" s="73"/>
      <c r="G19" s="73"/>
      <c r="H19" s="73"/>
      <c r="I19" s="93"/>
      <c r="J19" s="93"/>
      <c r="K19" s="93"/>
      <c r="L19" s="93"/>
      <c r="M19" s="93"/>
      <c r="N19" s="97"/>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102"/>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102"/>
      <c r="EM19" s="102"/>
      <c r="EN19" s="102"/>
      <c r="EO19" s="102"/>
      <c r="EP19" s="102"/>
      <c r="EQ19" s="102"/>
    </row>
    <row r="20" spans="1:147">
      <c r="B20" s="91" t="s">
        <v>33</v>
      </c>
      <c r="C20" s="92"/>
      <c r="D20" s="92"/>
      <c r="E20" s="92"/>
      <c r="F20" s="92"/>
      <c r="G20" s="92"/>
      <c r="H20" s="92"/>
      <c r="I20" s="114">
        <f>SUM(I21:I23)</f>
        <v>120</v>
      </c>
      <c r="J20" s="114">
        <f>SUM(J21:J23)</f>
        <v>15</v>
      </c>
      <c r="K20" s="114"/>
      <c r="L20" s="114"/>
      <c r="M20" s="114"/>
      <c r="N20" s="95"/>
      <c r="P20" s="90"/>
      <c r="Q20" s="90"/>
      <c r="R20" s="90"/>
      <c r="S20" s="90"/>
      <c r="T20" s="90"/>
      <c r="U20" s="90"/>
      <c r="V20" s="90"/>
      <c r="W20" s="90"/>
      <c r="X20" s="90"/>
      <c r="Y20" s="90"/>
      <c r="Z20" s="161"/>
      <c r="AA20" s="90"/>
      <c r="AB20" s="90"/>
      <c r="AC20" s="90"/>
      <c r="AD20" s="90"/>
      <c r="AE20" s="161"/>
      <c r="AF20" s="90"/>
      <c r="AG20" s="90"/>
      <c r="AH20" s="90"/>
      <c r="AI20" s="90"/>
      <c r="AJ20" s="161"/>
      <c r="AK20" s="90"/>
      <c r="AL20" s="90"/>
      <c r="AM20" s="90"/>
      <c r="AN20" s="90"/>
      <c r="AO20" s="161"/>
      <c r="AP20" s="90"/>
      <c r="AQ20" s="90"/>
      <c r="AR20" s="90"/>
      <c r="AS20" s="90"/>
      <c r="AT20" s="161"/>
      <c r="AU20" s="90"/>
      <c r="AV20" s="90"/>
      <c r="AW20" s="103"/>
      <c r="AX20" s="90"/>
      <c r="AY20" s="161"/>
      <c r="AZ20" s="90"/>
      <c r="BA20" s="90"/>
      <c r="BB20" s="90"/>
      <c r="BC20" s="90"/>
      <c r="BD20" s="161"/>
      <c r="BE20" s="90"/>
      <c r="BF20" s="90"/>
      <c r="BG20" s="90"/>
      <c r="BH20" s="90"/>
      <c r="BI20" s="161"/>
      <c r="BJ20" s="90"/>
      <c r="BK20" s="90"/>
      <c r="BL20" s="90"/>
      <c r="BM20" s="90"/>
      <c r="BN20" s="161"/>
      <c r="BO20" s="90"/>
      <c r="BP20" s="90"/>
      <c r="BQ20" s="90"/>
      <c r="BR20" s="90"/>
      <c r="BS20" s="161"/>
      <c r="BT20" s="90"/>
      <c r="BU20" s="90"/>
      <c r="BV20" s="90"/>
      <c r="BW20" s="90"/>
      <c r="BX20" s="161"/>
      <c r="BY20" s="90"/>
      <c r="BZ20" s="90"/>
      <c r="CA20" s="90"/>
      <c r="CB20" s="90"/>
      <c r="CC20" s="161"/>
      <c r="CD20" s="90"/>
      <c r="CE20" s="90"/>
      <c r="CF20" s="90"/>
      <c r="CG20" s="90"/>
      <c r="CH20" s="161"/>
      <c r="CI20" s="90"/>
      <c r="CJ20" s="90"/>
      <c r="CK20" s="90"/>
      <c r="CL20" s="90"/>
      <c r="CM20" s="161"/>
      <c r="CN20" s="90"/>
      <c r="CO20" s="90"/>
      <c r="CP20" s="90"/>
      <c r="CQ20" s="90"/>
      <c r="CR20" s="161"/>
      <c r="CS20" s="90"/>
      <c r="CT20" s="90"/>
      <c r="CU20" s="90"/>
      <c r="CV20" s="90"/>
      <c r="CW20" s="161"/>
      <c r="CX20" s="90"/>
      <c r="CY20" s="90"/>
      <c r="CZ20" s="90"/>
      <c r="DA20" s="90"/>
      <c r="DB20" s="161"/>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90"/>
      <c r="EJ20" s="90"/>
      <c r="EK20" s="90"/>
      <c r="EL20" s="103"/>
      <c r="EM20" s="103"/>
      <c r="EN20" s="103"/>
      <c r="EO20" s="103"/>
      <c r="EP20" s="103"/>
      <c r="EQ20" s="103"/>
    </row>
    <row r="21" spans="1:147" outlineLevel="1">
      <c r="B21" s="74" t="s">
        <v>28</v>
      </c>
      <c r="C21" s="73" t="s">
        <v>29</v>
      </c>
      <c r="D21" s="73"/>
      <c r="E21" s="73"/>
      <c r="F21" s="73"/>
      <c r="G21" s="73" t="s">
        <v>30</v>
      </c>
      <c r="H21" s="73"/>
      <c r="I21" s="93">
        <f>J21*8</f>
        <v>40</v>
      </c>
      <c r="J21" s="93">
        <v>5</v>
      </c>
      <c r="K21" s="93"/>
      <c r="L21" s="93"/>
      <c r="M21" s="93"/>
      <c r="N21" s="96"/>
      <c r="O21" s="99">
        <f>J21-SUM(P21:EQ21)</f>
        <v>0</v>
      </c>
      <c r="P21" s="87"/>
      <c r="Q21" s="87"/>
      <c r="R21" s="87"/>
      <c r="S21" s="87"/>
      <c r="T21" s="87"/>
      <c r="U21" s="87"/>
      <c r="V21" s="87"/>
      <c r="W21" s="87"/>
      <c r="X21" s="87"/>
      <c r="Y21" s="87"/>
      <c r="Z21" s="87">
        <v>0.5</v>
      </c>
      <c r="AA21" s="87"/>
      <c r="AB21" s="87"/>
      <c r="AC21" s="87"/>
      <c r="AD21" s="87"/>
      <c r="AE21" s="87">
        <v>0.5</v>
      </c>
      <c r="AF21" s="87"/>
      <c r="AG21" s="87"/>
      <c r="AH21" s="87"/>
      <c r="AI21" s="87"/>
      <c r="AJ21" s="87">
        <v>0.5</v>
      </c>
      <c r="AK21" s="87"/>
      <c r="AL21" s="87"/>
      <c r="AM21" s="87"/>
      <c r="AN21" s="87"/>
      <c r="AO21" s="87">
        <v>0.5</v>
      </c>
      <c r="AP21" s="87"/>
      <c r="AQ21" s="87"/>
      <c r="AR21" s="87"/>
      <c r="AS21" s="87"/>
      <c r="AT21" s="87">
        <v>0.5</v>
      </c>
      <c r="AU21" s="87"/>
      <c r="AV21" s="87"/>
      <c r="AW21" s="100"/>
      <c r="AX21" s="87"/>
      <c r="AY21" s="87">
        <v>0.5</v>
      </c>
      <c r="AZ21" s="87"/>
      <c r="BA21" s="87"/>
      <c r="BB21" s="87"/>
      <c r="BC21" s="87"/>
      <c r="BD21" s="87">
        <v>0.5</v>
      </c>
      <c r="BE21" s="87"/>
      <c r="BF21" s="87"/>
      <c r="BG21" s="87"/>
      <c r="BH21" s="87"/>
      <c r="BI21" s="87">
        <v>0.5</v>
      </c>
      <c r="BJ21" s="87"/>
      <c r="BK21" s="87"/>
      <c r="BL21" s="87"/>
      <c r="BM21" s="87"/>
      <c r="BN21" s="87">
        <v>0.5</v>
      </c>
      <c r="BO21" s="87"/>
      <c r="BP21" s="87"/>
      <c r="BQ21" s="87"/>
      <c r="BR21" s="87"/>
      <c r="BS21" s="87">
        <v>0.5</v>
      </c>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87"/>
      <c r="EJ21" s="87"/>
      <c r="EK21" s="87"/>
      <c r="EL21" s="100"/>
      <c r="EM21" s="100"/>
      <c r="EN21" s="100"/>
      <c r="EO21" s="100"/>
      <c r="EP21" s="100"/>
      <c r="EQ21" s="100"/>
    </row>
    <row r="22" spans="1:147" outlineLevel="1">
      <c r="B22" s="74" t="s">
        <v>28</v>
      </c>
      <c r="C22" s="73" t="s">
        <v>31</v>
      </c>
      <c r="D22" s="73"/>
      <c r="E22" s="73"/>
      <c r="F22" s="73"/>
      <c r="G22" s="73" t="s">
        <v>30</v>
      </c>
      <c r="H22" s="73"/>
      <c r="I22" s="93">
        <f>J22*8</f>
        <v>40</v>
      </c>
      <c r="J22" s="93">
        <v>5</v>
      </c>
      <c r="K22" s="93"/>
      <c r="L22" s="93"/>
      <c r="M22" s="93"/>
      <c r="N22" s="96"/>
      <c r="O22" s="99">
        <f>J22-SUM(P22:EQ22)</f>
        <v>0</v>
      </c>
      <c r="P22" s="87"/>
      <c r="Q22" s="87"/>
      <c r="R22" s="87"/>
      <c r="S22" s="87"/>
      <c r="T22" s="87"/>
      <c r="U22" s="87"/>
      <c r="V22" s="87"/>
      <c r="W22" s="87"/>
      <c r="X22" s="87"/>
      <c r="Y22" s="87"/>
      <c r="Z22" s="87">
        <v>0.5</v>
      </c>
      <c r="AA22" s="87"/>
      <c r="AB22" s="87"/>
      <c r="AC22" s="87"/>
      <c r="AD22" s="87"/>
      <c r="AE22" s="87">
        <v>0.5</v>
      </c>
      <c r="AF22" s="87"/>
      <c r="AG22" s="87"/>
      <c r="AH22" s="87"/>
      <c r="AI22" s="87"/>
      <c r="AJ22" s="87">
        <v>0.5</v>
      </c>
      <c r="AK22" s="87"/>
      <c r="AL22" s="87"/>
      <c r="AM22" s="87"/>
      <c r="AN22" s="87"/>
      <c r="AO22" s="87">
        <v>0.5</v>
      </c>
      <c r="AP22" s="87"/>
      <c r="AQ22" s="87"/>
      <c r="AR22" s="87"/>
      <c r="AS22" s="87"/>
      <c r="AT22" s="87">
        <v>0.5</v>
      </c>
      <c r="AU22" s="87"/>
      <c r="AV22" s="87"/>
      <c r="AW22" s="100"/>
      <c r="AX22" s="87"/>
      <c r="AY22" s="87">
        <v>0.5</v>
      </c>
      <c r="AZ22" s="87"/>
      <c r="BA22" s="87"/>
      <c r="BB22" s="87"/>
      <c r="BC22" s="87"/>
      <c r="BD22" s="87">
        <v>0.5</v>
      </c>
      <c r="BE22" s="87"/>
      <c r="BF22" s="87"/>
      <c r="BG22" s="87"/>
      <c r="BH22" s="87"/>
      <c r="BI22" s="87">
        <v>0.5</v>
      </c>
      <c r="BJ22" s="87"/>
      <c r="BK22" s="87"/>
      <c r="BL22" s="87"/>
      <c r="BM22" s="87"/>
      <c r="BN22" s="87">
        <v>0.5</v>
      </c>
      <c r="BO22" s="87"/>
      <c r="BP22" s="87"/>
      <c r="BQ22" s="87"/>
      <c r="BR22" s="87"/>
      <c r="BS22" s="87">
        <v>0.5</v>
      </c>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87"/>
      <c r="EJ22" s="87"/>
      <c r="EK22" s="87"/>
      <c r="EL22" s="100"/>
      <c r="EM22" s="100"/>
      <c r="EN22" s="100"/>
      <c r="EO22" s="100"/>
      <c r="EP22" s="100"/>
      <c r="EQ22" s="100"/>
    </row>
    <row r="23" spans="1:147" outlineLevel="1">
      <c r="B23" s="74" t="s">
        <v>28</v>
      </c>
      <c r="C23" s="73" t="s">
        <v>28</v>
      </c>
      <c r="D23" s="73"/>
      <c r="E23" s="73"/>
      <c r="F23" s="73"/>
      <c r="G23" s="73" t="s">
        <v>30</v>
      </c>
      <c r="H23" s="73"/>
      <c r="I23" s="93">
        <f>J23*8</f>
        <v>40</v>
      </c>
      <c r="J23" s="93">
        <v>5</v>
      </c>
      <c r="K23" s="93"/>
      <c r="L23" s="93"/>
      <c r="M23" s="93"/>
      <c r="N23" s="96"/>
      <c r="O23" s="99">
        <f>J23-SUM(P23:EQ23)</f>
        <v>0</v>
      </c>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100"/>
      <c r="AX23" s="87"/>
      <c r="AY23" s="87"/>
      <c r="AZ23" s="87"/>
      <c r="BA23" s="87"/>
      <c r="BB23" s="87"/>
      <c r="BC23" s="87"/>
      <c r="BD23" s="87"/>
      <c r="BE23" s="87"/>
      <c r="BF23" s="87"/>
      <c r="BG23" s="87"/>
      <c r="BH23" s="87"/>
      <c r="BI23" s="87">
        <v>0.5</v>
      </c>
      <c r="BJ23" s="87"/>
      <c r="BK23" s="87"/>
      <c r="BL23" s="87"/>
      <c r="BM23" s="87"/>
      <c r="BN23" s="87">
        <v>0.5</v>
      </c>
      <c r="BO23" s="87"/>
      <c r="BP23" s="87"/>
      <c r="BQ23" s="87"/>
      <c r="BR23" s="87"/>
      <c r="BS23" s="87">
        <v>0.5</v>
      </c>
      <c r="BT23" s="87"/>
      <c r="BU23" s="87"/>
      <c r="BV23" s="87"/>
      <c r="BW23" s="87"/>
      <c r="BX23" s="87">
        <v>0.5</v>
      </c>
      <c r="BY23" s="87"/>
      <c r="BZ23" s="87"/>
      <c r="CA23" s="87"/>
      <c r="CB23" s="87"/>
      <c r="CC23" s="87">
        <v>0.5</v>
      </c>
      <c r="CD23" s="87"/>
      <c r="CE23" s="87"/>
      <c r="CF23" s="87"/>
      <c r="CG23" s="87"/>
      <c r="CH23" s="87">
        <v>0.5</v>
      </c>
      <c r="CI23" s="87"/>
      <c r="CJ23" s="87"/>
      <c r="CK23" s="87"/>
      <c r="CL23" s="87"/>
      <c r="CM23" s="87">
        <v>0.5</v>
      </c>
      <c r="CN23" s="87"/>
      <c r="CO23" s="87"/>
      <c r="CP23" s="87"/>
      <c r="CQ23" s="87"/>
      <c r="CR23" s="87">
        <v>0.5</v>
      </c>
      <c r="CS23" s="87"/>
      <c r="CT23" s="87"/>
      <c r="CU23" s="87"/>
      <c r="CV23" s="87"/>
      <c r="CW23" s="87">
        <v>0.5</v>
      </c>
      <c r="CX23" s="87"/>
      <c r="CY23" s="87"/>
      <c r="CZ23" s="87"/>
      <c r="DA23" s="87"/>
      <c r="DB23" s="87">
        <v>0.5</v>
      </c>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87"/>
      <c r="EJ23" s="87"/>
      <c r="EK23" s="87"/>
      <c r="EL23" s="100"/>
      <c r="EM23" s="100"/>
      <c r="EN23" s="100"/>
      <c r="EO23" s="100"/>
      <c r="EP23" s="100"/>
      <c r="EQ23" s="100"/>
    </row>
    <row r="24" spans="1:147" ht="10.199999999999999" customHeight="1">
      <c r="B24" s="73"/>
      <c r="C24" s="73"/>
      <c r="D24" s="73"/>
      <c r="E24" s="73"/>
      <c r="F24" s="73"/>
      <c r="G24" s="73"/>
      <c r="H24" s="73"/>
      <c r="I24" s="93"/>
      <c r="J24" s="93"/>
      <c r="K24" s="93"/>
      <c r="L24" s="93"/>
      <c r="M24" s="93"/>
      <c r="N24" s="97"/>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102"/>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102"/>
      <c r="EM24" s="102"/>
      <c r="EN24" s="102"/>
      <c r="EO24" s="102"/>
      <c r="EP24" s="102"/>
      <c r="EQ24" s="102"/>
    </row>
    <row r="25" spans="1:147">
      <c r="B25" s="91" t="s">
        <v>34</v>
      </c>
      <c r="C25" s="92"/>
      <c r="D25" s="92"/>
      <c r="E25" s="92"/>
      <c r="F25" s="92"/>
      <c r="G25" s="92"/>
      <c r="H25" s="92"/>
      <c r="I25" s="114">
        <f>I26+I41+I204+I371+I456</f>
        <v>2164.9400000000051</v>
      </c>
      <c r="J25" s="114">
        <f>J26+J41+J204+J371+J456</f>
        <v>273</v>
      </c>
      <c r="K25" s="114"/>
      <c r="L25" s="114"/>
      <c r="M25" s="114"/>
      <c r="N25" s="95"/>
      <c r="P25" s="90"/>
      <c r="Q25" s="90"/>
      <c r="R25" s="90"/>
      <c r="S25" s="90"/>
      <c r="T25" s="90"/>
      <c r="U25" s="90"/>
      <c r="V25" s="90"/>
      <c r="W25" s="90"/>
      <c r="X25" s="90"/>
      <c r="Y25" s="90"/>
      <c r="Z25" s="90"/>
      <c r="AA25" s="161"/>
      <c r="AB25" s="161"/>
      <c r="AC25" s="161"/>
      <c r="AD25" s="161"/>
      <c r="AE25" s="161"/>
      <c r="AF25" s="161"/>
      <c r="AG25" s="161"/>
      <c r="AH25" s="161"/>
      <c r="AI25" s="161"/>
      <c r="AJ25" s="161"/>
      <c r="AK25" s="161"/>
      <c r="AL25" s="161"/>
      <c r="AM25" s="161"/>
      <c r="AN25" s="161"/>
      <c r="AO25" s="161"/>
      <c r="AP25" s="161"/>
      <c r="AQ25" s="161"/>
      <c r="AR25" s="161"/>
      <c r="AS25" s="161"/>
      <c r="AT25" s="161"/>
      <c r="AU25" s="161"/>
      <c r="AV25" s="161"/>
      <c r="AW25" s="103"/>
      <c r="AX25" s="161"/>
      <c r="AY25" s="90"/>
      <c r="AZ25" s="90"/>
      <c r="BA25" s="161"/>
      <c r="BB25" s="161"/>
      <c r="BC25" s="161"/>
      <c r="BD25" s="161"/>
      <c r="BE25" s="161"/>
      <c r="BF25" s="161"/>
      <c r="BG25" s="161"/>
      <c r="BH25" s="161"/>
      <c r="BI25" s="161"/>
      <c r="BJ25" s="161"/>
      <c r="BK25" s="161"/>
      <c r="BL25" s="161"/>
      <c r="BM25" s="161"/>
      <c r="BN25" s="161"/>
      <c r="BO25" s="161"/>
      <c r="BP25" s="161"/>
      <c r="BQ25" s="161"/>
      <c r="BR25" s="161"/>
      <c r="BS25" s="161"/>
      <c r="BT25" s="161"/>
      <c r="BU25" s="161"/>
      <c r="BV25" s="161"/>
      <c r="BW25" s="161"/>
      <c r="BX25" s="161"/>
      <c r="BY25" s="161"/>
      <c r="BZ25" s="161"/>
      <c r="CA25" s="161"/>
      <c r="CB25" s="161"/>
      <c r="CC25" s="161"/>
      <c r="CD25" s="161"/>
      <c r="CE25" s="161"/>
      <c r="CF25" s="161"/>
      <c r="CG25" s="161"/>
      <c r="CH25" s="161"/>
      <c r="CI25" s="161"/>
      <c r="CJ25" s="161"/>
      <c r="CK25" s="161"/>
      <c r="CL25" s="161"/>
      <c r="CM25" s="161"/>
      <c r="CN25" s="161"/>
      <c r="CO25" s="161"/>
      <c r="CP25" s="161"/>
      <c r="CQ25" s="161"/>
      <c r="CR25" s="161"/>
      <c r="CS25" s="161"/>
      <c r="CT25" s="161"/>
      <c r="CU25" s="161"/>
      <c r="CV25" s="161"/>
      <c r="CW25" s="161"/>
      <c r="CX25" s="161"/>
      <c r="CY25" s="161"/>
      <c r="CZ25" s="161"/>
      <c r="DA25" s="161"/>
      <c r="DB25" s="161"/>
      <c r="DC25" s="161"/>
      <c r="DD25" s="161"/>
      <c r="DE25" s="161"/>
      <c r="DF25" s="161"/>
      <c r="DG25" s="161"/>
      <c r="DH25" s="161"/>
      <c r="DI25" s="161"/>
      <c r="DJ25" s="161"/>
      <c r="DK25" s="161"/>
      <c r="DL25" s="161"/>
      <c r="DM25" s="161"/>
      <c r="DN25" s="161"/>
      <c r="DO25" s="161"/>
      <c r="DP25" s="161"/>
      <c r="DQ25" s="161"/>
      <c r="DR25" s="161"/>
      <c r="DS25" s="161"/>
      <c r="DT25" s="161"/>
      <c r="DU25" s="161"/>
      <c r="DV25" s="161"/>
      <c r="DW25" s="161"/>
      <c r="DX25" s="161"/>
      <c r="DY25" s="161"/>
      <c r="DZ25" s="161"/>
      <c r="EA25" s="161"/>
      <c r="EB25" s="161"/>
      <c r="EC25" s="161"/>
      <c r="ED25" s="161"/>
      <c r="EE25" s="161"/>
      <c r="EF25" s="161"/>
      <c r="EG25" s="161"/>
      <c r="EH25" s="161"/>
      <c r="EI25" s="161"/>
      <c r="EJ25" s="161"/>
      <c r="EK25" s="161"/>
      <c r="EL25" s="103"/>
      <c r="EM25" s="103"/>
      <c r="EN25" s="103"/>
      <c r="EO25" s="103"/>
      <c r="EP25" s="103"/>
      <c r="EQ25" s="103"/>
    </row>
    <row r="26" spans="1:147">
      <c r="B26" s="72" t="s">
        <v>28</v>
      </c>
      <c r="C26" s="105" t="s">
        <v>35</v>
      </c>
      <c r="D26" s="73"/>
      <c r="E26" s="73"/>
      <c r="F26" s="73"/>
      <c r="G26" s="73"/>
      <c r="H26" s="73"/>
      <c r="I26" s="108">
        <f>SUM(I27:I40)</f>
        <v>18.239999999999995</v>
      </c>
      <c r="J26" s="108">
        <f>ROUNDUP(I26/8,0)</f>
        <v>3</v>
      </c>
      <c r="K26" s="108">
        <f>SUM(K27:K40)</f>
        <v>4.5599999999999987</v>
      </c>
      <c r="L26" s="108">
        <f>ROUNDUP(K26/8,0)</f>
        <v>1</v>
      </c>
      <c r="M26" s="108"/>
      <c r="N26" s="96"/>
      <c r="O26" s="99">
        <f t="shared" ref="O26:O89" si="10">J26-SUM(P26:EQ26)</f>
        <v>0</v>
      </c>
      <c r="P26" s="87"/>
      <c r="Q26" s="87"/>
      <c r="R26" s="87"/>
      <c r="S26" s="87"/>
      <c r="T26" s="87"/>
      <c r="U26" s="87"/>
      <c r="V26" s="87"/>
      <c r="W26" s="87"/>
      <c r="X26" s="87"/>
      <c r="Y26" s="87"/>
      <c r="Z26" s="87"/>
      <c r="AA26" s="87">
        <v>0.5</v>
      </c>
      <c r="AB26" s="87">
        <v>0.5</v>
      </c>
      <c r="AC26" s="87"/>
      <c r="AD26" s="87"/>
      <c r="AE26" s="87"/>
      <c r="AF26" s="87">
        <v>0.5</v>
      </c>
      <c r="AG26" s="87"/>
      <c r="AH26" s="87"/>
      <c r="AI26" s="87"/>
      <c r="AJ26" s="87"/>
      <c r="AK26" s="87"/>
      <c r="AL26" s="87"/>
      <c r="AM26" s="87">
        <v>0.5</v>
      </c>
      <c r="AN26" s="87">
        <v>0.5</v>
      </c>
      <c r="AO26" s="87">
        <v>0.5</v>
      </c>
      <c r="AP26" s="87"/>
      <c r="AQ26" s="87"/>
      <c r="AR26" s="87"/>
      <c r="AS26" s="87"/>
      <c r="AT26" s="87"/>
      <c r="AU26" s="87"/>
      <c r="AV26" s="87"/>
      <c r="AW26" s="100"/>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c r="CY26" s="87"/>
      <c r="CZ26" s="87"/>
      <c r="DA26" s="87"/>
      <c r="DB26" s="87"/>
      <c r="DC26" s="87"/>
      <c r="DD26" s="87"/>
      <c r="DE26" s="87"/>
      <c r="DF26" s="87"/>
      <c r="DG26" s="87"/>
      <c r="DH26" s="87"/>
      <c r="DI26" s="87"/>
      <c r="DJ26" s="87"/>
      <c r="DK26" s="87"/>
      <c r="DL26" s="87"/>
      <c r="DM26" s="87"/>
      <c r="DN26" s="87"/>
      <c r="DO26" s="87"/>
      <c r="DP26" s="87"/>
      <c r="DQ26" s="87"/>
      <c r="DR26" s="87"/>
      <c r="DS26" s="87"/>
      <c r="DT26" s="87"/>
      <c r="DU26" s="87"/>
      <c r="DV26" s="87"/>
      <c r="DW26" s="87"/>
      <c r="DX26" s="87"/>
      <c r="DY26" s="87"/>
      <c r="DZ26" s="87"/>
      <c r="EA26" s="87"/>
      <c r="EB26" s="87"/>
      <c r="EC26" s="87"/>
      <c r="ED26" s="87"/>
      <c r="EE26" s="87"/>
      <c r="EF26" s="87"/>
      <c r="EG26" s="87"/>
      <c r="EH26" s="87"/>
      <c r="EI26" s="87"/>
      <c r="EJ26" s="87"/>
      <c r="EK26" s="87"/>
      <c r="EL26" s="100"/>
      <c r="EM26" s="100"/>
      <c r="EN26" s="100"/>
      <c r="EO26" s="100"/>
      <c r="EP26" s="100"/>
      <c r="EQ26" s="100"/>
    </row>
    <row r="27" spans="1:147" outlineLevel="1">
      <c r="A27" s="31" t="str">
        <f>E27&amp;F27</f>
        <v>cd_imv_inp_certif_estimativan.a.</v>
      </c>
      <c r="B27" s="76" t="s">
        <v>28</v>
      </c>
      <c r="C27" s="77" t="s">
        <v>35</v>
      </c>
      <c r="D27" s="73" t="s">
        <v>36</v>
      </c>
      <c r="E27" s="75" t="s">
        <v>37</v>
      </c>
      <c r="F27" s="73" t="s">
        <v>38</v>
      </c>
      <c r="G27" s="73" t="str">
        <f>INDEX(Auxiliar!$B$16:$B$23,MATCH(Plano_V3!H27,Auxiliar!$C$16:$C$23,0),1)</f>
        <v>6. Em implementação (re-especificação)</v>
      </c>
      <c r="H27" s="73">
        <f>VLOOKUP(A27,'Aux - pivots1'!$A:$B,2,0)</f>
        <v>6</v>
      </c>
      <c r="I27" s="93">
        <f>SUMIFS(Table1[Estimação (horas)],Table1[Tabela],Plano_V3!E27,Table1[Campo],Plano_V3!F27)</f>
        <v>8</v>
      </c>
      <c r="J27" s="93">
        <f t="shared" ref="J27:L39" si="11">I27/8</f>
        <v>1</v>
      </c>
      <c r="K27" s="93">
        <f>SUMIFS(Table1[Horas efetivas],Table1[Tabela],Plano_V3!E27,Table1[Campo],Plano_V3!F27)</f>
        <v>2</v>
      </c>
      <c r="L27" s="93">
        <f t="shared" si="11"/>
        <v>0.25</v>
      </c>
      <c r="M27" s="93">
        <f>L27/J27</f>
        <v>0.25</v>
      </c>
      <c r="N27" s="98" t="s">
        <v>39</v>
      </c>
      <c r="O27" s="99">
        <f t="shared" si="10"/>
        <v>1</v>
      </c>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100"/>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87"/>
      <c r="EJ27" s="87"/>
      <c r="EK27" s="87"/>
      <c r="EL27" s="100"/>
      <c r="EM27" s="100"/>
      <c r="EN27" s="100"/>
      <c r="EO27" s="100"/>
      <c r="EP27" s="100"/>
      <c r="EQ27" s="100"/>
    </row>
    <row r="28" spans="1:147" outlineLevel="1">
      <c r="A28" s="31" t="str">
        <f t="shared" ref="A28:A91" si="12">E28&amp;F28</f>
        <v>cd_imv_inp_certif_estimativacempbem</v>
      </c>
      <c r="B28" s="76" t="s">
        <v>28</v>
      </c>
      <c r="C28" s="77" t="s">
        <v>35</v>
      </c>
      <c r="D28" s="73" t="s">
        <v>40</v>
      </c>
      <c r="E28" s="75" t="s">
        <v>37</v>
      </c>
      <c r="F28" s="73" t="s">
        <v>41</v>
      </c>
      <c r="G28" s="73" t="str">
        <f>INDEX(Auxiliar!$B$16:$B$23,MATCH(Plano_V3!H28,Auxiliar!$C$16:$C$23,0),1)</f>
        <v>6. Em implementação (re-especificação)</v>
      </c>
      <c r="H28" s="73">
        <f>VLOOKUP(A28,'Aux - pivots1'!$A:$B,2,0)</f>
        <v>6</v>
      </c>
      <c r="I28" s="93">
        <f>SUMIFS(Table1[Estimação (horas)],Table1[Tabela],Plano_V3!E28,Table1[Campo],Plano_V3!F28)</f>
        <v>0.6</v>
      </c>
      <c r="J28" s="93">
        <f t="shared" si="11"/>
        <v>7.4999999999999997E-2</v>
      </c>
      <c r="K28" s="93">
        <f>SUMIFS(Table1[Horas efetivas],Table1[Tabela],Plano_V3!E28,Table1[Campo],Plano_V3!F28)</f>
        <v>0.15</v>
      </c>
      <c r="L28" s="93">
        <f t="shared" si="11"/>
        <v>1.8749999999999999E-2</v>
      </c>
      <c r="M28" s="93">
        <f t="shared" ref="M28:M40" si="13">L28/J28</f>
        <v>0.25</v>
      </c>
      <c r="N28" s="98" t="s">
        <v>39</v>
      </c>
      <c r="O28" s="99">
        <f t="shared" si="10"/>
        <v>7.4999999999999997E-2</v>
      </c>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100"/>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87"/>
      <c r="EJ28" s="87"/>
      <c r="EK28" s="87"/>
      <c r="EL28" s="100"/>
      <c r="EM28" s="100"/>
      <c r="EN28" s="100"/>
      <c r="EO28" s="100"/>
      <c r="EP28" s="100"/>
      <c r="EQ28" s="100"/>
    </row>
    <row r="29" spans="1:147" outlineLevel="1">
      <c r="A29" s="31" t="str">
        <f t="shared" si="12"/>
        <v>cd_imv_inp_certif_estimativachave_encriptada</v>
      </c>
      <c r="B29" s="76" t="s">
        <v>28</v>
      </c>
      <c r="C29" s="77" t="s">
        <v>35</v>
      </c>
      <c r="D29" s="73" t="s">
        <v>40</v>
      </c>
      <c r="E29" s="75" t="s">
        <v>37</v>
      </c>
      <c r="F29" s="73" t="s">
        <v>42</v>
      </c>
      <c r="G29" s="73" t="str">
        <f>INDEX(Auxiliar!$B$16:$B$23,MATCH(Plano_V3!H29,Auxiliar!$C$16:$C$23,0),1)</f>
        <v>6. Em implementação (re-especificação)</v>
      </c>
      <c r="H29" s="73">
        <f>VLOOKUP(A29,'Aux - pivots1'!$A:$B,2,0)</f>
        <v>6</v>
      </c>
      <c r="I29" s="93">
        <f>SUMIFS(Table1[Estimação (horas)],Table1[Tabela],Plano_V3!E29,Table1[Campo],Plano_V3!F29)</f>
        <v>0.6</v>
      </c>
      <c r="J29" s="93">
        <f t="shared" si="11"/>
        <v>7.4999999999999997E-2</v>
      </c>
      <c r="K29" s="93">
        <f>SUMIFS(Table1[Horas efetivas],Table1[Tabela],Plano_V3!E29,Table1[Campo],Plano_V3!F29)</f>
        <v>0.15</v>
      </c>
      <c r="L29" s="93">
        <f t="shared" si="11"/>
        <v>1.8749999999999999E-2</v>
      </c>
      <c r="M29" s="93">
        <f t="shared" si="13"/>
        <v>0.25</v>
      </c>
      <c r="N29" s="98" t="s">
        <v>39</v>
      </c>
      <c r="O29" s="99">
        <f t="shared" si="10"/>
        <v>7.4999999999999997E-2</v>
      </c>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100"/>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87"/>
      <c r="EJ29" s="87"/>
      <c r="EK29" s="87"/>
      <c r="EL29" s="100"/>
      <c r="EM29" s="100"/>
      <c r="EN29" s="100"/>
      <c r="EO29" s="100"/>
      <c r="EP29" s="100"/>
      <c r="EQ29" s="100"/>
    </row>
    <row r="30" spans="1:147" outlineLevel="1">
      <c r="A30" s="31" t="str">
        <f t="shared" si="12"/>
        <v>cd_imv_inp_certif_estimativackbalbem</v>
      </c>
      <c r="B30" s="76" t="s">
        <v>28</v>
      </c>
      <c r="C30" s="77" t="s">
        <v>35</v>
      </c>
      <c r="D30" s="73" t="s">
        <v>40</v>
      </c>
      <c r="E30" s="75" t="s">
        <v>37</v>
      </c>
      <c r="F30" s="73" t="s">
        <v>43</v>
      </c>
      <c r="G30" s="73" t="str">
        <f>INDEX(Auxiliar!$B$16:$B$23,MATCH(Plano_V3!H30,Auxiliar!$C$16:$C$23,0),1)</f>
        <v>6. Em implementação (re-especificação)</v>
      </c>
      <c r="H30" s="73">
        <f>VLOOKUP(A30,'Aux - pivots1'!$A:$B,2,0)</f>
        <v>6</v>
      </c>
      <c r="I30" s="93">
        <f>SUMIFS(Table1[Estimação (horas)],Table1[Tabela],Plano_V3!E30,Table1[Campo],Plano_V3!F30)</f>
        <v>0.6</v>
      </c>
      <c r="J30" s="93">
        <f t="shared" si="11"/>
        <v>7.4999999999999997E-2</v>
      </c>
      <c r="K30" s="93">
        <f>SUMIFS(Table1[Horas efetivas],Table1[Tabela],Plano_V3!E30,Table1[Campo],Plano_V3!F30)</f>
        <v>0.15</v>
      </c>
      <c r="L30" s="93">
        <f t="shared" si="11"/>
        <v>1.8749999999999999E-2</v>
      </c>
      <c r="M30" s="93">
        <f t="shared" si="13"/>
        <v>0.25</v>
      </c>
      <c r="N30" s="98" t="s">
        <v>39</v>
      </c>
      <c r="O30" s="99">
        <f t="shared" si="10"/>
        <v>7.4999999999999997E-2</v>
      </c>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100"/>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87"/>
      <c r="EJ30" s="87"/>
      <c r="EK30" s="87"/>
      <c r="EL30" s="100"/>
      <c r="EM30" s="100"/>
      <c r="EN30" s="100"/>
      <c r="EO30" s="100"/>
      <c r="EP30" s="100"/>
      <c r="EQ30" s="100"/>
    </row>
    <row r="31" spans="1:147" outlineLevel="1">
      <c r="A31" s="31" t="str">
        <f t="shared" si="12"/>
        <v>cd_imv_inp_certif_estimativackctabem</v>
      </c>
      <c r="B31" s="76" t="s">
        <v>28</v>
      </c>
      <c r="C31" s="77" t="s">
        <v>35</v>
      </c>
      <c r="D31" s="73" t="s">
        <v>40</v>
      </c>
      <c r="E31" s="75" t="s">
        <v>37</v>
      </c>
      <c r="F31" s="73" t="s">
        <v>44</v>
      </c>
      <c r="G31" s="73" t="str">
        <f>INDEX(Auxiliar!$B$16:$B$23,MATCH(Plano_V3!H31,Auxiliar!$C$16:$C$23,0),1)</f>
        <v>6. Em implementação (re-especificação)</v>
      </c>
      <c r="H31" s="73">
        <f>VLOOKUP(A31,'Aux - pivots1'!$A:$B,2,0)</f>
        <v>6</v>
      </c>
      <c r="I31" s="93">
        <f>SUMIFS(Table1[Estimação (horas)],Table1[Tabela],Plano_V3!E31,Table1[Campo],Plano_V3!F31)</f>
        <v>0.6</v>
      </c>
      <c r="J31" s="93">
        <f t="shared" si="11"/>
        <v>7.4999999999999997E-2</v>
      </c>
      <c r="K31" s="93">
        <f>SUMIFS(Table1[Horas efetivas],Table1[Tabela],Plano_V3!E31,Table1[Campo],Plano_V3!F31)</f>
        <v>0.15</v>
      </c>
      <c r="L31" s="93">
        <f t="shared" si="11"/>
        <v>1.8749999999999999E-2</v>
      </c>
      <c r="M31" s="93">
        <f t="shared" si="13"/>
        <v>0.25</v>
      </c>
      <c r="N31" s="98" t="s">
        <v>39</v>
      </c>
      <c r="O31" s="99">
        <f t="shared" si="10"/>
        <v>7.4999999999999997E-2</v>
      </c>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100"/>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87"/>
      <c r="EJ31" s="87"/>
      <c r="EK31" s="87"/>
      <c r="EL31" s="100"/>
      <c r="EM31" s="100"/>
      <c r="EN31" s="100"/>
      <c r="EO31" s="100"/>
      <c r="EP31" s="100"/>
      <c r="EQ31" s="100"/>
    </row>
    <row r="32" spans="1:147" outlineLevel="1">
      <c r="A32" s="31" t="str">
        <f t="shared" si="12"/>
        <v>cd_imv_inp_certif_estimativackrefbem</v>
      </c>
      <c r="B32" s="76" t="s">
        <v>28</v>
      </c>
      <c r="C32" s="77" t="s">
        <v>35</v>
      </c>
      <c r="D32" s="73" t="s">
        <v>40</v>
      </c>
      <c r="E32" s="75" t="s">
        <v>37</v>
      </c>
      <c r="F32" s="73" t="s">
        <v>45</v>
      </c>
      <c r="G32" s="73" t="str">
        <f>INDEX(Auxiliar!$B$16:$B$23,MATCH(Plano_V3!H32,Auxiliar!$C$16:$C$23,0),1)</f>
        <v>6. Em implementação (re-especificação)</v>
      </c>
      <c r="H32" s="73">
        <f>VLOOKUP(A32,'Aux - pivots1'!$A:$B,2,0)</f>
        <v>6</v>
      </c>
      <c r="I32" s="93">
        <f>SUMIFS(Table1[Estimação (horas)],Table1[Tabela],Plano_V3!E32,Table1[Campo],Plano_V3!F32)</f>
        <v>0.6</v>
      </c>
      <c r="J32" s="93">
        <f t="shared" si="11"/>
        <v>7.4999999999999997E-2</v>
      </c>
      <c r="K32" s="93">
        <f>SUMIFS(Table1[Horas efetivas],Table1[Tabela],Plano_V3!E32,Table1[Campo],Plano_V3!F32)</f>
        <v>0.15</v>
      </c>
      <c r="L32" s="93">
        <f t="shared" si="11"/>
        <v>1.8749999999999999E-2</v>
      </c>
      <c r="M32" s="93">
        <f t="shared" si="13"/>
        <v>0.25</v>
      </c>
      <c r="N32" s="98" t="s">
        <v>39</v>
      </c>
      <c r="O32" s="99">
        <f t="shared" si="10"/>
        <v>7.4999999999999997E-2</v>
      </c>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100"/>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87"/>
      <c r="EJ32" s="87"/>
      <c r="EK32" s="87"/>
      <c r="EL32" s="100"/>
      <c r="EM32" s="100"/>
      <c r="EN32" s="100"/>
      <c r="EO32" s="100"/>
      <c r="EP32" s="100"/>
      <c r="EQ32" s="100"/>
    </row>
    <row r="33" spans="1:147" outlineLevel="1">
      <c r="A33" s="31" t="str">
        <f t="shared" si="12"/>
        <v>cd_imv_inp_certif_estimativadata_extraccao_info</v>
      </c>
      <c r="B33" s="76" t="s">
        <v>28</v>
      </c>
      <c r="C33" s="77" t="s">
        <v>35</v>
      </c>
      <c r="D33" s="73" t="s">
        <v>40</v>
      </c>
      <c r="E33" s="75" t="s">
        <v>37</v>
      </c>
      <c r="F33" s="73" t="s">
        <v>46</v>
      </c>
      <c r="G33" s="73" t="str">
        <f>INDEX(Auxiliar!$B$16:$B$23,MATCH(Plano_V3!H33,Auxiliar!$C$16:$C$23,0),1)</f>
        <v>6. Em implementação (re-especificação)</v>
      </c>
      <c r="H33" s="73">
        <f>VLOOKUP(A33,'Aux - pivots1'!$A:$B,2,0)</f>
        <v>6</v>
      </c>
      <c r="I33" s="93">
        <f>SUMIFS(Table1[Estimação (horas)],Table1[Tabela],Plano_V3!E33,Table1[Campo],Plano_V3!F33)</f>
        <v>0.6</v>
      </c>
      <c r="J33" s="93">
        <f t="shared" si="11"/>
        <v>7.4999999999999997E-2</v>
      </c>
      <c r="K33" s="93">
        <f>SUMIFS(Table1[Horas efetivas],Table1[Tabela],Plano_V3!E33,Table1[Campo],Plano_V3!F33)</f>
        <v>0.15</v>
      </c>
      <c r="L33" s="93">
        <f t="shared" si="11"/>
        <v>1.8749999999999999E-2</v>
      </c>
      <c r="M33" s="93">
        <f t="shared" si="13"/>
        <v>0.25</v>
      </c>
      <c r="N33" s="98" t="s">
        <v>39</v>
      </c>
      <c r="O33" s="99">
        <f t="shared" si="10"/>
        <v>7.4999999999999997E-2</v>
      </c>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100"/>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87"/>
      <c r="EJ33" s="87"/>
      <c r="EK33" s="87"/>
      <c r="EL33" s="100"/>
      <c r="EM33" s="100"/>
      <c r="EN33" s="100"/>
      <c r="EO33" s="100"/>
      <c r="EP33" s="100"/>
      <c r="EQ33" s="100"/>
    </row>
    <row r="34" spans="1:147" outlineLevel="1">
      <c r="A34" s="31" t="str">
        <f t="shared" si="12"/>
        <v>cd_imv_inp_certif_estimativaepc</v>
      </c>
      <c r="B34" s="76" t="s">
        <v>28</v>
      </c>
      <c r="C34" s="77" t="s">
        <v>35</v>
      </c>
      <c r="D34" s="73" t="s">
        <v>40</v>
      </c>
      <c r="E34" s="75" t="s">
        <v>37</v>
      </c>
      <c r="F34" s="73" t="s">
        <v>47</v>
      </c>
      <c r="G34" s="73" t="str">
        <f>INDEX(Auxiliar!$B$16:$B$23,MATCH(Plano_V3!H34,Auxiliar!$C$16:$C$23,0),1)</f>
        <v>6. Em implementação (re-especificação)</v>
      </c>
      <c r="H34" s="73">
        <f>VLOOKUP(A34,'Aux - pivots1'!$A:$B,2,0)</f>
        <v>6</v>
      </c>
      <c r="I34" s="93">
        <f>SUMIFS(Table1[Estimação (horas)],Table1[Tabela],Plano_V3!E34,Table1[Campo],Plano_V3!F34)</f>
        <v>0.6</v>
      </c>
      <c r="J34" s="93">
        <f t="shared" si="11"/>
        <v>7.4999999999999997E-2</v>
      </c>
      <c r="K34" s="93">
        <f>SUMIFS(Table1[Horas efetivas],Table1[Tabela],Plano_V3!E34,Table1[Campo],Plano_V3!F34)</f>
        <v>0.15</v>
      </c>
      <c r="L34" s="93">
        <f t="shared" si="11"/>
        <v>1.8749999999999999E-2</v>
      </c>
      <c r="M34" s="93">
        <f t="shared" si="13"/>
        <v>0.25</v>
      </c>
      <c r="N34" s="98" t="s">
        <v>39</v>
      </c>
      <c r="O34" s="99">
        <f t="shared" si="10"/>
        <v>7.4999999999999997E-2</v>
      </c>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100"/>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87"/>
      <c r="EJ34" s="87"/>
      <c r="EK34" s="87"/>
      <c r="EL34" s="100"/>
      <c r="EM34" s="100"/>
      <c r="EN34" s="100"/>
      <c r="EO34" s="100"/>
      <c r="EP34" s="100"/>
      <c r="EQ34" s="100"/>
    </row>
    <row r="35" spans="1:147" outlineLevel="1">
      <c r="A35" s="31" t="str">
        <f t="shared" si="12"/>
        <v>cd_imv_inp_certif_estimativafornecedor</v>
      </c>
      <c r="B35" s="76" t="s">
        <v>28</v>
      </c>
      <c r="C35" s="77" t="s">
        <v>35</v>
      </c>
      <c r="D35" s="73" t="s">
        <v>40</v>
      </c>
      <c r="E35" s="75" t="s">
        <v>37</v>
      </c>
      <c r="F35" s="73" t="s">
        <v>48</v>
      </c>
      <c r="G35" s="73" t="str">
        <f>INDEX(Auxiliar!$B$16:$B$23,MATCH(Plano_V3!H35,Auxiliar!$C$16:$C$23,0),1)</f>
        <v>6. Em implementação (re-especificação)</v>
      </c>
      <c r="H35" s="73">
        <f>VLOOKUP(A35,'Aux - pivots1'!$A:$B,2,0)</f>
        <v>6</v>
      </c>
      <c r="I35" s="93">
        <f>SUMIFS(Table1[Estimação (horas)],Table1[Tabela],Plano_V3!E35,Table1[Campo],Plano_V3!F35)</f>
        <v>0.6</v>
      </c>
      <c r="J35" s="93">
        <f t="shared" si="11"/>
        <v>7.4999999999999997E-2</v>
      </c>
      <c r="K35" s="93">
        <f>SUMIFS(Table1[Horas efetivas],Table1[Tabela],Plano_V3!E35,Table1[Campo],Plano_V3!F35)</f>
        <v>0.15</v>
      </c>
      <c r="L35" s="93">
        <f t="shared" si="11"/>
        <v>1.8749999999999999E-2</v>
      </c>
      <c r="M35" s="93">
        <f t="shared" si="13"/>
        <v>0.25</v>
      </c>
      <c r="N35" s="98" t="s">
        <v>39</v>
      </c>
      <c r="O35" s="99">
        <f t="shared" si="10"/>
        <v>7.4999999999999997E-2</v>
      </c>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100"/>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87"/>
      <c r="EJ35" s="87"/>
      <c r="EK35" s="87"/>
      <c r="EL35" s="100"/>
      <c r="EM35" s="100"/>
      <c r="EN35" s="100"/>
      <c r="EO35" s="100"/>
      <c r="EP35" s="100"/>
      <c r="EQ35" s="100"/>
    </row>
    <row r="36" spans="1:147" outlineLevel="1">
      <c r="A36" s="31" t="str">
        <f t="shared" si="12"/>
        <v>cd_imv_inp_certif_estimativametodo_info</v>
      </c>
      <c r="B36" s="76" t="s">
        <v>28</v>
      </c>
      <c r="C36" s="77" t="s">
        <v>35</v>
      </c>
      <c r="D36" s="73" t="s">
        <v>40</v>
      </c>
      <c r="E36" s="75" t="s">
        <v>37</v>
      </c>
      <c r="F36" s="73" t="s">
        <v>49</v>
      </c>
      <c r="G36" s="73" t="str">
        <f>INDEX(Auxiliar!$B$16:$B$23,MATCH(Plano_V3!H36,Auxiliar!$C$16:$C$23,0),1)</f>
        <v>6. Em implementação (re-especificação)</v>
      </c>
      <c r="H36" s="73">
        <f>VLOOKUP(A36,'Aux - pivots1'!$A:$B,2,0)</f>
        <v>6</v>
      </c>
      <c r="I36" s="93">
        <f>SUMIFS(Table1[Estimação (horas)],Table1[Tabela],Plano_V3!E36,Table1[Campo],Plano_V3!F36)</f>
        <v>0.6</v>
      </c>
      <c r="J36" s="93">
        <f t="shared" si="11"/>
        <v>7.4999999999999997E-2</v>
      </c>
      <c r="K36" s="93">
        <f>SUMIFS(Table1[Horas efetivas],Table1[Tabela],Plano_V3!E36,Table1[Campo],Plano_V3!F36)</f>
        <v>0.15</v>
      </c>
      <c r="L36" s="93">
        <f t="shared" si="11"/>
        <v>1.8749999999999999E-2</v>
      </c>
      <c r="M36" s="93">
        <f t="shared" si="13"/>
        <v>0.25</v>
      </c>
      <c r="N36" s="98" t="s">
        <v>39</v>
      </c>
      <c r="O36" s="99">
        <f t="shared" si="10"/>
        <v>7.4999999999999997E-2</v>
      </c>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100"/>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87"/>
      <c r="EJ36" s="87"/>
      <c r="EK36" s="87"/>
      <c r="EL36" s="100"/>
      <c r="EM36" s="100"/>
      <c r="EN36" s="100"/>
      <c r="EO36" s="100"/>
      <c r="EP36" s="100"/>
      <c r="EQ36" s="100"/>
    </row>
    <row r="37" spans="1:147" outlineLevel="1">
      <c r="A37" s="31" t="str">
        <f t="shared" si="12"/>
        <v>cd_imv_inp_certif_estimativascore_qualidade</v>
      </c>
      <c r="B37" s="76" t="s">
        <v>28</v>
      </c>
      <c r="C37" s="77" t="s">
        <v>35</v>
      </c>
      <c r="D37" s="73" t="s">
        <v>40</v>
      </c>
      <c r="E37" s="75" t="s">
        <v>37</v>
      </c>
      <c r="F37" s="73" t="s">
        <v>50</v>
      </c>
      <c r="G37" s="73" t="str">
        <f>INDEX(Auxiliar!$B$16:$B$23,MATCH(Plano_V3!H37,Auxiliar!$C$16:$C$23,0),1)</f>
        <v>6. Em implementação (re-especificação)</v>
      </c>
      <c r="H37" s="73">
        <f>VLOOKUP(A37,'Aux - pivots1'!$A:$B,2,0)</f>
        <v>6</v>
      </c>
      <c r="I37" s="93">
        <f>SUMIFS(Table1[Estimação (horas)],Table1[Tabela],Plano_V3!E37,Table1[Campo],Plano_V3!F37)</f>
        <v>0.6</v>
      </c>
      <c r="J37" s="93">
        <f t="shared" si="11"/>
        <v>7.4999999999999997E-2</v>
      </c>
      <c r="K37" s="93">
        <f>SUMIFS(Table1[Horas efetivas],Table1[Tabela],Plano_V3!E37,Table1[Campo],Plano_V3!F37)</f>
        <v>0.15</v>
      </c>
      <c r="L37" s="93">
        <f t="shared" si="11"/>
        <v>1.8749999999999999E-2</v>
      </c>
      <c r="M37" s="93">
        <f t="shared" si="13"/>
        <v>0.25</v>
      </c>
      <c r="N37" s="98" t="s">
        <v>39</v>
      </c>
      <c r="O37" s="99">
        <f t="shared" si="10"/>
        <v>7.4999999999999997E-2</v>
      </c>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100"/>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87"/>
      <c r="EJ37" s="87"/>
      <c r="EK37" s="87"/>
      <c r="EL37" s="100"/>
      <c r="EM37" s="100"/>
      <c r="EN37" s="100"/>
      <c r="EO37" s="100"/>
      <c r="EP37" s="100"/>
      <c r="EQ37" s="100"/>
    </row>
    <row r="38" spans="1:147" outlineLevel="1">
      <c r="A38" s="31" t="str">
        <f t="shared" si="12"/>
        <v>cd_imv_inp_certif_estimativavlr_cnsm_ano</v>
      </c>
      <c r="B38" s="76" t="s">
        <v>28</v>
      </c>
      <c r="C38" s="77" t="s">
        <v>35</v>
      </c>
      <c r="D38" s="73" t="s">
        <v>40</v>
      </c>
      <c r="E38" s="75" t="s">
        <v>37</v>
      </c>
      <c r="F38" s="73" t="s">
        <v>51</v>
      </c>
      <c r="G38" s="73" t="str">
        <f>INDEX(Auxiliar!$B$16:$B$23,MATCH(Plano_V3!H38,Auxiliar!$C$16:$C$23,0),1)</f>
        <v>6. Em implementação (re-especificação)</v>
      </c>
      <c r="H38" s="73">
        <f>VLOOKUP(A38,'Aux - pivots1'!$A:$B,2,0)</f>
        <v>6</v>
      </c>
      <c r="I38" s="93">
        <f>SUMIFS(Table1[Estimação (horas)],Table1[Tabela],Plano_V3!E38,Table1[Campo],Plano_V3!F38)</f>
        <v>0.6</v>
      </c>
      <c r="J38" s="93">
        <f t="shared" si="11"/>
        <v>7.4999999999999997E-2</v>
      </c>
      <c r="K38" s="93">
        <f>SUMIFS(Table1[Horas efetivas],Table1[Tabela],Plano_V3!E38,Table1[Campo],Plano_V3!F38)</f>
        <v>0.15</v>
      </c>
      <c r="L38" s="93">
        <f t="shared" si="11"/>
        <v>1.8749999999999999E-2</v>
      </c>
      <c r="M38" s="93">
        <f t="shared" si="13"/>
        <v>0.25</v>
      </c>
      <c r="N38" s="98" t="s">
        <v>39</v>
      </c>
      <c r="O38" s="99">
        <f t="shared" si="10"/>
        <v>7.4999999999999997E-2</v>
      </c>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100"/>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87"/>
      <c r="EJ38" s="87"/>
      <c r="EK38" s="87"/>
      <c r="EL38" s="100"/>
      <c r="EM38" s="100"/>
      <c r="EN38" s="100"/>
      <c r="EO38" s="100"/>
      <c r="EP38" s="100"/>
      <c r="EQ38" s="100"/>
    </row>
    <row r="39" spans="1:147" outlineLevel="1">
      <c r="A39" s="31" t="str">
        <f t="shared" si="12"/>
        <v>cd_imv_inp_certif_estimativavlr_emss_ano</v>
      </c>
      <c r="B39" s="76" t="s">
        <v>28</v>
      </c>
      <c r="C39" s="77" t="s">
        <v>35</v>
      </c>
      <c r="D39" s="73" t="s">
        <v>40</v>
      </c>
      <c r="E39" s="75" t="s">
        <v>37</v>
      </c>
      <c r="F39" s="73" t="s">
        <v>52</v>
      </c>
      <c r="G39" s="73" t="str">
        <f>INDEX(Auxiliar!$B$16:$B$23,MATCH(Plano_V3!H39,Auxiliar!$C$16:$C$23,0),1)</f>
        <v>6. Em implementação (re-especificação)</v>
      </c>
      <c r="H39" s="73">
        <f>VLOOKUP(A39,'Aux - pivots1'!$A:$B,2,0)</f>
        <v>6</v>
      </c>
      <c r="I39" s="93">
        <f>SUMIFS(Table1[Estimação (horas)],Table1[Tabela],Plano_V3!E39,Table1[Campo],Plano_V3!F39)</f>
        <v>0.6</v>
      </c>
      <c r="J39" s="93">
        <f t="shared" si="11"/>
        <v>7.4999999999999997E-2</v>
      </c>
      <c r="K39" s="93">
        <f>SUMIFS(Table1[Horas efetivas],Table1[Tabela],Plano_V3!E39,Table1[Campo],Plano_V3!F39)</f>
        <v>0.15</v>
      </c>
      <c r="L39" s="93">
        <f t="shared" si="11"/>
        <v>1.8749999999999999E-2</v>
      </c>
      <c r="M39" s="93">
        <f t="shared" si="13"/>
        <v>0.25</v>
      </c>
      <c r="N39" s="98" t="s">
        <v>39</v>
      </c>
      <c r="O39" s="99">
        <f t="shared" si="10"/>
        <v>7.4999999999999997E-2</v>
      </c>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100"/>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87"/>
      <c r="EJ39" s="87"/>
      <c r="EK39" s="87"/>
      <c r="EL39" s="100"/>
      <c r="EM39" s="100"/>
      <c r="EN39" s="100"/>
      <c r="EO39" s="100"/>
      <c r="EP39" s="100"/>
      <c r="EQ39" s="100"/>
    </row>
    <row r="40" spans="1:147" outlineLevel="1">
      <c r="A40" s="31" t="str">
        <f t="shared" si="12"/>
        <v>Re-testesn.a.</v>
      </c>
      <c r="B40" s="76" t="s">
        <v>28</v>
      </c>
      <c r="C40" s="77" t="s">
        <v>35</v>
      </c>
      <c r="D40" s="73" t="s">
        <v>40</v>
      </c>
      <c r="E40" s="75" t="s">
        <v>53</v>
      </c>
      <c r="F40" s="73" t="s">
        <v>38</v>
      </c>
      <c r="G40" s="73" t="s">
        <v>30</v>
      </c>
      <c r="H40" s="73"/>
      <c r="I40" s="93">
        <f>SUM(I27:I39)*$D$6</f>
        <v>3.0399999999999991</v>
      </c>
      <c r="J40" s="93">
        <f>I40/8</f>
        <v>0.37999999999999989</v>
      </c>
      <c r="K40" s="93">
        <f>SUM(K27:K39)*$D$6</f>
        <v>0.75999999999999979</v>
      </c>
      <c r="L40" s="93">
        <f>K40/8</f>
        <v>9.4999999999999973E-2</v>
      </c>
      <c r="M40" s="93">
        <f t="shared" si="13"/>
        <v>0.25</v>
      </c>
      <c r="N40" s="98" t="s">
        <v>39</v>
      </c>
      <c r="O40" s="99">
        <f t="shared" si="10"/>
        <v>0.37999999999999989</v>
      </c>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100"/>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87"/>
      <c r="EJ40" s="87"/>
      <c r="EK40" s="87"/>
      <c r="EL40" s="100"/>
      <c r="EM40" s="100"/>
      <c r="EN40" s="100"/>
      <c r="EO40" s="100"/>
      <c r="EP40" s="100"/>
      <c r="EQ40" s="100"/>
    </row>
    <row r="41" spans="1:147">
      <c r="A41" s="31" t="str">
        <f t="shared" si="12"/>
        <v/>
      </c>
      <c r="B41" s="72" t="s">
        <v>28</v>
      </c>
      <c r="C41" s="105" t="s">
        <v>54</v>
      </c>
      <c r="D41" s="105"/>
      <c r="E41" s="112"/>
      <c r="F41" s="105"/>
      <c r="G41" s="105"/>
      <c r="H41" s="105"/>
      <c r="I41" s="108">
        <f>SUM(I42:I203)</f>
        <v>831.03750000000264</v>
      </c>
      <c r="J41" s="108">
        <f>ROUNDUP(I41/8,0)</f>
        <v>104</v>
      </c>
      <c r="K41" s="108"/>
      <c r="L41" s="108"/>
      <c r="M41" s="108"/>
      <c r="N41" s="96"/>
      <c r="O41" s="99">
        <f t="shared" si="10"/>
        <v>4</v>
      </c>
      <c r="P41" s="87"/>
      <c r="Q41" s="87"/>
      <c r="R41" s="87"/>
      <c r="S41" s="87"/>
      <c r="T41" s="87"/>
      <c r="U41" s="87"/>
      <c r="V41" s="87"/>
      <c r="W41" s="87"/>
      <c r="X41" s="87"/>
      <c r="Y41" s="87"/>
      <c r="Z41" s="87"/>
      <c r="AA41" s="87"/>
      <c r="AB41" s="87"/>
      <c r="AC41" s="87"/>
      <c r="AD41" s="87"/>
      <c r="AE41" s="87"/>
      <c r="AF41" s="87"/>
      <c r="AG41" s="87"/>
      <c r="AH41" s="87"/>
      <c r="AI41" s="87"/>
      <c r="AJ41" s="87">
        <v>1</v>
      </c>
      <c r="AK41" s="87">
        <v>1</v>
      </c>
      <c r="AL41" s="87">
        <v>1</v>
      </c>
      <c r="AM41" s="87">
        <v>1</v>
      </c>
      <c r="AN41" s="87"/>
      <c r="AO41" s="87"/>
      <c r="AP41" s="87">
        <v>1</v>
      </c>
      <c r="AQ41" s="87">
        <v>1</v>
      </c>
      <c r="AR41" s="87">
        <v>1</v>
      </c>
      <c r="AS41" s="87">
        <v>1</v>
      </c>
      <c r="AT41" s="87"/>
      <c r="AU41" s="87">
        <v>1</v>
      </c>
      <c r="AV41" s="87">
        <v>2</v>
      </c>
      <c r="AW41" s="100"/>
      <c r="AX41" s="87">
        <v>1</v>
      </c>
      <c r="AY41" s="87"/>
      <c r="AZ41" s="87"/>
      <c r="BA41" s="87">
        <v>1</v>
      </c>
      <c r="BB41" s="87">
        <v>1</v>
      </c>
      <c r="BC41" s="87">
        <v>1</v>
      </c>
      <c r="BD41" s="87">
        <v>1</v>
      </c>
      <c r="BE41" s="87">
        <v>2</v>
      </c>
      <c r="BF41" s="87">
        <v>2</v>
      </c>
      <c r="BG41" s="87">
        <v>2</v>
      </c>
      <c r="BH41" s="87">
        <v>2</v>
      </c>
      <c r="BI41" s="87">
        <v>0.5</v>
      </c>
      <c r="BJ41" s="87">
        <v>2</v>
      </c>
      <c r="BK41" s="87">
        <v>2</v>
      </c>
      <c r="BL41" s="87">
        <v>2</v>
      </c>
      <c r="BM41" s="87">
        <v>2</v>
      </c>
      <c r="BN41" s="87">
        <v>0.5</v>
      </c>
      <c r="BO41" s="87">
        <v>2</v>
      </c>
      <c r="BP41" s="87">
        <v>2</v>
      </c>
      <c r="BQ41" s="87">
        <v>2</v>
      </c>
      <c r="BR41" s="87">
        <v>2</v>
      </c>
      <c r="BS41" s="87">
        <v>1.5</v>
      </c>
      <c r="BT41" s="87">
        <v>2</v>
      </c>
      <c r="BU41" s="87">
        <v>2</v>
      </c>
      <c r="BV41" s="87">
        <v>2</v>
      </c>
      <c r="BW41" s="87">
        <v>2</v>
      </c>
      <c r="BX41" s="87">
        <v>2</v>
      </c>
      <c r="BY41" s="87">
        <v>2</v>
      </c>
      <c r="BZ41" s="87">
        <v>2</v>
      </c>
      <c r="CA41" s="87">
        <v>2</v>
      </c>
      <c r="CB41" s="87">
        <v>2</v>
      </c>
      <c r="CC41" s="87">
        <v>2</v>
      </c>
      <c r="CD41" s="87">
        <v>2</v>
      </c>
      <c r="CE41" s="87">
        <v>2</v>
      </c>
      <c r="CF41" s="87">
        <v>2</v>
      </c>
      <c r="CG41" s="87">
        <v>2</v>
      </c>
      <c r="CH41" s="87">
        <v>2</v>
      </c>
      <c r="CI41" s="87">
        <v>2</v>
      </c>
      <c r="CJ41" s="87">
        <v>2</v>
      </c>
      <c r="CK41" s="87">
        <v>2</v>
      </c>
      <c r="CL41" s="87">
        <v>2</v>
      </c>
      <c r="CM41" s="87">
        <v>2</v>
      </c>
      <c r="CN41" s="87">
        <v>2</v>
      </c>
      <c r="CO41" s="87">
        <v>2</v>
      </c>
      <c r="CP41" s="87">
        <v>2</v>
      </c>
      <c r="CQ41" s="87">
        <v>2</v>
      </c>
      <c r="CR41" s="87">
        <v>2</v>
      </c>
      <c r="CS41" s="87">
        <v>2</v>
      </c>
      <c r="CT41" s="87">
        <v>2</v>
      </c>
      <c r="CU41" s="87">
        <v>2</v>
      </c>
      <c r="CV41" s="87">
        <v>1.5</v>
      </c>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87"/>
      <c r="EJ41" s="87"/>
      <c r="EK41" s="87"/>
      <c r="EL41" s="100"/>
      <c r="EM41" s="100"/>
      <c r="EN41" s="100"/>
      <c r="EO41" s="100"/>
      <c r="EP41" s="100"/>
      <c r="EQ41" s="100"/>
    </row>
    <row r="42" spans="1:147" outlineLevel="1">
      <c r="A42" s="31" t="str">
        <f t="shared" si="12"/>
        <v>cd_imv_out_prcn.a.</v>
      </c>
      <c r="B42" s="76" t="s">
        <v>28</v>
      </c>
      <c r="C42" s="77" t="s">
        <v>54</v>
      </c>
      <c r="D42" s="73" t="s">
        <v>36</v>
      </c>
      <c r="E42" s="75" t="s">
        <v>55</v>
      </c>
      <c r="F42" s="73" t="s">
        <v>38</v>
      </c>
      <c r="G42" s="73" t="str">
        <f>INDEX(Auxiliar!$B$16:$B$23,MATCH(Plano_V3!H42,Auxiliar!$C$16:$C$23,0),1)</f>
        <v>1. Concluído</v>
      </c>
      <c r="H42" s="73">
        <f>VLOOKUP(A42,'Aux - pivots1'!$A:$B,2,0)</f>
        <v>1</v>
      </c>
      <c r="I42" s="93">
        <f>SUMIFS(Table1[Estimação (horas)],Table1[Tabela],Plano_V3!E42,Table1[Campo],Plano_V3!F42)</f>
        <v>8</v>
      </c>
      <c r="J42" s="93">
        <f t="shared" ref="J42:J105" si="14">I42/8</f>
        <v>1</v>
      </c>
      <c r="K42" s="93">
        <f>SUMIFS(Table1[Horas efetivas],Table1[Tabela],Plano_V3!E42,Table1[Campo],Plano_V3!F42)</f>
        <v>8</v>
      </c>
      <c r="L42" s="93">
        <f t="shared" ref="L42:L105" si="15">K42/8</f>
        <v>1</v>
      </c>
      <c r="M42" s="93">
        <f t="shared" ref="M42:M105" si="16">L42/J42</f>
        <v>1</v>
      </c>
      <c r="N42" s="98" t="s">
        <v>56</v>
      </c>
      <c r="O42" s="99">
        <f t="shared" si="10"/>
        <v>1</v>
      </c>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100"/>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87"/>
      <c r="EJ42" s="87"/>
      <c r="EK42" s="87"/>
      <c r="EL42" s="100"/>
      <c r="EM42" s="100"/>
      <c r="EN42" s="100"/>
      <c r="EO42" s="100"/>
      <c r="EP42" s="100"/>
      <c r="EQ42" s="100"/>
    </row>
    <row r="43" spans="1:147" outlineLevel="1">
      <c r="A43" s="31" t="str">
        <f t="shared" si="12"/>
        <v>cd_imv_out_prccempresa</v>
      </c>
      <c r="B43" s="76" t="s">
        <v>28</v>
      </c>
      <c r="C43" s="77" t="s">
        <v>54</v>
      </c>
      <c r="D43" s="73" t="s">
        <v>40</v>
      </c>
      <c r="E43" s="75" t="s">
        <v>55</v>
      </c>
      <c r="F43" s="73" t="s">
        <v>57</v>
      </c>
      <c r="G43" s="73" t="str">
        <f>INDEX(Auxiliar!$B$16:$B$23,MATCH(Plano_V3!H43,Auxiliar!$C$16:$C$23,0),1)</f>
        <v>1. Concluído</v>
      </c>
      <c r="H43" s="73">
        <f>VLOOKUP(A43,'Aux - pivots1'!$A:$B,2,0)</f>
        <v>1</v>
      </c>
      <c r="I43" s="93">
        <f>SUMIFS(Table1[Estimação (horas)],Table1[Tabela],Plano_V3!E43,Table1[Campo],Plano_V3!F43)</f>
        <v>4.0999999999999996</v>
      </c>
      <c r="J43" s="93">
        <f t="shared" si="14"/>
        <v>0.51249999999999996</v>
      </c>
      <c r="K43" s="93">
        <f>SUMIFS(Table1[Horas efetivas],Table1[Tabela],Plano_V3!E43,Table1[Campo],Plano_V3!F43)</f>
        <v>4.0999999999999996</v>
      </c>
      <c r="L43" s="93">
        <f t="shared" si="15"/>
        <v>0.51249999999999996</v>
      </c>
      <c r="M43" s="93">
        <f t="shared" si="16"/>
        <v>1</v>
      </c>
      <c r="N43" s="98" t="s">
        <v>56</v>
      </c>
      <c r="O43" s="99">
        <f t="shared" si="10"/>
        <v>0.51249999999999996</v>
      </c>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100"/>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87"/>
      <c r="EJ43" s="87"/>
      <c r="EK43" s="87"/>
      <c r="EL43" s="100"/>
      <c r="EM43" s="100"/>
      <c r="EN43" s="100"/>
      <c r="EO43" s="100"/>
      <c r="EP43" s="100"/>
      <c r="EQ43" s="100"/>
    </row>
    <row r="44" spans="1:147" outlineLevel="1">
      <c r="A44" s="31" t="str">
        <f t="shared" si="12"/>
        <v>cd_imv_out_prcckbalcao</v>
      </c>
      <c r="B44" s="76" t="s">
        <v>28</v>
      </c>
      <c r="C44" s="77" t="s">
        <v>54</v>
      </c>
      <c r="D44" s="73" t="s">
        <v>40</v>
      </c>
      <c r="E44" s="75" t="s">
        <v>55</v>
      </c>
      <c r="F44" s="73" t="s">
        <v>58</v>
      </c>
      <c r="G44" s="73" t="str">
        <f>INDEX(Auxiliar!$B$16:$B$23,MATCH(Plano_V3!H44,Auxiliar!$C$16:$C$23,0),1)</f>
        <v>1. Concluído</v>
      </c>
      <c r="H44" s="73">
        <f>VLOOKUP(A44,'Aux - pivots1'!$A:$B,2,0)</f>
        <v>1</v>
      </c>
      <c r="I44" s="93">
        <f>SUMIFS(Table1[Estimação (horas)],Table1[Tabela],Plano_V3!E44,Table1[Campo],Plano_V3!F44)</f>
        <v>4.0999999999999996</v>
      </c>
      <c r="J44" s="93">
        <f t="shared" si="14"/>
        <v>0.51249999999999996</v>
      </c>
      <c r="K44" s="93">
        <f>SUMIFS(Table1[Horas efetivas],Table1[Tabela],Plano_V3!E44,Table1[Campo],Plano_V3!F44)</f>
        <v>4.0999999999999996</v>
      </c>
      <c r="L44" s="93">
        <f t="shared" si="15"/>
        <v>0.51249999999999996</v>
      </c>
      <c r="M44" s="93">
        <f t="shared" si="16"/>
        <v>1</v>
      </c>
      <c r="N44" s="98" t="s">
        <v>56</v>
      </c>
      <c r="O44" s="99">
        <f t="shared" si="10"/>
        <v>0.51249999999999996</v>
      </c>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100"/>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87"/>
      <c r="EJ44" s="87"/>
      <c r="EK44" s="87"/>
      <c r="EL44" s="100"/>
      <c r="EM44" s="100"/>
      <c r="EN44" s="100"/>
      <c r="EO44" s="100"/>
      <c r="EP44" s="100"/>
      <c r="EQ44" s="100"/>
    </row>
    <row r="45" spans="1:147" outlineLevel="1">
      <c r="A45" s="31" t="str">
        <f t="shared" si="12"/>
        <v>cd_imv_out_prccknumcta</v>
      </c>
      <c r="B45" s="76" t="s">
        <v>28</v>
      </c>
      <c r="C45" s="77" t="s">
        <v>54</v>
      </c>
      <c r="D45" s="73" t="s">
        <v>40</v>
      </c>
      <c r="E45" s="75" t="s">
        <v>55</v>
      </c>
      <c r="F45" s="73" t="s">
        <v>59</v>
      </c>
      <c r="G45" s="73" t="str">
        <f>INDEX(Auxiliar!$B$16:$B$23,MATCH(Plano_V3!H45,Auxiliar!$C$16:$C$23,0),1)</f>
        <v>1. Concluído</v>
      </c>
      <c r="H45" s="73">
        <f>VLOOKUP(A45,'Aux - pivots1'!$A:$B,2,0)</f>
        <v>1</v>
      </c>
      <c r="I45" s="93">
        <f>SUMIFS(Table1[Estimação (horas)],Table1[Tabela],Plano_V3!E45,Table1[Campo],Plano_V3!F45)</f>
        <v>4.0999999999999996</v>
      </c>
      <c r="J45" s="93">
        <f t="shared" si="14"/>
        <v>0.51249999999999996</v>
      </c>
      <c r="K45" s="93">
        <f>SUMIFS(Table1[Horas efetivas],Table1[Tabela],Plano_V3!E45,Table1[Campo],Plano_V3!F45)</f>
        <v>4.0999999999999996</v>
      </c>
      <c r="L45" s="93">
        <f t="shared" si="15"/>
        <v>0.51249999999999996</v>
      </c>
      <c r="M45" s="93">
        <f t="shared" si="16"/>
        <v>1</v>
      </c>
      <c r="N45" s="98" t="s">
        <v>56</v>
      </c>
      <c r="O45" s="99">
        <f t="shared" si="10"/>
        <v>0.51249999999999996</v>
      </c>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100"/>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87"/>
      <c r="EJ45" s="87"/>
      <c r="EK45" s="87"/>
      <c r="EL45" s="100"/>
      <c r="EM45" s="100"/>
      <c r="EN45" s="100"/>
      <c r="EO45" s="100"/>
      <c r="EP45" s="100"/>
      <c r="EQ45" s="100"/>
    </row>
    <row r="46" spans="1:147" outlineLevel="1">
      <c r="A46" s="31" t="str">
        <f t="shared" si="12"/>
        <v>cd_imv_out_prccod_estd_prcs</v>
      </c>
      <c r="B46" s="76" t="s">
        <v>28</v>
      </c>
      <c r="C46" s="77" t="s">
        <v>54</v>
      </c>
      <c r="D46" s="73" t="s">
        <v>40</v>
      </c>
      <c r="E46" s="75" t="s">
        <v>55</v>
      </c>
      <c r="F46" s="73" t="s">
        <v>60</v>
      </c>
      <c r="G46" s="73" t="str">
        <f>INDEX(Auxiliar!$B$16:$B$23,MATCH(Plano_V3!H46,Auxiliar!$C$16:$C$23,0),1)</f>
        <v>0. Cancelado</v>
      </c>
      <c r="H46" s="73">
        <f>VLOOKUP(A46,'Aux - pivots1'!$A:$B,2,0)</f>
        <v>0</v>
      </c>
      <c r="I46" s="94">
        <v>0</v>
      </c>
      <c r="J46" s="93">
        <f t="shared" si="14"/>
        <v>0</v>
      </c>
      <c r="K46" s="93">
        <f>SUMIFS(Table1[Horas efetivas],Table1[Tabela],Plano_V3!E46,Table1[Campo],Plano_V3!F46)</f>
        <v>0</v>
      </c>
      <c r="L46" s="93">
        <f t="shared" si="15"/>
        <v>0</v>
      </c>
      <c r="M46" s="93" t="e">
        <f t="shared" si="16"/>
        <v>#DIV/0!</v>
      </c>
      <c r="N46" s="98" t="s">
        <v>56</v>
      </c>
      <c r="O46" s="99">
        <f t="shared" si="10"/>
        <v>0</v>
      </c>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100"/>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87"/>
      <c r="EJ46" s="87"/>
      <c r="EK46" s="87"/>
      <c r="EL46" s="100"/>
      <c r="EM46" s="100"/>
      <c r="EN46" s="100"/>
      <c r="EO46" s="100"/>
      <c r="EP46" s="100"/>
      <c r="EQ46" s="100"/>
    </row>
    <row r="47" spans="1:147" outlineLevel="1">
      <c r="A47" s="31" t="str">
        <f t="shared" si="12"/>
        <v>cd_imv_out_prccod_grt</v>
      </c>
      <c r="B47" s="76" t="s">
        <v>28</v>
      </c>
      <c r="C47" s="77" t="s">
        <v>54</v>
      </c>
      <c r="D47" s="73" t="s">
        <v>40</v>
      </c>
      <c r="E47" s="75" t="s">
        <v>55</v>
      </c>
      <c r="F47" s="73" t="s">
        <v>61</v>
      </c>
      <c r="G47" s="73" t="str">
        <f>INDEX(Auxiliar!$B$16:$B$23,MATCH(Plano_V3!H47,Auxiliar!$C$16:$C$23,0),1)</f>
        <v>1. Concluído</v>
      </c>
      <c r="H47" s="73">
        <f>VLOOKUP(A47,'Aux - pivots1'!$A:$B,2,0)</f>
        <v>1</v>
      </c>
      <c r="I47" s="93">
        <f>SUMIFS(Table1[Estimação (horas)],Table1[Tabela],Plano_V3!E47,Table1[Campo],Plano_V3!F47)</f>
        <v>4.0999999999999996</v>
      </c>
      <c r="J47" s="93">
        <f t="shared" si="14"/>
        <v>0.51249999999999996</v>
      </c>
      <c r="K47" s="93">
        <f>SUMIFS(Table1[Horas efetivas],Table1[Tabela],Plano_V3!E47,Table1[Campo],Plano_V3!F47)</f>
        <v>4.0999999999999996</v>
      </c>
      <c r="L47" s="93">
        <f t="shared" si="15"/>
        <v>0.51249999999999996</v>
      </c>
      <c r="M47" s="93">
        <f t="shared" si="16"/>
        <v>1</v>
      </c>
      <c r="N47" s="98" t="s">
        <v>56</v>
      </c>
      <c r="O47" s="99">
        <f t="shared" si="10"/>
        <v>0.51249999999999996</v>
      </c>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100"/>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87"/>
      <c r="EJ47" s="87"/>
      <c r="EK47" s="87"/>
      <c r="EL47" s="100"/>
      <c r="EM47" s="100"/>
      <c r="EN47" s="100"/>
      <c r="EO47" s="100"/>
      <c r="EP47" s="100"/>
      <c r="EQ47" s="100"/>
    </row>
    <row r="48" spans="1:147" outlineLevel="1">
      <c r="A48" s="31" t="str">
        <f t="shared" si="12"/>
        <v>cd_imv_out_prccod_moeda</v>
      </c>
      <c r="B48" s="76" t="s">
        <v>28</v>
      </c>
      <c r="C48" s="77" t="s">
        <v>54</v>
      </c>
      <c r="D48" s="73" t="s">
        <v>40</v>
      </c>
      <c r="E48" s="75" t="s">
        <v>55</v>
      </c>
      <c r="F48" s="73" t="s">
        <v>62</v>
      </c>
      <c r="G48" s="73" t="str">
        <f>INDEX(Auxiliar!$B$16:$B$23,MATCH(Plano_V3!H48,Auxiliar!$C$16:$C$23,0),1)</f>
        <v>1. Concluído</v>
      </c>
      <c r="H48" s="73">
        <f>VLOOKUP(A48,'Aux - pivots1'!$A:$B,2,0)</f>
        <v>1</v>
      </c>
      <c r="I48" s="93">
        <f>SUMIFS(Table1[Estimação (horas)],Table1[Tabela],Plano_V3!E48,Table1[Campo],Plano_V3!F48)</f>
        <v>4.0999999999999996</v>
      </c>
      <c r="J48" s="93">
        <f t="shared" si="14"/>
        <v>0.51249999999999996</v>
      </c>
      <c r="K48" s="93">
        <f>SUMIFS(Table1[Horas efetivas],Table1[Tabela],Plano_V3!E48,Table1[Campo],Plano_V3!F48)</f>
        <v>4.0999999999999996</v>
      </c>
      <c r="L48" s="93">
        <f t="shared" si="15"/>
        <v>0.51249999999999996</v>
      </c>
      <c r="M48" s="93">
        <f t="shared" si="16"/>
        <v>1</v>
      </c>
      <c r="N48" s="98" t="s">
        <v>56</v>
      </c>
      <c r="O48" s="99">
        <f t="shared" si="10"/>
        <v>0.51249999999999996</v>
      </c>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100"/>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87"/>
      <c r="EJ48" s="87"/>
      <c r="EK48" s="87"/>
      <c r="EL48" s="100"/>
      <c r="EM48" s="100"/>
      <c r="EN48" s="100"/>
      <c r="EO48" s="100"/>
      <c r="EP48" s="100"/>
      <c r="EQ48" s="100"/>
    </row>
    <row r="49" spans="1:147" outlineLevel="1">
      <c r="A49" s="31" t="str">
        <f t="shared" si="12"/>
        <v>cd_imv_out_prccod_observacao</v>
      </c>
      <c r="B49" s="76" t="s">
        <v>28</v>
      </c>
      <c r="C49" s="77" t="s">
        <v>54</v>
      </c>
      <c r="D49" s="73" t="s">
        <v>40</v>
      </c>
      <c r="E49" s="75" t="s">
        <v>55</v>
      </c>
      <c r="F49" s="73" t="s">
        <v>63</v>
      </c>
      <c r="G49" s="73" t="str">
        <f>INDEX(Auxiliar!$B$16:$B$23,MATCH(Plano_V3!H49,Auxiliar!$C$16:$C$23,0),1)</f>
        <v>1. Concluído</v>
      </c>
      <c r="H49" s="73">
        <f>VLOOKUP(A49,'Aux - pivots1'!$A:$B,2,0)</f>
        <v>1</v>
      </c>
      <c r="I49" s="93">
        <f>SUMIFS(Table1[Estimação (horas)],Table1[Tabela],Plano_V3!E49,Table1[Campo],Plano_V3!F49)</f>
        <v>4.0999999999999996</v>
      </c>
      <c r="J49" s="93">
        <f t="shared" si="14"/>
        <v>0.51249999999999996</v>
      </c>
      <c r="K49" s="93">
        <f>SUMIFS(Table1[Horas efetivas],Table1[Tabela],Plano_V3!E49,Table1[Campo],Plano_V3!F49)</f>
        <v>4.0999999999999996</v>
      </c>
      <c r="L49" s="93">
        <f t="shared" si="15"/>
        <v>0.51249999999999996</v>
      </c>
      <c r="M49" s="93">
        <f t="shared" si="16"/>
        <v>1</v>
      </c>
      <c r="N49" s="98" t="s">
        <v>56</v>
      </c>
      <c r="O49" s="99">
        <f t="shared" si="10"/>
        <v>0.51249999999999996</v>
      </c>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100"/>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87"/>
      <c r="EJ49" s="87"/>
      <c r="EK49" s="87"/>
      <c r="EL49" s="100"/>
      <c r="EM49" s="100"/>
      <c r="EN49" s="100"/>
      <c r="EO49" s="100"/>
      <c r="EP49" s="100"/>
      <c r="EQ49" s="100"/>
    </row>
    <row r="50" spans="1:147" outlineLevel="1">
      <c r="A50" s="31" t="str">
        <f t="shared" si="12"/>
        <v>cd_imv_out_prccod_prd_grnt</v>
      </c>
      <c r="B50" s="76" t="s">
        <v>28</v>
      </c>
      <c r="C50" s="77" t="s">
        <v>54</v>
      </c>
      <c r="D50" s="73" t="s">
        <v>40</v>
      </c>
      <c r="E50" s="75" t="s">
        <v>55</v>
      </c>
      <c r="F50" s="73" t="s">
        <v>64</v>
      </c>
      <c r="G50" s="73" t="str">
        <f>INDEX(Auxiliar!$B$16:$B$23,MATCH(Plano_V3!H50,Auxiliar!$C$16:$C$23,0),1)</f>
        <v>1. Concluído</v>
      </c>
      <c r="H50" s="73">
        <f>VLOOKUP(A50,'Aux - pivots1'!$A:$B,2,0)</f>
        <v>1</v>
      </c>
      <c r="I50" s="93">
        <f>SUMIFS(Table1[Estimação (horas)],Table1[Tabela],Plano_V3!E50,Table1[Campo],Plano_V3!F50)</f>
        <v>4.0999999999999996</v>
      </c>
      <c r="J50" s="93">
        <f t="shared" si="14"/>
        <v>0.51249999999999996</v>
      </c>
      <c r="K50" s="93">
        <f>SUMIFS(Table1[Horas efetivas],Table1[Tabela],Plano_V3!E50,Table1[Campo],Plano_V3!F50)</f>
        <v>4.0999999999999996</v>
      </c>
      <c r="L50" s="93">
        <f t="shared" si="15"/>
        <v>0.51249999999999996</v>
      </c>
      <c r="M50" s="93">
        <f t="shared" si="16"/>
        <v>1</v>
      </c>
      <c r="N50" s="98" t="s">
        <v>56</v>
      </c>
      <c r="O50" s="99">
        <f t="shared" si="10"/>
        <v>0.51249999999999996</v>
      </c>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100"/>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87"/>
      <c r="EJ50" s="87"/>
      <c r="EK50" s="87"/>
      <c r="EL50" s="100"/>
      <c r="EM50" s="100"/>
      <c r="EN50" s="100"/>
      <c r="EO50" s="100"/>
      <c r="EP50" s="100"/>
      <c r="EQ50" s="100"/>
    </row>
    <row r="51" spans="1:147" outlineLevel="1">
      <c r="A51" s="31" t="str">
        <f t="shared" si="12"/>
        <v>cd_imv_out_prccod_sprd_grnt</v>
      </c>
      <c r="B51" s="76" t="s">
        <v>28</v>
      </c>
      <c r="C51" s="77" t="s">
        <v>54</v>
      </c>
      <c r="D51" s="73" t="s">
        <v>40</v>
      </c>
      <c r="E51" s="75" t="s">
        <v>55</v>
      </c>
      <c r="F51" s="73" t="s">
        <v>65</v>
      </c>
      <c r="G51" s="73" t="str">
        <f>INDEX(Auxiliar!$B$16:$B$23,MATCH(Plano_V3!H51,Auxiliar!$C$16:$C$23,0),1)</f>
        <v>1. Concluído</v>
      </c>
      <c r="H51" s="73">
        <f>VLOOKUP(A51,'Aux - pivots1'!$A:$B,2,0)</f>
        <v>1</v>
      </c>
      <c r="I51" s="93">
        <f>SUMIFS(Table1[Estimação (horas)],Table1[Tabela],Plano_V3!E51,Table1[Campo],Plano_V3!F51)</f>
        <v>4.0999999999999996</v>
      </c>
      <c r="J51" s="93">
        <f t="shared" si="14"/>
        <v>0.51249999999999996</v>
      </c>
      <c r="K51" s="93">
        <f>SUMIFS(Table1[Horas efetivas],Table1[Tabela],Plano_V3!E51,Table1[Campo],Plano_V3!F51)</f>
        <v>4.0999999999999996</v>
      </c>
      <c r="L51" s="93">
        <f t="shared" si="15"/>
        <v>0.51249999999999996</v>
      </c>
      <c r="M51" s="93">
        <f t="shared" si="16"/>
        <v>1</v>
      </c>
      <c r="N51" s="98" t="s">
        <v>56</v>
      </c>
      <c r="O51" s="99">
        <f t="shared" si="10"/>
        <v>0.51249999999999996</v>
      </c>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100"/>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87"/>
      <c r="EJ51" s="87"/>
      <c r="EK51" s="87"/>
      <c r="EL51" s="100"/>
      <c r="EM51" s="100"/>
      <c r="EN51" s="100"/>
      <c r="EO51" s="100"/>
      <c r="EP51" s="100"/>
      <c r="EQ51" s="100"/>
    </row>
    <row r="52" spans="1:147" outlineLevel="1">
      <c r="A52" s="31" t="str">
        <f t="shared" si="12"/>
        <v>cd_imv_out_prccod_tipo</v>
      </c>
      <c r="B52" s="76" t="s">
        <v>28</v>
      </c>
      <c r="C52" s="77" t="s">
        <v>54</v>
      </c>
      <c r="D52" s="73" t="s">
        <v>40</v>
      </c>
      <c r="E52" s="75" t="s">
        <v>55</v>
      </c>
      <c r="F52" s="73" t="s">
        <v>66</v>
      </c>
      <c r="G52" s="73" t="str">
        <f>INDEX(Auxiliar!$B$16:$B$23,MATCH(Plano_V3!H52,Auxiliar!$C$16:$C$23,0),1)</f>
        <v>1. Concluído</v>
      </c>
      <c r="H52" s="73">
        <f>VLOOKUP(A52,'Aux - pivots1'!$A:$B,2,0)</f>
        <v>1</v>
      </c>
      <c r="I52" s="93">
        <f>SUMIFS(Table1[Estimação (horas)],Table1[Tabela],Plano_V3!E52,Table1[Campo],Plano_V3!F52)</f>
        <v>4.0999999999999996</v>
      </c>
      <c r="J52" s="93">
        <f t="shared" si="14"/>
        <v>0.51249999999999996</v>
      </c>
      <c r="K52" s="93">
        <f>SUMIFS(Table1[Horas efetivas],Table1[Tabela],Plano_V3!E52,Table1[Campo],Plano_V3!F52)</f>
        <v>4.0999999999999996</v>
      </c>
      <c r="L52" s="93">
        <f t="shared" si="15"/>
        <v>0.51249999999999996</v>
      </c>
      <c r="M52" s="93">
        <f t="shared" si="16"/>
        <v>1</v>
      </c>
      <c r="N52" s="98" t="s">
        <v>56</v>
      </c>
      <c r="O52" s="99">
        <f t="shared" si="10"/>
        <v>0.51249999999999996</v>
      </c>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100"/>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87"/>
      <c r="EJ52" s="87"/>
      <c r="EK52" s="87"/>
      <c r="EL52" s="100"/>
      <c r="EM52" s="100"/>
      <c r="EN52" s="100"/>
      <c r="EO52" s="100"/>
      <c r="EP52" s="100"/>
      <c r="EQ52" s="100"/>
    </row>
    <row r="53" spans="1:147" outlineLevel="1">
      <c r="A53" s="31" t="str">
        <f t="shared" si="12"/>
        <v>cd_imv_out_prccomp_id_gar</v>
      </c>
      <c r="B53" s="76" t="s">
        <v>28</v>
      </c>
      <c r="C53" s="77" t="s">
        <v>54</v>
      </c>
      <c r="D53" s="73" t="s">
        <v>40</v>
      </c>
      <c r="E53" s="75" t="s">
        <v>55</v>
      </c>
      <c r="F53" s="73" t="s">
        <v>67</v>
      </c>
      <c r="G53" s="73" t="str">
        <f>INDEX(Auxiliar!$B$16:$B$23,MATCH(Plano_V3!H53,Auxiliar!$C$16:$C$23,0),1)</f>
        <v>1. Concluído</v>
      </c>
      <c r="H53" s="73">
        <f>VLOOKUP(A53,'Aux - pivots1'!$A:$B,2,0)</f>
        <v>1</v>
      </c>
      <c r="I53" s="93">
        <f>SUMIFS(Table1[Estimação (horas)],Table1[Tabela],Plano_V3!E53,Table1[Campo],Plano_V3!F53)</f>
        <v>4.0999999999999996</v>
      </c>
      <c r="J53" s="93">
        <f t="shared" si="14"/>
        <v>0.51249999999999996</v>
      </c>
      <c r="K53" s="93">
        <f>SUMIFS(Table1[Horas efetivas],Table1[Tabela],Plano_V3!E53,Table1[Campo],Plano_V3!F53)</f>
        <v>4.0999999999999996</v>
      </c>
      <c r="L53" s="93">
        <f t="shared" si="15"/>
        <v>0.51249999999999996</v>
      </c>
      <c r="M53" s="93">
        <f t="shared" si="16"/>
        <v>1</v>
      </c>
      <c r="N53" s="98" t="s">
        <v>56</v>
      </c>
      <c r="O53" s="99">
        <f t="shared" si="10"/>
        <v>0.51249999999999996</v>
      </c>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100"/>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87"/>
      <c r="EJ53" s="87"/>
      <c r="EK53" s="87"/>
      <c r="EL53" s="100"/>
      <c r="EM53" s="100"/>
      <c r="EN53" s="100"/>
      <c r="EO53" s="100"/>
      <c r="EP53" s="100"/>
      <c r="EQ53" s="100"/>
    </row>
    <row r="54" spans="1:147" outlineLevel="1">
      <c r="A54" s="31" t="str">
        <f t="shared" si="12"/>
        <v>cd_imv_out_prcdata_inicio</v>
      </c>
      <c r="B54" s="76" t="s">
        <v>28</v>
      </c>
      <c r="C54" s="77" t="s">
        <v>54</v>
      </c>
      <c r="D54" s="73" t="s">
        <v>40</v>
      </c>
      <c r="E54" s="75" t="s">
        <v>55</v>
      </c>
      <c r="F54" s="73" t="s">
        <v>68</v>
      </c>
      <c r="G54" s="73" t="str">
        <f>INDEX(Auxiliar!$B$16:$B$23,MATCH(Plano_V3!H54,Auxiliar!$C$16:$C$23,0),1)</f>
        <v>1. Concluído</v>
      </c>
      <c r="H54" s="73">
        <f>VLOOKUP(A54,'Aux - pivots1'!$A:$B,2,0)</f>
        <v>1</v>
      </c>
      <c r="I54" s="93">
        <f>SUMIFS(Table1[Estimação (horas)],Table1[Tabela],Plano_V3!E54,Table1[Campo],Plano_V3!F54)</f>
        <v>4.0999999999999996</v>
      </c>
      <c r="J54" s="93">
        <f t="shared" si="14"/>
        <v>0.51249999999999996</v>
      </c>
      <c r="K54" s="93">
        <f>SUMIFS(Table1[Horas efetivas],Table1[Tabela],Plano_V3!E54,Table1[Campo],Plano_V3!F54)</f>
        <v>4.0999999999999996</v>
      </c>
      <c r="L54" s="93">
        <f t="shared" si="15"/>
        <v>0.51249999999999996</v>
      </c>
      <c r="M54" s="93">
        <f t="shared" si="16"/>
        <v>1</v>
      </c>
      <c r="N54" s="98" t="s">
        <v>56</v>
      </c>
      <c r="O54" s="99">
        <f t="shared" si="10"/>
        <v>0.51249999999999996</v>
      </c>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100"/>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87"/>
      <c r="EJ54" s="87"/>
      <c r="EK54" s="87"/>
      <c r="EL54" s="100"/>
      <c r="EM54" s="100"/>
      <c r="EN54" s="100"/>
      <c r="EO54" s="100"/>
      <c r="EP54" s="100"/>
      <c r="EQ54" s="100"/>
    </row>
    <row r="55" spans="1:147" outlineLevel="1">
      <c r="A55" s="31" t="str">
        <f t="shared" si="12"/>
        <v>cd_imv_out_prcdata_vcmt</v>
      </c>
      <c r="B55" s="76" t="s">
        <v>28</v>
      </c>
      <c r="C55" s="77" t="s">
        <v>54</v>
      </c>
      <c r="D55" s="73" t="s">
        <v>40</v>
      </c>
      <c r="E55" s="75" t="s">
        <v>55</v>
      </c>
      <c r="F55" s="73" t="s">
        <v>69</v>
      </c>
      <c r="G55" s="73" t="str">
        <f>INDEX(Auxiliar!$B$16:$B$23,MATCH(Plano_V3!H55,Auxiliar!$C$16:$C$23,0),1)</f>
        <v>1. Concluído</v>
      </c>
      <c r="H55" s="73">
        <f>VLOOKUP(A55,'Aux - pivots1'!$A:$B,2,0)</f>
        <v>1</v>
      </c>
      <c r="I55" s="93">
        <f>SUMIFS(Table1[Estimação (horas)],Table1[Tabela],Plano_V3!E55,Table1[Campo],Plano_V3!F55)</f>
        <v>4.0999999999999996</v>
      </c>
      <c r="J55" s="93">
        <f t="shared" si="14"/>
        <v>0.51249999999999996</v>
      </c>
      <c r="K55" s="93">
        <f>SUMIFS(Table1[Horas efetivas],Table1[Tabela],Plano_V3!E55,Table1[Campo],Plano_V3!F55)</f>
        <v>4.0999999999999996</v>
      </c>
      <c r="L55" s="93">
        <f t="shared" si="15"/>
        <v>0.51249999999999996</v>
      </c>
      <c r="M55" s="93">
        <f t="shared" si="16"/>
        <v>1</v>
      </c>
      <c r="N55" s="98" t="s">
        <v>56</v>
      </c>
      <c r="O55" s="99">
        <f t="shared" si="10"/>
        <v>0.51249999999999996</v>
      </c>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100"/>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87"/>
      <c r="EJ55" s="87"/>
      <c r="EK55" s="87"/>
      <c r="EL55" s="100"/>
      <c r="EM55" s="100"/>
      <c r="EN55" s="100"/>
      <c r="EO55" s="100"/>
      <c r="EP55" s="100"/>
      <c r="EQ55" s="100"/>
    </row>
    <row r="56" spans="1:147" outlineLevel="1">
      <c r="A56" s="31" t="str">
        <f t="shared" si="12"/>
        <v>cd_imv_out_prcmontante_eur</v>
      </c>
      <c r="B56" s="76" t="s">
        <v>28</v>
      </c>
      <c r="C56" s="77" t="s">
        <v>54</v>
      </c>
      <c r="D56" s="73" t="s">
        <v>40</v>
      </c>
      <c r="E56" s="75" t="s">
        <v>55</v>
      </c>
      <c r="F56" s="73" t="s">
        <v>70</v>
      </c>
      <c r="G56" s="73" t="str">
        <f>INDEX(Auxiliar!$B$16:$B$23,MATCH(Plano_V3!H56,Auxiliar!$C$16:$C$23,0),1)</f>
        <v>0. Cancelado</v>
      </c>
      <c r="H56" s="73">
        <f>VLOOKUP(A56,'Aux - pivots1'!$A:$B,2,0)</f>
        <v>0</v>
      </c>
      <c r="I56" s="94">
        <v>0</v>
      </c>
      <c r="J56" s="93">
        <f t="shared" si="14"/>
        <v>0</v>
      </c>
      <c r="K56" s="93">
        <f>SUMIFS(Table1[Horas efetivas],Table1[Tabela],Plano_V3!E56,Table1[Campo],Plano_V3!F56)</f>
        <v>0</v>
      </c>
      <c r="L56" s="93">
        <f t="shared" si="15"/>
        <v>0</v>
      </c>
      <c r="M56" s="93" t="e">
        <f t="shared" si="16"/>
        <v>#DIV/0!</v>
      </c>
      <c r="N56" s="98" t="s">
        <v>56</v>
      </c>
      <c r="O56" s="99">
        <f t="shared" si="10"/>
        <v>0</v>
      </c>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100"/>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87"/>
      <c r="EJ56" s="87"/>
      <c r="EK56" s="87"/>
      <c r="EL56" s="100"/>
      <c r="EM56" s="100"/>
      <c r="EN56" s="100"/>
      <c r="EO56" s="100"/>
      <c r="EP56" s="100"/>
      <c r="EQ56" s="100"/>
    </row>
    <row r="57" spans="1:147" outlineLevel="1">
      <c r="A57" s="31" t="str">
        <f t="shared" si="12"/>
        <v>cd_imv_out_prcmontante_org</v>
      </c>
      <c r="B57" s="76" t="s">
        <v>28</v>
      </c>
      <c r="C57" s="77" t="s">
        <v>54</v>
      </c>
      <c r="D57" s="73" t="s">
        <v>40</v>
      </c>
      <c r="E57" s="75" t="s">
        <v>55</v>
      </c>
      <c r="F57" s="73" t="s">
        <v>71</v>
      </c>
      <c r="G57" s="73" t="str">
        <f>INDEX(Auxiliar!$B$16:$B$23,MATCH(Plano_V3!H57,Auxiliar!$C$16:$C$23,0),1)</f>
        <v>0. Cancelado</v>
      </c>
      <c r="H57" s="73">
        <f>VLOOKUP(A57,'Aux - pivots1'!$A:$B,2,0)</f>
        <v>0</v>
      </c>
      <c r="I57" s="94">
        <v>0</v>
      </c>
      <c r="J57" s="93">
        <f t="shared" si="14"/>
        <v>0</v>
      </c>
      <c r="K57" s="93">
        <f>SUMIFS(Table1[Horas efetivas],Table1[Tabela],Plano_V3!E57,Table1[Campo],Plano_V3!F57)</f>
        <v>0</v>
      </c>
      <c r="L57" s="93">
        <f t="shared" si="15"/>
        <v>0</v>
      </c>
      <c r="M57" s="93" t="e">
        <f t="shared" si="16"/>
        <v>#DIV/0!</v>
      </c>
      <c r="N57" s="98" t="s">
        <v>56</v>
      </c>
      <c r="O57" s="99">
        <f t="shared" si="10"/>
        <v>0</v>
      </c>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100"/>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87"/>
      <c r="EJ57" s="87"/>
      <c r="EK57" s="87"/>
      <c r="EL57" s="100"/>
      <c r="EM57" s="100"/>
      <c r="EN57" s="100"/>
      <c r="EO57" s="100"/>
      <c r="EP57" s="100"/>
      <c r="EQ57" s="100"/>
    </row>
    <row r="58" spans="1:147" outlineLevel="1">
      <c r="A58" s="31" t="str">
        <f t="shared" si="12"/>
        <v>cd_imv_out_prcorigem</v>
      </c>
      <c r="B58" s="76" t="s">
        <v>28</v>
      </c>
      <c r="C58" s="77" t="s">
        <v>54</v>
      </c>
      <c r="D58" s="73" t="s">
        <v>40</v>
      </c>
      <c r="E58" s="75" t="s">
        <v>55</v>
      </c>
      <c r="F58" s="73" t="s">
        <v>72</v>
      </c>
      <c r="G58" s="73" t="str">
        <f>INDEX(Auxiliar!$B$16:$B$23,MATCH(Plano_V3!H58,Auxiliar!$C$16:$C$23,0),1)</f>
        <v>0. Cancelado</v>
      </c>
      <c r="H58" s="73">
        <f>VLOOKUP(A58,'Aux - pivots1'!$A:$B,2,0)</f>
        <v>0</v>
      </c>
      <c r="I58" s="93">
        <f>SUMIFS(Table1[Estimação (horas)],Table1[Tabela],Plano_V3!E58,Table1[Campo],Plano_V3!F58)</f>
        <v>4.0999999999999996</v>
      </c>
      <c r="J58" s="93">
        <f t="shared" si="14"/>
        <v>0.51249999999999996</v>
      </c>
      <c r="K58" s="93">
        <f>SUMIFS(Table1[Horas efetivas],Table1[Tabela],Plano_V3!E58,Table1[Campo],Plano_V3!F58)</f>
        <v>0</v>
      </c>
      <c r="L58" s="93">
        <f t="shared" si="15"/>
        <v>0</v>
      </c>
      <c r="M58" s="93">
        <f t="shared" si="16"/>
        <v>0</v>
      </c>
      <c r="N58" s="98" t="s">
        <v>56</v>
      </c>
      <c r="O58" s="99">
        <f t="shared" si="10"/>
        <v>0.51249999999999996</v>
      </c>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100"/>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87"/>
      <c r="EJ58" s="87"/>
      <c r="EK58" s="87"/>
      <c r="EL58" s="100"/>
      <c r="EM58" s="100"/>
      <c r="EN58" s="100"/>
      <c r="EO58" s="100"/>
      <c r="EP58" s="100"/>
      <c r="EQ58" s="100"/>
    </row>
    <row r="59" spans="1:147" outlineLevel="1">
      <c r="A59" s="31" t="str">
        <f t="shared" si="12"/>
        <v>cd_imv_out_prcref_date</v>
      </c>
      <c r="B59" s="76" t="s">
        <v>28</v>
      </c>
      <c r="C59" s="77" t="s">
        <v>54</v>
      </c>
      <c r="D59" s="73" t="s">
        <v>40</v>
      </c>
      <c r="E59" s="75" t="s">
        <v>55</v>
      </c>
      <c r="F59" s="73" t="s">
        <v>73</v>
      </c>
      <c r="G59" s="73" t="str">
        <f>INDEX(Auxiliar!$B$16:$B$23,MATCH(Plano_V3!H59,Auxiliar!$C$16:$C$23,0),1)</f>
        <v>1. Concluído</v>
      </c>
      <c r="H59" s="73">
        <f>VLOOKUP(A59,'Aux - pivots1'!$A:$B,2,0)</f>
        <v>1</v>
      </c>
      <c r="I59" s="93">
        <f>SUMIFS(Table1[Estimação (horas)],Table1[Tabela],Plano_V3!E59,Table1[Campo],Plano_V3!F59)</f>
        <v>4.0999999999999996</v>
      </c>
      <c r="J59" s="93">
        <f t="shared" si="14"/>
        <v>0.51249999999999996</v>
      </c>
      <c r="K59" s="93">
        <f>SUMIFS(Table1[Horas efetivas],Table1[Tabela],Plano_V3!E59,Table1[Campo],Plano_V3!F59)</f>
        <v>4.0999999999999996</v>
      </c>
      <c r="L59" s="93">
        <f t="shared" si="15"/>
        <v>0.51249999999999996</v>
      </c>
      <c r="M59" s="93">
        <f t="shared" si="16"/>
        <v>1</v>
      </c>
      <c r="N59" s="98" t="s">
        <v>56</v>
      </c>
      <c r="O59" s="99">
        <f t="shared" si="10"/>
        <v>0.51249999999999996</v>
      </c>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100"/>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87"/>
      <c r="EJ59" s="87"/>
      <c r="EK59" s="87"/>
      <c r="EL59" s="100"/>
      <c r="EM59" s="100"/>
      <c r="EN59" s="100"/>
      <c r="EO59" s="100"/>
      <c r="EP59" s="100"/>
      <c r="EQ59" s="100"/>
    </row>
    <row r="60" spans="1:147" outlineLevel="1">
      <c r="A60" s="31" t="str">
        <f t="shared" si="12"/>
        <v>cd_imv_out_trz_cred_prcn.a.</v>
      </c>
      <c r="B60" s="76" t="s">
        <v>28</v>
      </c>
      <c r="C60" s="77" t="s">
        <v>54</v>
      </c>
      <c r="D60" s="73" t="s">
        <v>36</v>
      </c>
      <c r="E60" s="75" t="s">
        <v>56</v>
      </c>
      <c r="F60" s="73" t="s">
        <v>38</v>
      </c>
      <c r="G60" s="73" t="str">
        <f>INDEX(Auxiliar!$B$16:$B$23,MATCH(Plano_V3!H60,Auxiliar!$C$16:$C$23,0),1)</f>
        <v>1. Concluído</v>
      </c>
      <c r="H60" s="73">
        <f>VLOOKUP(A60,'Aux - pivots1'!$A:$B,2,0)</f>
        <v>1</v>
      </c>
      <c r="I60" s="93">
        <f>SUMIFS(Table1[Estimação (horas)],Table1[Tabela],Plano_V3!E60,Table1[Campo],Plano_V3!F60)</f>
        <v>8</v>
      </c>
      <c r="J60" s="93">
        <f t="shared" si="14"/>
        <v>1</v>
      </c>
      <c r="K60" s="93">
        <f>SUMIFS(Table1[Horas efetivas],Table1[Tabela],Plano_V3!E60,Table1[Campo],Plano_V3!F60)</f>
        <v>8</v>
      </c>
      <c r="L60" s="93">
        <f t="shared" si="15"/>
        <v>1</v>
      </c>
      <c r="M60" s="93">
        <f t="shared" si="16"/>
        <v>1</v>
      </c>
      <c r="N60" s="98" t="s">
        <v>39</v>
      </c>
      <c r="O60" s="99">
        <f t="shared" si="10"/>
        <v>1</v>
      </c>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100"/>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87"/>
      <c r="EJ60" s="87"/>
      <c r="EK60" s="87"/>
      <c r="EL60" s="100"/>
      <c r="EM60" s="100"/>
      <c r="EN60" s="100"/>
      <c r="EO60" s="100"/>
      <c r="EP60" s="100"/>
      <c r="EQ60" s="100"/>
    </row>
    <row r="61" spans="1:147" outlineLevel="1">
      <c r="A61" s="31" t="str">
        <f t="shared" si="12"/>
        <v>cd_imv_out_trz_cred_prccempresa</v>
      </c>
      <c r="B61" s="76" t="s">
        <v>28</v>
      </c>
      <c r="C61" s="77" t="s">
        <v>54</v>
      </c>
      <c r="D61" s="73" t="s">
        <v>40</v>
      </c>
      <c r="E61" s="75" t="s">
        <v>56</v>
      </c>
      <c r="F61" s="73" t="s">
        <v>57</v>
      </c>
      <c r="G61" s="73" t="str">
        <f>INDEX(Auxiliar!$B$16:$B$23,MATCH(Plano_V3!H61,Auxiliar!$C$16:$C$23,0),1)</f>
        <v>1. Concluído</v>
      </c>
      <c r="H61" s="73">
        <f>VLOOKUP(A61,'Aux - pivots1'!$A:$B,2,0)</f>
        <v>1</v>
      </c>
      <c r="I61" s="93">
        <f>SUMIFS(Table1[Estimação (horas)],Table1[Tabela],Plano_V3!E61,Table1[Campo],Plano_V3!F61)</f>
        <v>8.1</v>
      </c>
      <c r="J61" s="93">
        <f t="shared" si="14"/>
        <v>1.0125</v>
      </c>
      <c r="K61" s="93">
        <f>SUMIFS(Table1[Horas efetivas],Table1[Tabela],Plano_V3!E61,Table1[Campo],Plano_V3!F61)</f>
        <v>8.1</v>
      </c>
      <c r="L61" s="93">
        <f t="shared" si="15"/>
        <v>1.0125</v>
      </c>
      <c r="M61" s="93">
        <f t="shared" si="16"/>
        <v>1</v>
      </c>
      <c r="N61" s="98" t="s">
        <v>39</v>
      </c>
      <c r="O61" s="99">
        <f t="shared" si="10"/>
        <v>1.0125</v>
      </c>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100"/>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87"/>
      <c r="EJ61" s="87"/>
      <c r="EK61" s="87"/>
      <c r="EL61" s="100"/>
      <c r="EM61" s="100"/>
      <c r="EN61" s="100"/>
      <c r="EO61" s="100"/>
      <c r="EP61" s="100"/>
      <c r="EQ61" s="100"/>
    </row>
    <row r="62" spans="1:147" outlineLevel="1">
      <c r="A62" s="31" t="str">
        <f t="shared" si="12"/>
        <v>cd_imv_out_trz_cred_prccempresp</v>
      </c>
      <c r="B62" s="76" t="s">
        <v>28</v>
      </c>
      <c r="C62" s="77" t="s">
        <v>54</v>
      </c>
      <c r="D62" s="73" t="s">
        <v>40</v>
      </c>
      <c r="E62" s="75" t="s">
        <v>56</v>
      </c>
      <c r="F62" s="73" t="s">
        <v>74</v>
      </c>
      <c r="G62" s="73" t="str">
        <f>INDEX(Auxiliar!$B$16:$B$23,MATCH(Plano_V3!H62,Auxiliar!$C$16:$C$23,0),1)</f>
        <v>1. Concluído</v>
      </c>
      <c r="H62" s="73">
        <f>VLOOKUP(A62,'Aux - pivots1'!$A:$B,2,0)</f>
        <v>1</v>
      </c>
      <c r="I62" s="93">
        <f>SUMIFS(Table1[Estimação (horas)],Table1[Tabela],Plano_V3!E62,Table1[Campo],Plano_V3!F62)</f>
        <v>8.1</v>
      </c>
      <c r="J62" s="93">
        <f t="shared" si="14"/>
        <v>1.0125</v>
      </c>
      <c r="K62" s="93">
        <f>SUMIFS(Table1[Horas efetivas],Table1[Tabela],Plano_V3!E62,Table1[Campo],Plano_V3!F62)</f>
        <v>8.1</v>
      </c>
      <c r="L62" s="93">
        <f t="shared" si="15"/>
        <v>1.0125</v>
      </c>
      <c r="M62" s="93">
        <f t="shared" si="16"/>
        <v>1</v>
      </c>
      <c r="N62" s="98" t="s">
        <v>39</v>
      </c>
      <c r="O62" s="99">
        <f t="shared" si="10"/>
        <v>1.0125</v>
      </c>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100"/>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87"/>
      <c r="EJ62" s="87"/>
      <c r="EK62" s="87"/>
      <c r="EL62" s="100"/>
      <c r="EM62" s="100"/>
      <c r="EN62" s="100"/>
      <c r="EO62" s="100"/>
      <c r="EP62" s="100"/>
      <c r="EQ62" s="100"/>
    </row>
    <row r="63" spans="1:147" outlineLevel="1">
      <c r="A63" s="31" t="str">
        <f t="shared" si="12"/>
        <v>cd_imv_out_trz_cred_prcckbalcao</v>
      </c>
      <c r="B63" s="76" t="s">
        <v>28</v>
      </c>
      <c r="C63" s="77" t="s">
        <v>54</v>
      </c>
      <c r="D63" s="73" t="s">
        <v>40</v>
      </c>
      <c r="E63" s="75" t="s">
        <v>56</v>
      </c>
      <c r="F63" s="73" t="s">
        <v>58</v>
      </c>
      <c r="G63" s="73" t="str">
        <f>INDEX(Auxiliar!$B$16:$B$23,MATCH(Plano_V3!H63,Auxiliar!$C$16:$C$23,0),1)</f>
        <v>1. Concluído</v>
      </c>
      <c r="H63" s="73">
        <f>VLOOKUP(A63,'Aux - pivots1'!$A:$B,2,0)</f>
        <v>1</v>
      </c>
      <c r="I63" s="93">
        <f>SUMIFS(Table1[Estimação (horas)],Table1[Tabela],Plano_V3!E63,Table1[Campo],Plano_V3!F63)</f>
        <v>8.1</v>
      </c>
      <c r="J63" s="93">
        <f t="shared" si="14"/>
        <v>1.0125</v>
      </c>
      <c r="K63" s="93">
        <f>SUMIFS(Table1[Horas efetivas],Table1[Tabela],Plano_V3!E63,Table1[Campo],Plano_V3!F63)</f>
        <v>8.1</v>
      </c>
      <c r="L63" s="93">
        <f t="shared" si="15"/>
        <v>1.0125</v>
      </c>
      <c r="M63" s="93">
        <f t="shared" si="16"/>
        <v>1</v>
      </c>
      <c r="N63" s="98" t="s">
        <v>39</v>
      </c>
      <c r="O63" s="99">
        <f t="shared" si="10"/>
        <v>1.0125</v>
      </c>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100"/>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87"/>
      <c r="EJ63" s="87"/>
      <c r="EK63" s="87"/>
      <c r="EL63" s="100"/>
      <c r="EM63" s="100"/>
      <c r="EN63" s="100"/>
      <c r="EO63" s="100"/>
      <c r="EP63" s="100"/>
      <c r="EQ63" s="100"/>
    </row>
    <row r="64" spans="1:147" outlineLevel="1">
      <c r="A64" s="31" t="str">
        <f t="shared" si="12"/>
        <v>cd_imv_out_trz_cred_prcckbalres</v>
      </c>
      <c r="B64" s="76" t="s">
        <v>28</v>
      </c>
      <c r="C64" s="77" t="s">
        <v>54</v>
      </c>
      <c r="D64" s="73" t="s">
        <v>40</v>
      </c>
      <c r="E64" s="75" t="s">
        <v>56</v>
      </c>
      <c r="F64" s="73" t="s">
        <v>75</v>
      </c>
      <c r="G64" s="73" t="str">
        <f>INDEX(Auxiliar!$B$16:$B$23,MATCH(Plano_V3!H64,Auxiliar!$C$16:$C$23,0),1)</f>
        <v>1. Concluído</v>
      </c>
      <c r="H64" s="73">
        <f>VLOOKUP(A64,'Aux - pivots1'!$A:$B,2,0)</f>
        <v>1</v>
      </c>
      <c r="I64" s="93">
        <f>SUMIFS(Table1[Estimação (horas)],Table1[Tabela],Plano_V3!E64,Table1[Campo],Plano_V3!F64)</f>
        <v>8.1</v>
      </c>
      <c r="J64" s="93">
        <f t="shared" si="14"/>
        <v>1.0125</v>
      </c>
      <c r="K64" s="93">
        <f>SUMIFS(Table1[Horas efetivas],Table1[Tabela],Plano_V3!E64,Table1[Campo],Plano_V3!F64)</f>
        <v>8.1</v>
      </c>
      <c r="L64" s="93">
        <f t="shared" si="15"/>
        <v>1.0125</v>
      </c>
      <c r="M64" s="93">
        <f t="shared" si="16"/>
        <v>1</v>
      </c>
      <c r="N64" s="98" t="s">
        <v>39</v>
      </c>
      <c r="O64" s="99">
        <f t="shared" si="10"/>
        <v>1.0125</v>
      </c>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100"/>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87"/>
      <c r="EJ64" s="87"/>
      <c r="EK64" s="87"/>
      <c r="EL64" s="100"/>
      <c r="EM64" s="100"/>
      <c r="EN64" s="100"/>
      <c r="EO64" s="100"/>
      <c r="EP64" s="100"/>
      <c r="EQ64" s="100"/>
    </row>
    <row r="65" spans="1:147" outlineLevel="1">
      <c r="A65" s="31" t="str">
        <f t="shared" si="12"/>
        <v>cd_imv_out_trz_cred_prcckctares</v>
      </c>
      <c r="B65" s="76" t="s">
        <v>28</v>
      </c>
      <c r="C65" s="77" t="s">
        <v>54</v>
      </c>
      <c r="D65" s="73" t="s">
        <v>40</v>
      </c>
      <c r="E65" s="75" t="s">
        <v>56</v>
      </c>
      <c r="F65" s="73" t="s">
        <v>76</v>
      </c>
      <c r="G65" s="73" t="str">
        <f>INDEX(Auxiliar!$B$16:$B$23,MATCH(Plano_V3!H65,Auxiliar!$C$16:$C$23,0),1)</f>
        <v>1. Concluído</v>
      </c>
      <c r="H65" s="73">
        <f>VLOOKUP(A65,'Aux - pivots1'!$A:$B,2,0)</f>
        <v>1</v>
      </c>
      <c r="I65" s="93">
        <f>SUMIFS(Table1[Estimação (horas)],Table1[Tabela],Plano_V3!E65,Table1[Campo],Plano_V3!F65)</f>
        <v>8.1</v>
      </c>
      <c r="J65" s="93">
        <f t="shared" si="14"/>
        <v>1.0125</v>
      </c>
      <c r="K65" s="93">
        <f>SUMIFS(Table1[Horas efetivas],Table1[Tabela],Plano_V3!E65,Table1[Campo],Plano_V3!F65)</f>
        <v>8.1</v>
      </c>
      <c r="L65" s="93">
        <f t="shared" si="15"/>
        <v>1.0125</v>
      </c>
      <c r="M65" s="93">
        <f t="shared" si="16"/>
        <v>1</v>
      </c>
      <c r="N65" s="98" t="s">
        <v>39</v>
      </c>
      <c r="O65" s="99">
        <f t="shared" si="10"/>
        <v>1.0125</v>
      </c>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100"/>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87"/>
      <c r="EJ65" s="87"/>
      <c r="EK65" s="87"/>
      <c r="EL65" s="100"/>
      <c r="EM65" s="100"/>
      <c r="EN65" s="100"/>
      <c r="EO65" s="100"/>
      <c r="EP65" s="100"/>
      <c r="EQ65" s="100"/>
    </row>
    <row r="66" spans="1:147" outlineLevel="1">
      <c r="A66" s="31" t="str">
        <f t="shared" si="12"/>
        <v>cd_imv_out_trz_cred_prccknumcta</v>
      </c>
      <c r="B66" s="76" t="s">
        <v>28</v>
      </c>
      <c r="C66" s="77" t="s">
        <v>54</v>
      </c>
      <c r="D66" s="73" t="s">
        <v>40</v>
      </c>
      <c r="E66" s="75" t="s">
        <v>56</v>
      </c>
      <c r="F66" s="73" t="s">
        <v>59</v>
      </c>
      <c r="G66" s="73" t="str">
        <f>INDEX(Auxiliar!$B$16:$B$23,MATCH(Plano_V3!H66,Auxiliar!$C$16:$C$23,0),1)</f>
        <v>1. Concluído</v>
      </c>
      <c r="H66" s="73">
        <f>VLOOKUP(A66,'Aux - pivots1'!$A:$B,2,0)</f>
        <v>1</v>
      </c>
      <c r="I66" s="93">
        <f>SUMIFS(Table1[Estimação (horas)],Table1[Tabela],Plano_V3!E66,Table1[Campo],Plano_V3!F66)</f>
        <v>8.1</v>
      </c>
      <c r="J66" s="93">
        <f t="shared" si="14"/>
        <v>1.0125</v>
      </c>
      <c r="K66" s="93">
        <f>SUMIFS(Table1[Horas efetivas],Table1[Tabela],Plano_V3!E66,Table1[Campo],Plano_V3!F66)</f>
        <v>8.1</v>
      </c>
      <c r="L66" s="93">
        <f t="shared" si="15"/>
        <v>1.0125</v>
      </c>
      <c r="M66" s="93">
        <f t="shared" si="16"/>
        <v>1</v>
      </c>
      <c r="N66" s="98" t="s">
        <v>39</v>
      </c>
      <c r="O66" s="99">
        <f t="shared" si="10"/>
        <v>1.0125</v>
      </c>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100"/>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87"/>
      <c r="EJ66" s="87"/>
      <c r="EK66" s="87"/>
      <c r="EL66" s="100"/>
      <c r="EM66" s="100"/>
      <c r="EN66" s="100"/>
      <c r="EO66" s="100"/>
      <c r="EP66" s="100"/>
      <c r="EQ66" s="100"/>
    </row>
    <row r="67" spans="1:147" outlineLevel="1">
      <c r="A67" s="31" t="str">
        <f t="shared" si="12"/>
        <v>cd_imv_out_trz_cred_prcckrefresp</v>
      </c>
      <c r="B67" s="76" t="s">
        <v>28</v>
      </c>
      <c r="C67" s="77" t="s">
        <v>54</v>
      </c>
      <c r="D67" s="73" t="s">
        <v>40</v>
      </c>
      <c r="E67" s="75" t="s">
        <v>56</v>
      </c>
      <c r="F67" s="73" t="s">
        <v>77</v>
      </c>
      <c r="G67" s="73" t="str">
        <f>INDEX(Auxiliar!$B$16:$B$23,MATCH(Plano_V3!H67,Auxiliar!$C$16:$C$23,0),1)</f>
        <v>1. Concluído</v>
      </c>
      <c r="H67" s="73">
        <f>VLOOKUP(A67,'Aux - pivots1'!$A:$B,2,0)</f>
        <v>1</v>
      </c>
      <c r="I67" s="93">
        <f>SUMIFS(Table1[Estimação (horas)],Table1[Tabela],Plano_V3!E67,Table1[Campo],Plano_V3!F67)</f>
        <v>8.1</v>
      </c>
      <c r="J67" s="93">
        <f t="shared" si="14"/>
        <v>1.0125</v>
      </c>
      <c r="K67" s="93">
        <f>SUMIFS(Table1[Horas efetivas],Table1[Tabela],Plano_V3!E67,Table1[Campo],Plano_V3!F67)</f>
        <v>8.1</v>
      </c>
      <c r="L67" s="93">
        <f t="shared" si="15"/>
        <v>1.0125</v>
      </c>
      <c r="M67" s="93">
        <f t="shared" si="16"/>
        <v>1</v>
      </c>
      <c r="N67" s="98" t="s">
        <v>39</v>
      </c>
      <c r="O67" s="99">
        <f t="shared" si="10"/>
        <v>1.0125</v>
      </c>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100"/>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87"/>
      <c r="EJ67" s="87"/>
      <c r="EK67" s="87"/>
      <c r="EL67" s="100"/>
      <c r="EM67" s="100"/>
      <c r="EN67" s="100"/>
      <c r="EO67" s="100"/>
      <c r="EP67" s="100"/>
      <c r="EQ67" s="100"/>
    </row>
    <row r="68" spans="1:147" outlineLevel="1">
      <c r="A68" s="31" t="str">
        <f t="shared" si="12"/>
        <v>cd_imv_out_trz_cred_prccod_fnld</v>
      </c>
      <c r="B68" s="76" t="s">
        <v>28</v>
      </c>
      <c r="C68" s="77" t="s">
        <v>54</v>
      </c>
      <c r="D68" s="73" t="s">
        <v>40</v>
      </c>
      <c r="E68" s="75" t="s">
        <v>56</v>
      </c>
      <c r="F68" s="73" t="s">
        <v>78</v>
      </c>
      <c r="G68" s="73" t="str">
        <f>INDEX(Auxiliar!$B$16:$B$23,MATCH(Plano_V3!H68,Auxiliar!$C$16:$C$23,0),1)</f>
        <v>1. Concluído</v>
      </c>
      <c r="H68" s="73">
        <f>VLOOKUP(A68,'Aux - pivots1'!$A:$B,2,0)</f>
        <v>1</v>
      </c>
      <c r="I68" s="93">
        <f>SUMIFS(Table1[Estimação (horas)],Table1[Tabela],Plano_V3!E68,Table1[Campo],Plano_V3!F68)</f>
        <v>8.1</v>
      </c>
      <c r="J68" s="93">
        <f t="shared" si="14"/>
        <v>1.0125</v>
      </c>
      <c r="K68" s="93">
        <f>SUMIFS(Table1[Horas efetivas],Table1[Tabela],Plano_V3!E68,Table1[Campo],Plano_V3!F68)</f>
        <v>8.1</v>
      </c>
      <c r="L68" s="93">
        <f t="shared" si="15"/>
        <v>1.0125</v>
      </c>
      <c r="M68" s="93">
        <f t="shared" si="16"/>
        <v>1</v>
      </c>
      <c r="N68" s="98" t="s">
        <v>39</v>
      </c>
      <c r="O68" s="99">
        <f t="shared" si="10"/>
        <v>1.0125</v>
      </c>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100"/>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87"/>
      <c r="EJ68" s="87"/>
      <c r="EK68" s="87"/>
      <c r="EL68" s="100"/>
      <c r="EM68" s="100"/>
      <c r="EN68" s="100"/>
      <c r="EO68" s="100"/>
      <c r="EP68" s="100"/>
      <c r="EQ68" s="100"/>
    </row>
    <row r="69" spans="1:147" outlineLevel="1">
      <c r="A69" s="31" t="str">
        <f t="shared" si="12"/>
        <v>cd_imv_out_trz_cred_prccod_ocupacao</v>
      </c>
      <c r="B69" s="76" t="s">
        <v>28</v>
      </c>
      <c r="C69" s="77" t="s">
        <v>54</v>
      </c>
      <c r="D69" s="73" t="s">
        <v>40</v>
      </c>
      <c r="E69" s="75" t="s">
        <v>56</v>
      </c>
      <c r="F69" s="73" t="s">
        <v>79</v>
      </c>
      <c r="G69" s="73" t="str">
        <f>INDEX(Auxiliar!$B$16:$B$23,MATCH(Plano_V3!H69,Auxiliar!$C$16:$C$23,0),1)</f>
        <v>1. Concluído</v>
      </c>
      <c r="H69" s="73">
        <f>VLOOKUP(A69,'Aux - pivots1'!$A:$B,2,0)</f>
        <v>1</v>
      </c>
      <c r="I69" s="93">
        <f>SUMIFS(Table1[Estimação (horas)],Table1[Tabela],Plano_V3!E69,Table1[Campo],Plano_V3!F69)</f>
        <v>8.1</v>
      </c>
      <c r="J69" s="93">
        <f t="shared" si="14"/>
        <v>1.0125</v>
      </c>
      <c r="K69" s="93">
        <f>SUMIFS(Table1[Horas efetivas],Table1[Tabela],Plano_V3!E69,Table1[Campo],Plano_V3!F69)</f>
        <v>8.1</v>
      </c>
      <c r="L69" s="93">
        <f t="shared" si="15"/>
        <v>1.0125</v>
      </c>
      <c r="M69" s="93">
        <f t="shared" si="16"/>
        <v>1</v>
      </c>
      <c r="N69" s="98" t="s">
        <v>39</v>
      </c>
      <c r="O69" s="99">
        <f t="shared" si="10"/>
        <v>1.0125</v>
      </c>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100"/>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87"/>
      <c r="EJ69" s="87"/>
      <c r="EK69" s="87"/>
      <c r="EL69" s="100"/>
      <c r="EM69" s="100"/>
      <c r="EN69" s="100"/>
      <c r="EO69" s="100"/>
      <c r="EP69" s="100"/>
      <c r="EQ69" s="100"/>
    </row>
    <row r="70" spans="1:147" outlineLevel="1">
      <c r="A70" s="31" t="str">
        <f t="shared" si="12"/>
        <v>cd_imv_out_trz_cred_prccod_prd_resp</v>
      </c>
      <c r="B70" s="76" t="s">
        <v>28</v>
      </c>
      <c r="C70" s="77" t="s">
        <v>54</v>
      </c>
      <c r="D70" s="73" t="s">
        <v>40</v>
      </c>
      <c r="E70" s="75" t="s">
        <v>56</v>
      </c>
      <c r="F70" s="73" t="s">
        <v>80</v>
      </c>
      <c r="G70" s="73" t="str">
        <f>INDEX(Auxiliar!$B$16:$B$23,MATCH(Plano_V3!H70,Auxiliar!$C$16:$C$23,0),1)</f>
        <v>1. Concluído</v>
      </c>
      <c r="H70" s="73">
        <f>VLOOKUP(A70,'Aux - pivots1'!$A:$B,2,0)</f>
        <v>1</v>
      </c>
      <c r="I70" s="93">
        <f>SUMIFS(Table1[Estimação (horas)],Table1[Tabela],Plano_V3!E70,Table1[Campo],Plano_V3!F70)</f>
        <v>8.1</v>
      </c>
      <c r="J70" s="93">
        <f t="shared" si="14"/>
        <v>1.0125</v>
      </c>
      <c r="K70" s="93">
        <f>SUMIFS(Table1[Horas efetivas],Table1[Tabela],Plano_V3!E70,Table1[Campo],Plano_V3!F70)</f>
        <v>8.1</v>
      </c>
      <c r="L70" s="93">
        <f t="shared" si="15"/>
        <v>1.0125</v>
      </c>
      <c r="M70" s="93">
        <f t="shared" si="16"/>
        <v>1</v>
      </c>
      <c r="N70" s="98" t="s">
        <v>39</v>
      </c>
      <c r="O70" s="99">
        <f t="shared" si="10"/>
        <v>1.0125</v>
      </c>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100"/>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87"/>
      <c r="EJ70" s="87"/>
      <c r="EK70" s="87"/>
      <c r="EL70" s="100"/>
      <c r="EM70" s="100"/>
      <c r="EN70" s="100"/>
      <c r="EO70" s="100"/>
      <c r="EP70" s="100"/>
      <c r="EQ70" s="100"/>
    </row>
    <row r="71" spans="1:147" outlineLevel="1">
      <c r="A71" s="31" t="str">
        <f t="shared" si="12"/>
        <v>cd_imv_out_trz_cred_prccod_sit</v>
      </c>
      <c r="B71" s="76" t="s">
        <v>28</v>
      </c>
      <c r="C71" s="77" t="s">
        <v>54</v>
      </c>
      <c r="D71" s="73" t="s">
        <v>40</v>
      </c>
      <c r="E71" s="75" t="s">
        <v>56</v>
      </c>
      <c r="F71" s="73" t="s">
        <v>81</v>
      </c>
      <c r="G71" s="73" t="str">
        <f>INDEX(Auxiliar!$B$16:$B$23,MATCH(Plano_V3!H71,Auxiliar!$C$16:$C$23,0),1)</f>
        <v>0. Cancelado</v>
      </c>
      <c r="H71" s="73">
        <f>VLOOKUP(A71,'Aux - pivots1'!$A:$B,2,0)</f>
        <v>0</v>
      </c>
      <c r="I71" s="94">
        <v>0</v>
      </c>
      <c r="J71" s="93">
        <f t="shared" si="14"/>
        <v>0</v>
      </c>
      <c r="K71" s="93">
        <f>SUMIFS(Table1[Horas efetivas],Table1[Tabela],Plano_V3!E71,Table1[Campo],Plano_V3!F71)</f>
        <v>0</v>
      </c>
      <c r="L71" s="93">
        <f t="shared" si="15"/>
        <v>0</v>
      </c>
      <c r="M71" s="93" t="e">
        <f t="shared" si="16"/>
        <v>#DIV/0!</v>
      </c>
      <c r="N71" s="98" t="s">
        <v>39</v>
      </c>
      <c r="O71" s="99">
        <f t="shared" si="10"/>
        <v>0</v>
      </c>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100"/>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87"/>
      <c r="EJ71" s="87"/>
      <c r="EK71" s="87"/>
      <c r="EL71" s="100"/>
      <c r="EM71" s="100"/>
      <c r="EN71" s="100"/>
      <c r="EO71" s="100"/>
      <c r="EP71" s="100"/>
      <c r="EQ71" s="100"/>
    </row>
    <row r="72" spans="1:147" outlineLevel="1">
      <c r="A72" s="31" t="str">
        <f t="shared" si="12"/>
        <v>cd_imv_out_trz_cred_prccod_sprd_resp</v>
      </c>
      <c r="B72" s="76" t="s">
        <v>28</v>
      </c>
      <c r="C72" s="77" t="s">
        <v>54</v>
      </c>
      <c r="D72" s="73" t="s">
        <v>40</v>
      </c>
      <c r="E72" s="75" t="s">
        <v>56</v>
      </c>
      <c r="F72" s="73" t="s">
        <v>82</v>
      </c>
      <c r="G72" s="73" t="str">
        <f>INDEX(Auxiliar!$B$16:$B$23,MATCH(Plano_V3!H72,Auxiliar!$C$16:$C$23,0),1)</f>
        <v>1. Concluído</v>
      </c>
      <c r="H72" s="73">
        <f>VLOOKUP(A72,'Aux - pivots1'!$A:$B,2,0)</f>
        <v>1</v>
      </c>
      <c r="I72" s="93">
        <f>SUMIFS(Table1[Estimação (horas)],Table1[Tabela],Plano_V3!E72,Table1[Campo],Plano_V3!F72)</f>
        <v>8.1</v>
      </c>
      <c r="J72" s="93">
        <f t="shared" si="14"/>
        <v>1.0125</v>
      </c>
      <c r="K72" s="93">
        <f>SUMIFS(Table1[Horas efetivas],Table1[Tabela],Plano_V3!E72,Table1[Campo],Plano_V3!F72)</f>
        <v>8.1</v>
      </c>
      <c r="L72" s="93">
        <f t="shared" si="15"/>
        <v>1.0125</v>
      </c>
      <c r="M72" s="93">
        <f t="shared" si="16"/>
        <v>1</v>
      </c>
      <c r="N72" s="98" t="s">
        <v>39</v>
      </c>
      <c r="O72" s="99">
        <f t="shared" si="10"/>
        <v>1.0125</v>
      </c>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100"/>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87"/>
      <c r="EJ72" s="87"/>
      <c r="EK72" s="87"/>
      <c r="EL72" s="100"/>
      <c r="EM72" s="100"/>
      <c r="EN72" s="100"/>
      <c r="EO72" s="100"/>
      <c r="EP72" s="100"/>
      <c r="EQ72" s="100"/>
    </row>
    <row r="73" spans="1:147" outlineLevel="1">
      <c r="A73" s="31" t="str">
        <f t="shared" si="12"/>
        <v>cd_imv_out_trz_cred_prccomp_id_gar</v>
      </c>
      <c r="B73" s="76" t="s">
        <v>28</v>
      </c>
      <c r="C73" s="77" t="s">
        <v>54</v>
      </c>
      <c r="D73" s="73" t="s">
        <v>40</v>
      </c>
      <c r="E73" s="75" t="s">
        <v>56</v>
      </c>
      <c r="F73" s="73" t="s">
        <v>67</v>
      </c>
      <c r="G73" s="73" t="str">
        <f>INDEX(Auxiliar!$B$16:$B$23,MATCH(Plano_V3!H73,Auxiliar!$C$16:$C$23,0),1)</f>
        <v>1. Concluído</v>
      </c>
      <c r="H73" s="73">
        <f>VLOOKUP(A73,'Aux - pivots1'!$A:$B,2,0)</f>
        <v>1</v>
      </c>
      <c r="I73" s="93">
        <f>SUMIFS(Table1[Estimação (horas)],Table1[Tabela],Plano_V3!E73,Table1[Campo],Plano_V3!F73)</f>
        <v>8.1</v>
      </c>
      <c r="J73" s="93">
        <f t="shared" si="14"/>
        <v>1.0125</v>
      </c>
      <c r="K73" s="93">
        <f>SUMIFS(Table1[Horas efetivas],Table1[Tabela],Plano_V3!E73,Table1[Campo],Plano_V3!F73)</f>
        <v>8.1</v>
      </c>
      <c r="L73" s="93">
        <f t="shared" si="15"/>
        <v>1.0125</v>
      </c>
      <c r="M73" s="93">
        <f t="shared" si="16"/>
        <v>1</v>
      </c>
      <c r="N73" s="98" t="s">
        <v>39</v>
      </c>
      <c r="O73" s="99">
        <f t="shared" si="10"/>
        <v>1.0125</v>
      </c>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100"/>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87"/>
      <c r="EJ73" s="87"/>
      <c r="EK73" s="87"/>
      <c r="EL73" s="100"/>
      <c r="EM73" s="100"/>
      <c r="EN73" s="100"/>
      <c r="EO73" s="100"/>
      <c r="EP73" s="100"/>
      <c r="EQ73" s="100"/>
    </row>
    <row r="74" spans="1:147" outlineLevel="1">
      <c r="A74" s="31" t="str">
        <f t="shared" si="12"/>
        <v>cd_imv_out_trz_cred_prcdata_fim</v>
      </c>
      <c r="B74" s="76" t="s">
        <v>28</v>
      </c>
      <c r="C74" s="77" t="s">
        <v>54</v>
      </c>
      <c r="D74" s="73" t="s">
        <v>40</v>
      </c>
      <c r="E74" s="75" t="s">
        <v>56</v>
      </c>
      <c r="F74" s="73" t="s">
        <v>83</v>
      </c>
      <c r="G74" s="73" t="str">
        <f>INDEX(Auxiliar!$B$16:$B$23,MATCH(Plano_V3!H74,Auxiliar!$C$16:$C$23,0),1)</f>
        <v>1. Concluído</v>
      </c>
      <c r="H74" s="73">
        <f>VLOOKUP(A74,'Aux - pivots1'!$A:$B,2,0)</f>
        <v>1</v>
      </c>
      <c r="I74" s="93">
        <f>SUMIFS(Table1[Estimação (horas)],Table1[Tabela],Plano_V3!E74,Table1[Campo],Plano_V3!F74)</f>
        <v>8.1</v>
      </c>
      <c r="J74" s="93">
        <f t="shared" si="14"/>
        <v>1.0125</v>
      </c>
      <c r="K74" s="93">
        <f>SUMIFS(Table1[Horas efetivas],Table1[Tabela],Plano_V3!E74,Table1[Campo],Plano_V3!F74)</f>
        <v>8.1</v>
      </c>
      <c r="L74" s="93">
        <f t="shared" si="15"/>
        <v>1.0125</v>
      </c>
      <c r="M74" s="93">
        <f t="shared" si="16"/>
        <v>1</v>
      </c>
      <c r="N74" s="98" t="s">
        <v>39</v>
      </c>
      <c r="O74" s="99">
        <f t="shared" si="10"/>
        <v>1.0125</v>
      </c>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100"/>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87"/>
      <c r="EJ74" s="87"/>
      <c r="EK74" s="87"/>
      <c r="EL74" s="100"/>
      <c r="EM74" s="100"/>
      <c r="EN74" s="100"/>
      <c r="EO74" s="100"/>
      <c r="EP74" s="100"/>
      <c r="EQ74" s="100"/>
    </row>
    <row r="75" spans="1:147" outlineLevel="1">
      <c r="A75" s="31" t="str">
        <f t="shared" si="12"/>
        <v>cd_imv_out_trz_cred_prcdata_inicio</v>
      </c>
      <c r="B75" s="76" t="s">
        <v>28</v>
      </c>
      <c r="C75" s="77" t="s">
        <v>54</v>
      </c>
      <c r="D75" s="73" t="s">
        <v>40</v>
      </c>
      <c r="E75" s="75" t="s">
        <v>56</v>
      </c>
      <c r="F75" s="73" t="s">
        <v>68</v>
      </c>
      <c r="G75" s="73" t="str">
        <f>INDEX(Auxiliar!$B$16:$B$23,MATCH(Plano_V3!H75,Auxiliar!$C$16:$C$23,0),1)</f>
        <v>1. Concluído</v>
      </c>
      <c r="H75" s="73">
        <f>VLOOKUP(A75,'Aux - pivots1'!$A:$B,2,0)</f>
        <v>1</v>
      </c>
      <c r="I75" s="93">
        <f>SUMIFS(Table1[Estimação (horas)],Table1[Tabela],Plano_V3!E75,Table1[Campo],Plano_V3!F75)</f>
        <v>8.1</v>
      </c>
      <c r="J75" s="93">
        <f t="shared" si="14"/>
        <v>1.0125</v>
      </c>
      <c r="K75" s="93">
        <f>SUMIFS(Table1[Horas efetivas],Table1[Tabela],Plano_V3!E75,Table1[Campo],Plano_V3!F75)</f>
        <v>8.1</v>
      </c>
      <c r="L75" s="93">
        <f t="shared" si="15"/>
        <v>1.0125</v>
      </c>
      <c r="M75" s="93">
        <f t="shared" si="16"/>
        <v>1</v>
      </c>
      <c r="N75" s="98" t="s">
        <v>39</v>
      </c>
      <c r="O75" s="99">
        <f t="shared" si="10"/>
        <v>1.0125</v>
      </c>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100"/>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87"/>
      <c r="EJ75" s="87"/>
      <c r="EK75" s="87"/>
      <c r="EL75" s="100"/>
      <c r="EM75" s="100"/>
      <c r="EN75" s="100"/>
      <c r="EO75" s="100"/>
      <c r="EP75" s="100"/>
      <c r="EQ75" s="100"/>
    </row>
    <row r="76" spans="1:147" outlineLevel="1">
      <c r="A76" s="31" t="str">
        <f t="shared" si="12"/>
        <v>cd_imv_out_trz_cred_prcdata_vcmt</v>
      </c>
      <c r="B76" s="76" t="s">
        <v>28</v>
      </c>
      <c r="C76" s="77" t="s">
        <v>54</v>
      </c>
      <c r="D76" s="73" t="s">
        <v>40</v>
      </c>
      <c r="E76" s="75" t="s">
        <v>56</v>
      </c>
      <c r="F76" s="73" t="s">
        <v>69</v>
      </c>
      <c r="G76" s="73" t="str">
        <f>INDEX(Auxiliar!$B$16:$B$23,MATCH(Plano_V3!H76,Auxiliar!$C$16:$C$23,0),1)</f>
        <v>1. Concluído</v>
      </c>
      <c r="H76" s="73">
        <f>VLOOKUP(A76,'Aux - pivots1'!$A:$B,2,0)</f>
        <v>1</v>
      </c>
      <c r="I76" s="93">
        <f>SUMIFS(Table1[Estimação (horas)],Table1[Tabela],Plano_V3!E76,Table1[Campo],Plano_V3!F76)</f>
        <v>8.1</v>
      </c>
      <c r="J76" s="93">
        <f t="shared" si="14"/>
        <v>1.0125</v>
      </c>
      <c r="K76" s="93">
        <f>SUMIFS(Table1[Horas efetivas],Table1[Tabela],Plano_V3!E76,Table1[Campo],Plano_V3!F76)</f>
        <v>8.1</v>
      </c>
      <c r="L76" s="93">
        <f t="shared" si="15"/>
        <v>1.0125</v>
      </c>
      <c r="M76" s="93">
        <f t="shared" si="16"/>
        <v>1</v>
      </c>
      <c r="N76" s="98" t="s">
        <v>39</v>
      </c>
      <c r="O76" s="99">
        <f t="shared" si="10"/>
        <v>1.0125</v>
      </c>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100"/>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87"/>
      <c r="EJ76" s="87"/>
      <c r="EK76" s="87"/>
      <c r="EL76" s="100"/>
      <c r="EM76" s="100"/>
      <c r="EN76" s="100"/>
      <c r="EO76" s="100"/>
      <c r="EP76" s="100"/>
      <c r="EQ76" s="100"/>
    </row>
    <row r="77" spans="1:147" outlineLevel="1">
      <c r="A77" s="31" t="str">
        <f t="shared" si="12"/>
        <v>cd_imv_out_trz_cred_prcidetgar</v>
      </c>
      <c r="B77" s="76" t="s">
        <v>28</v>
      </c>
      <c r="C77" s="77" t="s">
        <v>54</v>
      </c>
      <c r="D77" s="73" t="s">
        <v>40</v>
      </c>
      <c r="E77" s="75" t="s">
        <v>56</v>
      </c>
      <c r="F77" s="73" t="s">
        <v>84</v>
      </c>
      <c r="G77" s="73" t="str">
        <f>INDEX(Auxiliar!$B$16:$B$23,MATCH(Plano_V3!H77,Auxiliar!$C$16:$C$23,0),1)</f>
        <v>0. Cancelado</v>
      </c>
      <c r="H77" s="73">
        <f>VLOOKUP(A77,'Aux - pivots1'!$A:$B,2,0)</f>
        <v>0</v>
      </c>
      <c r="I77" s="94">
        <v>0</v>
      </c>
      <c r="J77" s="93">
        <f t="shared" si="14"/>
        <v>0</v>
      </c>
      <c r="K77" s="93">
        <f>SUMIFS(Table1[Horas efetivas],Table1[Tabela],Plano_V3!E77,Table1[Campo],Plano_V3!F77)</f>
        <v>0</v>
      </c>
      <c r="L77" s="93">
        <f t="shared" si="15"/>
        <v>0</v>
      </c>
      <c r="M77" s="93" t="e">
        <f t="shared" si="16"/>
        <v>#DIV/0!</v>
      </c>
      <c r="N77" s="98" t="s">
        <v>39</v>
      </c>
      <c r="O77" s="99">
        <f t="shared" si="10"/>
        <v>0</v>
      </c>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100"/>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87"/>
      <c r="EJ77" s="87"/>
      <c r="EK77" s="87"/>
      <c r="EL77" s="100"/>
      <c r="EM77" s="100"/>
      <c r="EN77" s="100"/>
      <c r="EO77" s="100"/>
      <c r="EP77" s="100"/>
      <c r="EQ77" s="100"/>
    </row>
    <row r="78" spans="1:147" outlineLevel="1">
      <c r="A78" s="31" t="str">
        <f t="shared" si="12"/>
        <v>cd_imv_out_trz_cred_prcnum_prop</v>
      </c>
      <c r="B78" s="76" t="s">
        <v>28</v>
      </c>
      <c r="C78" s="77" t="s">
        <v>54</v>
      </c>
      <c r="D78" s="73" t="s">
        <v>40</v>
      </c>
      <c r="E78" s="75" t="s">
        <v>56</v>
      </c>
      <c r="F78" s="73" t="s">
        <v>85</v>
      </c>
      <c r="G78" s="73" t="str">
        <f>INDEX(Auxiliar!$B$16:$B$23,MATCH(Plano_V3!H78,Auxiliar!$C$16:$C$23,0),1)</f>
        <v>0. Cancelado</v>
      </c>
      <c r="H78" s="73">
        <f>VLOOKUP(A78,'Aux - pivots1'!$A:$B,2,0)</f>
        <v>0</v>
      </c>
      <c r="I78" s="94">
        <v>0</v>
      </c>
      <c r="J78" s="93">
        <f t="shared" si="14"/>
        <v>0</v>
      </c>
      <c r="K78" s="93">
        <f>SUMIFS(Table1[Horas efetivas],Table1[Tabela],Plano_V3!E78,Table1[Campo],Plano_V3!F78)</f>
        <v>0</v>
      </c>
      <c r="L78" s="93">
        <f t="shared" si="15"/>
        <v>0</v>
      </c>
      <c r="M78" s="93" t="e">
        <f t="shared" si="16"/>
        <v>#DIV/0!</v>
      </c>
      <c r="N78" s="98" t="s">
        <v>39</v>
      </c>
      <c r="O78" s="99">
        <f t="shared" si="10"/>
        <v>0</v>
      </c>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100"/>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87"/>
      <c r="EJ78" s="87"/>
      <c r="EK78" s="87"/>
      <c r="EL78" s="100"/>
      <c r="EM78" s="100"/>
      <c r="EN78" s="100"/>
      <c r="EO78" s="100"/>
      <c r="EP78" s="100"/>
      <c r="EQ78" s="100"/>
    </row>
    <row r="79" spans="1:147" outlineLevel="1">
      <c r="A79" s="31" t="str">
        <f t="shared" si="12"/>
        <v>cd_imv_out_trz_cred_prcorigem</v>
      </c>
      <c r="B79" s="76" t="s">
        <v>28</v>
      </c>
      <c r="C79" s="77" t="s">
        <v>54</v>
      </c>
      <c r="D79" s="73" t="s">
        <v>40</v>
      </c>
      <c r="E79" s="75" t="s">
        <v>56</v>
      </c>
      <c r="F79" s="73" t="s">
        <v>72</v>
      </c>
      <c r="G79" s="73" t="str">
        <f>INDEX(Auxiliar!$B$16:$B$23,MATCH(Plano_V3!H79,Auxiliar!$C$16:$C$23,0),1)</f>
        <v>1. Concluído</v>
      </c>
      <c r="H79" s="73">
        <f>VLOOKUP(A79,'Aux - pivots1'!$A:$B,2,0)</f>
        <v>1</v>
      </c>
      <c r="I79" s="93">
        <f>SUMIFS(Table1[Estimação (horas)],Table1[Tabela],Plano_V3!E79,Table1[Campo],Plano_V3!F79)</f>
        <v>4.0999999999999996</v>
      </c>
      <c r="J79" s="93">
        <f t="shared" si="14"/>
        <v>0.51249999999999996</v>
      </c>
      <c r="K79" s="93">
        <f>SUMIFS(Table1[Horas efetivas],Table1[Tabela],Plano_V3!E79,Table1[Campo],Plano_V3!F79)</f>
        <v>4.0999999999999996</v>
      </c>
      <c r="L79" s="93">
        <f t="shared" si="15"/>
        <v>0.51249999999999996</v>
      </c>
      <c r="M79" s="93">
        <f t="shared" si="16"/>
        <v>1</v>
      </c>
      <c r="N79" s="98" t="s">
        <v>39</v>
      </c>
      <c r="O79" s="99">
        <f t="shared" si="10"/>
        <v>0.51249999999999996</v>
      </c>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100"/>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87"/>
      <c r="EJ79" s="87"/>
      <c r="EK79" s="87"/>
      <c r="EL79" s="100"/>
      <c r="EM79" s="100"/>
      <c r="EN79" s="100"/>
      <c r="EO79" s="100"/>
      <c r="EP79" s="100"/>
      <c r="EQ79" s="100"/>
    </row>
    <row r="80" spans="1:147" outlineLevel="1">
      <c r="A80" s="31" t="str">
        <f t="shared" si="12"/>
        <v>cd_imv_out_trz_cred_prcref_date</v>
      </c>
      <c r="B80" s="76" t="s">
        <v>28</v>
      </c>
      <c r="C80" s="77" t="s">
        <v>54</v>
      </c>
      <c r="D80" s="73" t="s">
        <v>40</v>
      </c>
      <c r="E80" s="75" t="s">
        <v>56</v>
      </c>
      <c r="F80" s="73" t="s">
        <v>73</v>
      </c>
      <c r="G80" s="73" t="str">
        <f>INDEX(Auxiliar!$B$16:$B$23,MATCH(Plano_V3!H80,Auxiliar!$C$16:$C$23,0),1)</f>
        <v>1. Concluído</v>
      </c>
      <c r="H80" s="73">
        <f>VLOOKUP(A80,'Aux - pivots1'!$A:$B,2,0)</f>
        <v>1</v>
      </c>
      <c r="I80" s="93">
        <f>SUMIFS(Table1[Estimação (horas)],Table1[Tabela],Plano_V3!E80,Table1[Campo],Plano_V3!F80)</f>
        <v>4.0999999999999996</v>
      </c>
      <c r="J80" s="93">
        <f t="shared" si="14"/>
        <v>0.51249999999999996</v>
      </c>
      <c r="K80" s="93">
        <f>SUMIFS(Table1[Horas efetivas],Table1[Tabela],Plano_V3!E80,Table1[Campo],Plano_V3!F80)</f>
        <v>4.0999999999999996</v>
      </c>
      <c r="L80" s="93">
        <f t="shared" si="15"/>
        <v>0.51249999999999996</v>
      </c>
      <c r="M80" s="93">
        <f t="shared" si="16"/>
        <v>1</v>
      </c>
      <c r="N80" s="98" t="s">
        <v>39</v>
      </c>
      <c r="O80" s="99">
        <f t="shared" si="10"/>
        <v>0.51249999999999996</v>
      </c>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100"/>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87"/>
      <c r="EJ80" s="87"/>
      <c r="EK80" s="87"/>
      <c r="EL80" s="100"/>
      <c r="EM80" s="100"/>
      <c r="EN80" s="100"/>
      <c r="EO80" s="100"/>
      <c r="EP80" s="100"/>
      <c r="EQ80" s="100"/>
    </row>
    <row r="81" spans="1:147" outlineLevel="1">
      <c r="A81" s="31" t="str">
        <f t="shared" si="12"/>
        <v>cd_imv_out_trz_prc_bens_imvn.a.</v>
      </c>
      <c r="B81" s="76" t="s">
        <v>28</v>
      </c>
      <c r="C81" s="77" t="s">
        <v>54</v>
      </c>
      <c r="D81" s="73" t="s">
        <v>36</v>
      </c>
      <c r="E81" s="75" t="s">
        <v>86</v>
      </c>
      <c r="F81" s="73" t="s">
        <v>38</v>
      </c>
      <c r="G81" s="73" t="str">
        <f>INDEX(Auxiliar!$B$16:$B$23,MATCH(Plano_V3!H81,Auxiliar!$C$16:$C$23,0),1)</f>
        <v>1. Concluído</v>
      </c>
      <c r="H81" s="73">
        <f>VLOOKUP(A81,'Aux - pivots1'!$A:$B,2,0)</f>
        <v>1</v>
      </c>
      <c r="I81" s="93">
        <f>SUMIFS(Table1[Estimação (horas)],Table1[Tabela],Plano_V3!E81,Table1[Campo],Plano_V3!F81)</f>
        <v>8</v>
      </c>
      <c r="J81" s="93">
        <f t="shared" si="14"/>
        <v>1</v>
      </c>
      <c r="K81" s="93">
        <f>SUMIFS(Table1[Horas efetivas],Table1[Tabela],Plano_V3!E81,Table1[Campo],Plano_V3!F81)</f>
        <v>8</v>
      </c>
      <c r="L81" s="93">
        <f t="shared" si="15"/>
        <v>1</v>
      </c>
      <c r="M81" s="93">
        <f t="shared" si="16"/>
        <v>1</v>
      </c>
      <c r="N81" s="98" t="s">
        <v>56</v>
      </c>
      <c r="O81" s="99">
        <f t="shared" si="10"/>
        <v>1</v>
      </c>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100"/>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87"/>
      <c r="EJ81" s="87"/>
      <c r="EK81" s="87"/>
      <c r="EL81" s="100"/>
      <c r="EM81" s="100"/>
      <c r="EN81" s="100"/>
      <c r="EO81" s="100"/>
      <c r="EP81" s="100"/>
      <c r="EQ81" s="100"/>
    </row>
    <row r="82" spans="1:147" outlineLevel="1">
      <c r="A82" s="31" t="str">
        <f t="shared" si="12"/>
        <v>cd_imv_out_trz_prc_bens_imvcempbem</v>
      </c>
      <c r="B82" s="76" t="s">
        <v>28</v>
      </c>
      <c r="C82" s="77" t="s">
        <v>54</v>
      </c>
      <c r="D82" s="73" t="s">
        <v>40</v>
      </c>
      <c r="E82" s="75" t="s">
        <v>86</v>
      </c>
      <c r="F82" s="73" t="s">
        <v>41</v>
      </c>
      <c r="G82" s="73" t="str">
        <f>INDEX(Auxiliar!$B$16:$B$23,MATCH(Plano_V3!H82,Auxiliar!$C$16:$C$23,0),1)</f>
        <v>1. Concluído</v>
      </c>
      <c r="H82" s="73">
        <f>VLOOKUP(A82,'Aux - pivots1'!$A:$B,2,0)</f>
        <v>1</v>
      </c>
      <c r="I82" s="93">
        <f>SUMIFS(Table1[Estimação (horas)],Table1[Tabela],Plano_V3!E82,Table1[Campo],Plano_V3!F82)</f>
        <v>4.0999999999999996</v>
      </c>
      <c r="J82" s="93">
        <f t="shared" si="14"/>
        <v>0.51249999999999996</v>
      </c>
      <c r="K82" s="93">
        <f>SUMIFS(Table1[Horas efetivas],Table1[Tabela],Plano_V3!E82,Table1[Campo],Plano_V3!F82)</f>
        <v>4.0999999999999996</v>
      </c>
      <c r="L82" s="93">
        <f t="shared" si="15"/>
        <v>0.51249999999999996</v>
      </c>
      <c r="M82" s="93">
        <f t="shared" si="16"/>
        <v>1</v>
      </c>
      <c r="N82" s="98" t="s">
        <v>56</v>
      </c>
      <c r="O82" s="99">
        <f t="shared" si="10"/>
        <v>0.51249999999999996</v>
      </c>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100"/>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87"/>
      <c r="EJ82" s="87"/>
      <c r="EK82" s="87"/>
      <c r="EL82" s="100"/>
      <c r="EM82" s="100"/>
      <c r="EN82" s="100"/>
      <c r="EO82" s="100"/>
      <c r="EP82" s="100"/>
      <c r="EQ82" s="100"/>
    </row>
    <row r="83" spans="1:147" outlineLevel="1">
      <c r="A83" s="31" t="str">
        <f t="shared" si="12"/>
        <v>cd_imv_out_trz_prc_bens_imvcempresa</v>
      </c>
      <c r="B83" s="76" t="s">
        <v>28</v>
      </c>
      <c r="C83" s="77" t="s">
        <v>54</v>
      </c>
      <c r="D83" s="73" t="s">
        <v>40</v>
      </c>
      <c r="E83" s="75" t="s">
        <v>86</v>
      </c>
      <c r="F83" s="73" t="s">
        <v>57</v>
      </c>
      <c r="G83" s="73" t="str">
        <f>INDEX(Auxiliar!$B$16:$B$23,MATCH(Plano_V3!H83,Auxiliar!$C$16:$C$23,0),1)</f>
        <v>1. Concluído</v>
      </c>
      <c r="H83" s="73">
        <f>VLOOKUP(A83,'Aux - pivots1'!$A:$B,2,0)</f>
        <v>1</v>
      </c>
      <c r="I83" s="93">
        <f>SUMIFS(Table1[Estimação (horas)],Table1[Tabela],Plano_V3!E83,Table1[Campo],Plano_V3!F83)</f>
        <v>8.1</v>
      </c>
      <c r="J83" s="93">
        <f t="shared" si="14"/>
        <v>1.0125</v>
      </c>
      <c r="K83" s="93">
        <f>SUMIFS(Table1[Horas efetivas],Table1[Tabela],Plano_V3!E83,Table1[Campo],Plano_V3!F83)</f>
        <v>8.1</v>
      </c>
      <c r="L83" s="93">
        <f t="shared" si="15"/>
        <v>1.0125</v>
      </c>
      <c r="M83" s="93">
        <f t="shared" si="16"/>
        <v>1</v>
      </c>
      <c r="N83" s="98" t="s">
        <v>56</v>
      </c>
      <c r="O83" s="99">
        <f t="shared" si="10"/>
        <v>1.0125</v>
      </c>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100"/>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87"/>
      <c r="EJ83" s="87"/>
      <c r="EK83" s="87"/>
      <c r="EL83" s="100"/>
      <c r="EM83" s="100"/>
      <c r="EN83" s="100"/>
      <c r="EO83" s="100"/>
      <c r="EP83" s="100"/>
      <c r="EQ83" s="100"/>
    </row>
    <row r="84" spans="1:147" outlineLevel="1">
      <c r="A84" s="31" t="str">
        <f t="shared" si="12"/>
        <v>cd_imv_out_trz_prc_bens_imvckbalbem</v>
      </c>
      <c r="B84" s="76" t="s">
        <v>28</v>
      </c>
      <c r="C84" s="77" t="s">
        <v>54</v>
      </c>
      <c r="D84" s="73" t="s">
        <v>40</v>
      </c>
      <c r="E84" s="75" t="s">
        <v>86</v>
      </c>
      <c r="F84" s="73" t="s">
        <v>43</v>
      </c>
      <c r="G84" s="73" t="str">
        <f>INDEX(Auxiliar!$B$16:$B$23,MATCH(Plano_V3!H84,Auxiliar!$C$16:$C$23,0),1)</f>
        <v>1. Concluído</v>
      </c>
      <c r="H84" s="73">
        <f>VLOOKUP(A84,'Aux - pivots1'!$A:$B,2,0)</f>
        <v>1</v>
      </c>
      <c r="I84" s="93">
        <f>SUMIFS(Table1[Estimação (horas)],Table1[Tabela],Plano_V3!E84,Table1[Campo],Plano_V3!F84)</f>
        <v>8.1</v>
      </c>
      <c r="J84" s="93">
        <f t="shared" si="14"/>
        <v>1.0125</v>
      </c>
      <c r="K84" s="93">
        <f>SUMIFS(Table1[Horas efetivas],Table1[Tabela],Plano_V3!E84,Table1[Campo],Plano_V3!F84)</f>
        <v>8.1</v>
      </c>
      <c r="L84" s="93">
        <f t="shared" si="15"/>
        <v>1.0125</v>
      </c>
      <c r="M84" s="93">
        <f t="shared" si="16"/>
        <v>1</v>
      </c>
      <c r="N84" s="98" t="s">
        <v>56</v>
      </c>
      <c r="O84" s="99">
        <f t="shared" si="10"/>
        <v>1.0125</v>
      </c>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100"/>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87"/>
      <c r="EJ84" s="87"/>
      <c r="EK84" s="87"/>
      <c r="EL84" s="100"/>
      <c r="EM84" s="100"/>
      <c r="EN84" s="100"/>
      <c r="EO84" s="100"/>
      <c r="EP84" s="100"/>
      <c r="EQ84" s="100"/>
    </row>
    <row r="85" spans="1:147" outlineLevel="1">
      <c r="A85" s="31" t="str">
        <f t="shared" si="12"/>
        <v>cd_imv_out_trz_prc_bens_imvckbalcao</v>
      </c>
      <c r="B85" s="76" t="s">
        <v>28</v>
      </c>
      <c r="C85" s="77" t="s">
        <v>54</v>
      </c>
      <c r="D85" s="73" t="s">
        <v>40</v>
      </c>
      <c r="E85" s="75" t="s">
        <v>86</v>
      </c>
      <c r="F85" s="73" t="s">
        <v>58</v>
      </c>
      <c r="G85" s="73" t="str">
        <f>INDEX(Auxiliar!$B$16:$B$23,MATCH(Plano_V3!H85,Auxiliar!$C$16:$C$23,0),1)</f>
        <v>1. Concluído</v>
      </c>
      <c r="H85" s="73">
        <f>VLOOKUP(A85,'Aux - pivots1'!$A:$B,2,0)</f>
        <v>1</v>
      </c>
      <c r="I85" s="93">
        <f>SUMIFS(Table1[Estimação (horas)],Table1[Tabela],Plano_V3!E85,Table1[Campo],Plano_V3!F85)</f>
        <v>8.1</v>
      </c>
      <c r="J85" s="93">
        <f t="shared" si="14"/>
        <v>1.0125</v>
      </c>
      <c r="K85" s="93">
        <f>SUMIFS(Table1[Horas efetivas],Table1[Tabela],Plano_V3!E85,Table1[Campo],Plano_V3!F85)</f>
        <v>8.1</v>
      </c>
      <c r="L85" s="93">
        <f t="shared" si="15"/>
        <v>1.0125</v>
      </c>
      <c r="M85" s="93">
        <f t="shared" si="16"/>
        <v>1</v>
      </c>
      <c r="N85" s="98" t="s">
        <v>56</v>
      </c>
      <c r="O85" s="99">
        <f t="shared" si="10"/>
        <v>1.0125</v>
      </c>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100"/>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87"/>
      <c r="EJ85" s="87"/>
      <c r="EK85" s="87"/>
      <c r="EL85" s="100"/>
      <c r="EM85" s="100"/>
      <c r="EN85" s="100"/>
      <c r="EO85" s="100"/>
      <c r="EP85" s="100"/>
      <c r="EQ85" s="100"/>
    </row>
    <row r="86" spans="1:147" outlineLevel="1">
      <c r="A86" s="31" t="str">
        <f t="shared" si="12"/>
        <v>cd_imv_out_trz_prc_bens_imvckctabem</v>
      </c>
      <c r="B86" s="76" t="s">
        <v>28</v>
      </c>
      <c r="C86" s="77" t="s">
        <v>54</v>
      </c>
      <c r="D86" s="73" t="s">
        <v>40</v>
      </c>
      <c r="E86" s="75" t="s">
        <v>86</v>
      </c>
      <c r="F86" s="73" t="s">
        <v>44</v>
      </c>
      <c r="G86" s="73" t="str">
        <f>INDEX(Auxiliar!$B$16:$B$23,MATCH(Plano_V3!H86,Auxiliar!$C$16:$C$23,0),1)</f>
        <v>1. Concluído</v>
      </c>
      <c r="H86" s="73">
        <f>VLOOKUP(A86,'Aux - pivots1'!$A:$B,2,0)</f>
        <v>1</v>
      </c>
      <c r="I86" s="93">
        <f>SUMIFS(Table1[Estimação (horas)],Table1[Tabela],Plano_V3!E86,Table1[Campo],Plano_V3!F86)</f>
        <v>8.1</v>
      </c>
      <c r="J86" s="93">
        <f t="shared" si="14"/>
        <v>1.0125</v>
      </c>
      <c r="K86" s="93">
        <f>SUMIFS(Table1[Horas efetivas],Table1[Tabela],Plano_V3!E86,Table1[Campo],Plano_V3!F86)</f>
        <v>8.1</v>
      </c>
      <c r="L86" s="93">
        <f t="shared" si="15"/>
        <v>1.0125</v>
      </c>
      <c r="M86" s="93">
        <f t="shared" si="16"/>
        <v>1</v>
      </c>
      <c r="N86" s="98" t="s">
        <v>56</v>
      </c>
      <c r="O86" s="99">
        <f t="shared" si="10"/>
        <v>1.0125</v>
      </c>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100"/>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87"/>
      <c r="EJ86" s="87"/>
      <c r="EK86" s="87"/>
      <c r="EL86" s="100"/>
      <c r="EM86" s="100"/>
      <c r="EN86" s="100"/>
      <c r="EO86" s="100"/>
      <c r="EP86" s="100"/>
      <c r="EQ86" s="100"/>
    </row>
    <row r="87" spans="1:147" outlineLevel="1">
      <c r="A87" s="31" t="str">
        <f t="shared" si="12"/>
        <v>cd_imv_out_trz_prc_bens_imvcknumcta</v>
      </c>
      <c r="B87" s="76" t="s">
        <v>28</v>
      </c>
      <c r="C87" s="77" t="s">
        <v>54</v>
      </c>
      <c r="D87" s="73" t="s">
        <v>40</v>
      </c>
      <c r="E87" s="75" t="s">
        <v>86</v>
      </c>
      <c r="F87" s="73" t="s">
        <v>59</v>
      </c>
      <c r="G87" s="73" t="str">
        <f>INDEX(Auxiliar!$B$16:$B$23,MATCH(Plano_V3!H87,Auxiliar!$C$16:$C$23,0),1)</f>
        <v>1. Concluído</v>
      </c>
      <c r="H87" s="73">
        <f>VLOOKUP(A87,'Aux - pivots1'!$A:$B,2,0)</f>
        <v>1</v>
      </c>
      <c r="I87" s="93">
        <f>SUMIFS(Table1[Estimação (horas)],Table1[Tabela],Plano_V3!E87,Table1[Campo],Plano_V3!F87)</f>
        <v>8.1</v>
      </c>
      <c r="J87" s="93">
        <f t="shared" si="14"/>
        <v>1.0125</v>
      </c>
      <c r="K87" s="93">
        <f>SUMIFS(Table1[Horas efetivas],Table1[Tabela],Plano_V3!E87,Table1[Campo],Plano_V3!F87)</f>
        <v>8.1</v>
      </c>
      <c r="L87" s="93">
        <f t="shared" si="15"/>
        <v>1.0125</v>
      </c>
      <c r="M87" s="93">
        <f t="shared" si="16"/>
        <v>1</v>
      </c>
      <c r="N87" s="98" t="s">
        <v>56</v>
      </c>
      <c r="O87" s="99">
        <f t="shared" si="10"/>
        <v>1.0125</v>
      </c>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100"/>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87"/>
      <c r="EJ87" s="87"/>
      <c r="EK87" s="87"/>
      <c r="EL87" s="100"/>
      <c r="EM87" s="100"/>
      <c r="EN87" s="100"/>
      <c r="EO87" s="100"/>
      <c r="EP87" s="100"/>
      <c r="EQ87" s="100"/>
    </row>
    <row r="88" spans="1:147" outlineLevel="1">
      <c r="A88" s="31" t="str">
        <f t="shared" si="12"/>
        <v>cd_imv_out_trz_prc_bens_imvckrefbem</v>
      </c>
      <c r="B88" s="76" t="s">
        <v>28</v>
      </c>
      <c r="C88" s="77" t="s">
        <v>54</v>
      </c>
      <c r="D88" s="73" t="s">
        <v>40</v>
      </c>
      <c r="E88" s="75" t="s">
        <v>86</v>
      </c>
      <c r="F88" s="73" t="s">
        <v>45</v>
      </c>
      <c r="G88" s="73" t="str">
        <f>INDEX(Auxiliar!$B$16:$B$23,MATCH(Plano_V3!H88,Auxiliar!$C$16:$C$23,0),1)</f>
        <v>1. Concluído</v>
      </c>
      <c r="H88" s="73">
        <f>VLOOKUP(A88,'Aux - pivots1'!$A:$B,2,0)</f>
        <v>1</v>
      </c>
      <c r="I88" s="93">
        <f>SUMIFS(Table1[Estimação (horas)],Table1[Tabela],Plano_V3!E88,Table1[Campo],Plano_V3!F88)</f>
        <v>4.0999999999999996</v>
      </c>
      <c r="J88" s="93">
        <f t="shared" si="14"/>
        <v>0.51249999999999996</v>
      </c>
      <c r="K88" s="93">
        <f>SUMIFS(Table1[Horas efetivas],Table1[Tabela],Plano_V3!E88,Table1[Campo],Plano_V3!F88)</f>
        <v>4.0999999999999996</v>
      </c>
      <c r="L88" s="93">
        <f t="shared" si="15"/>
        <v>0.51249999999999996</v>
      </c>
      <c r="M88" s="93">
        <f t="shared" si="16"/>
        <v>1</v>
      </c>
      <c r="N88" s="98" t="s">
        <v>56</v>
      </c>
      <c r="O88" s="99">
        <f t="shared" si="10"/>
        <v>0.51249999999999996</v>
      </c>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100"/>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87"/>
      <c r="EJ88" s="87"/>
      <c r="EK88" s="87"/>
      <c r="EL88" s="100"/>
      <c r="EM88" s="100"/>
      <c r="EN88" s="100"/>
      <c r="EO88" s="100"/>
      <c r="EP88" s="100"/>
      <c r="EQ88" s="100"/>
    </row>
    <row r="89" spans="1:147" outlineLevel="1">
      <c r="A89" s="31" t="str">
        <f t="shared" si="12"/>
        <v>cd_imv_out_trz_prc_bens_imvcomp_id_gar</v>
      </c>
      <c r="B89" s="76" t="s">
        <v>28</v>
      </c>
      <c r="C89" s="77" t="s">
        <v>54</v>
      </c>
      <c r="D89" s="73" t="s">
        <v>40</v>
      </c>
      <c r="E89" s="75" t="s">
        <v>86</v>
      </c>
      <c r="F89" s="73" t="s">
        <v>67</v>
      </c>
      <c r="G89" s="73" t="str">
        <f>INDEX(Auxiliar!$B$16:$B$23,MATCH(Plano_V3!H89,Auxiliar!$C$16:$C$23,0),1)</f>
        <v>1. Concluído</v>
      </c>
      <c r="H89" s="73">
        <f>VLOOKUP(A89,'Aux - pivots1'!$A:$B,2,0)</f>
        <v>1</v>
      </c>
      <c r="I89" s="93">
        <f>SUMIFS(Table1[Estimação (horas)],Table1[Tabela],Plano_V3!E89,Table1[Campo],Plano_V3!F89)</f>
        <v>8.1</v>
      </c>
      <c r="J89" s="93">
        <f t="shared" si="14"/>
        <v>1.0125</v>
      </c>
      <c r="K89" s="93">
        <f>SUMIFS(Table1[Horas efetivas],Table1[Tabela],Plano_V3!E89,Table1[Campo],Plano_V3!F89)</f>
        <v>8.1</v>
      </c>
      <c r="L89" s="93">
        <f t="shared" si="15"/>
        <v>1.0125</v>
      </c>
      <c r="M89" s="93">
        <f t="shared" si="16"/>
        <v>1</v>
      </c>
      <c r="N89" s="98" t="s">
        <v>56</v>
      </c>
      <c r="O89" s="99">
        <f t="shared" si="10"/>
        <v>1.0125</v>
      </c>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100"/>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87"/>
      <c r="EJ89" s="87"/>
      <c r="EK89" s="87"/>
      <c r="EL89" s="100"/>
      <c r="EM89" s="100"/>
      <c r="EN89" s="100"/>
      <c r="EO89" s="100"/>
      <c r="EP89" s="100"/>
      <c r="EQ89" s="100"/>
    </row>
    <row r="90" spans="1:147" outlineLevel="1">
      <c r="A90" s="31" t="str">
        <f t="shared" si="12"/>
        <v>cd_imv_out_trz_prc_bens_imvdata_assc</v>
      </c>
      <c r="B90" s="76" t="s">
        <v>28</v>
      </c>
      <c r="C90" s="77" t="s">
        <v>54</v>
      </c>
      <c r="D90" s="73" t="s">
        <v>40</v>
      </c>
      <c r="E90" s="75" t="s">
        <v>86</v>
      </c>
      <c r="F90" s="73" t="s">
        <v>87</v>
      </c>
      <c r="G90" s="73" t="str">
        <f>INDEX(Auxiliar!$B$16:$B$23,MATCH(Plano_V3!H90,Auxiliar!$C$16:$C$23,0),1)</f>
        <v>0. Cancelado</v>
      </c>
      <c r="H90" s="73">
        <f>VLOOKUP(A90,'Aux - pivots1'!$A:$B,2,0)</f>
        <v>0</v>
      </c>
      <c r="I90" s="94">
        <v>0</v>
      </c>
      <c r="J90" s="93">
        <f t="shared" si="14"/>
        <v>0</v>
      </c>
      <c r="K90" s="93">
        <f>SUMIFS(Table1[Horas efetivas],Table1[Tabela],Plano_V3!E90,Table1[Campo],Plano_V3!F90)</f>
        <v>0</v>
      </c>
      <c r="L90" s="93">
        <f t="shared" si="15"/>
        <v>0</v>
      </c>
      <c r="M90" s="93" t="e">
        <f t="shared" si="16"/>
        <v>#DIV/0!</v>
      </c>
      <c r="N90" s="98" t="s">
        <v>56</v>
      </c>
      <c r="O90" s="99">
        <f t="shared" ref="O90:O153" si="17">J90-SUM(P90:EQ90)</f>
        <v>0</v>
      </c>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100"/>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87"/>
      <c r="EJ90" s="87"/>
      <c r="EK90" s="87"/>
      <c r="EL90" s="100"/>
      <c r="EM90" s="100"/>
      <c r="EN90" s="100"/>
      <c r="EO90" s="100"/>
      <c r="EP90" s="100"/>
      <c r="EQ90" s="100"/>
    </row>
    <row r="91" spans="1:147" outlineLevel="1">
      <c r="A91" s="31" t="str">
        <f t="shared" si="12"/>
        <v>cd_imv_out_trz_prc_bens_imvflg_adj</v>
      </c>
      <c r="B91" s="76" t="s">
        <v>28</v>
      </c>
      <c r="C91" s="77" t="s">
        <v>54</v>
      </c>
      <c r="D91" s="73" t="s">
        <v>40</v>
      </c>
      <c r="E91" s="75" t="s">
        <v>86</v>
      </c>
      <c r="F91" s="73" t="s">
        <v>88</v>
      </c>
      <c r="G91" s="73" t="str">
        <f>INDEX(Auxiliar!$B$16:$B$23,MATCH(Plano_V3!H91,Auxiliar!$C$16:$C$23,0),1)</f>
        <v>1. Concluído</v>
      </c>
      <c r="H91" s="73">
        <f>VLOOKUP(A91,'Aux - pivots1'!$A:$B,2,0)</f>
        <v>1</v>
      </c>
      <c r="I91" s="93">
        <f>SUMIFS(Table1[Estimação (horas)],Table1[Tabela],Plano_V3!E91,Table1[Campo],Plano_V3!F91)</f>
        <v>4.0999999999999996</v>
      </c>
      <c r="J91" s="93">
        <f t="shared" si="14"/>
        <v>0.51249999999999996</v>
      </c>
      <c r="K91" s="93">
        <f>SUMIFS(Table1[Horas efetivas],Table1[Tabela],Plano_V3!E91,Table1[Campo],Plano_V3!F91)</f>
        <v>4.0999999999999996</v>
      </c>
      <c r="L91" s="93">
        <f t="shared" si="15"/>
        <v>0.51249999999999996</v>
      </c>
      <c r="M91" s="93">
        <f t="shared" si="16"/>
        <v>1</v>
      </c>
      <c r="N91" s="98" t="s">
        <v>56</v>
      </c>
      <c r="O91" s="99">
        <f t="shared" si="17"/>
        <v>0.51249999999999996</v>
      </c>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100"/>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87"/>
      <c r="EJ91" s="87"/>
      <c r="EK91" s="87"/>
      <c r="EL91" s="100"/>
      <c r="EM91" s="100"/>
      <c r="EN91" s="100"/>
      <c r="EO91" s="100"/>
      <c r="EP91" s="100"/>
      <c r="EQ91" s="100"/>
    </row>
    <row r="92" spans="1:147" outlineLevel="1">
      <c r="A92" s="31" t="str">
        <f t="shared" ref="A92:A155" si="18">E92&amp;F92</f>
        <v>cd_imv_out_trz_prc_bens_imvflg_col</v>
      </c>
      <c r="B92" s="76" t="s">
        <v>28</v>
      </c>
      <c r="C92" s="77" t="s">
        <v>54</v>
      </c>
      <c r="D92" s="73" t="s">
        <v>40</v>
      </c>
      <c r="E92" s="75" t="s">
        <v>86</v>
      </c>
      <c r="F92" s="73" t="s">
        <v>89</v>
      </c>
      <c r="G92" s="73" t="str">
        <f>INDEX(Auxiliar!$B$16:$B$23,MATCH(Plano_V3!H92,Auxiliar!$C$16:$C$23,0),1)</f>
        <v>1. Concluído</v>
      </c>
      <c r="H92" s="73">
        <f>VLOOKUP(A92,'Aux - pivots1'!$A:$B,2,0)</f>
        <v>1</v>
      </c>
      <c r="I92" s="93">
        <f>SUMIFS(Table1[Estimação (horas)],Table1[Tabela],Plano_V3!E92,Table1[Campo],Plano_V3!F92)</f>
        <v>4.0999999999999996</v>
      </c>
      <c r="J92" s="93">
        <f t="shared" si="14"/>
        <v>0.51249999999999996</v>
      </c>
      <c r="K92" s="93">
        <f>SUMIFS(Table1[Horas efetivas],Table1[Tabela],Plano_V3!E92,Table1[Campo],Plano_V3!F92)</f>
        <v>4.0999999999999996</v>
      </c>
      <c r="L92" s="93">
        <f t="shared" si="15"/>
        <v>0.51249999999999996</v>
      </c>
      <c r="M92" s="93">
        <f t="shared" si="16"/>
        <v>1</v>
      </c>
      <c r="N92" s="98" t="s">
        <v>56</v>
      </c>
      <c r="O92" s="99">
        <f t="shared" si="17"/>
        <v>0.51249999999999996</v>
      </c>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100"/>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87"/>
      <c r="EJ92" s="87"/>
      <c r="EK92" s="87"/>
      <c r="EL92" s="100"/>
      <c r="EM92" s="100"/>
      <c r="EN92" s="100"/>
      <c r="EO92" s="100"/>
      <c r="EP92" s="100"/>
      <c r="EQ92" s="100"/>
    </row>
    <row r="93" spans="1:147" outlineLevel="1">
      <c r="A93" s="31" t="str">
        <f t="shared" si="18"/>
        <v>cd_imv_out_trz_prc_bens_imvflg_fin</v>
      </c>
      <c r="B93" s="76" t="s">
        <v>28</v>
      </c>
      <c r="C93" s="77" t="s">
        <v>54</v>
      </c>
      <c r="D93" s="73" t="s">
        <v>40</v>
      </c>
      <c r="E93" s="75" t="s">
        <v>86</v>
      </c>
      <c r="F93" s="73" t="s">
        <v>90</v>
      </c>
      <c r="G93" s="73" t="str">
        <f>INDEX(Auxiliar!$B$16:$B$23,MATCH(Plano_V3!H93,Auxiliar!$C$16:$C$23,0),1)</f>
        <v>1. Concluído</v>
      </c>
      <c r="H93" s="73">
        <f>VLOOKUP(A93,'Aux - pivots1'!$A:$B,2,0)</f>
        <v>1</v>
      </c>
      <c r="I93" s="93">
        <f>SUMIFS(Table1[Estimação (horas)],Table1[Tabela],Plano_V3!E93,Table1[Campo],Plano_V3!F93)</f>
        <v>4.0999999999999996</v>
      </c>
      <c r="J93" s="93">
        <f t="shared" si="14"/>
        <v>0.51249999999999996</v>
      </c>
      <c r="K93" s="93">
        <f>SUMIFS(Table1[Horas efetivas],Table1[Tabela],Plano_V3!E93,Table1[Campo],Plano_V3!F93)</f>
        <v>4.0999999999999996</v>
      </c>
      <c r="L93" s="93">
        <f t="shared" si="15"/>
        <v>0.51249999999999996</v>
      </c>
      <c r="M93" s="93">
        <f t="shared" si="16"/>
        <v>1</v>
      </c>
      <c r="N93" s="98" t="s">
        <v>56</v>
      </c>
      <c r="O93" s="99">
        <f t="shared" si="17"/>
        <v>0.51249999999999996</v>
      </c>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100"/>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87"/>
      <c r="EJ93" s="87"/>
      <c r="EK93" s="87"/>
      <c r="EL93" s="100"/>
      <c r="EM93" s="100"/>
      <c r="EN93" s="100"/>
      <c r="EO93" s="100"/>
      <c r="EP93" s="100"/>
      <c r="EQ93" s="100"/>
    </row>
    <row r="94" spans="1:147" outlineLevel="1">
      <c r="A94" s="31" t="str">
        <f t="shared" si="18"/>
        <v>cd_imv_out_trz_prc_bens_imvflg_pro</v>
      </c>
      <c r="B94" s="76" t="s">
        <v>28</v>
      </c>
      <c r="C94" s="77" t="s">
        <v>54</v>
      </c>
      <c r="D94" s="73" t="s">
        <v>40</v>
      </c>
      <c r="E94" s="75" t="s">
        <v>86</v>
      </c>
      <c r="F94" s="73" t="s">
        <v>91</v>
      </c>
      <c r="G94" s="73" t="str">
        <f>INDEX(Auxiliar!$B$16:$B$23,MATCH(Plano_V3!H94,Auxiliar!$C$16:$C$23,0),1)</f>
        <v>1. Concluído</v>
      </c>
      <c r="H94" s="73">
        <f>VLOOKUP(A94,'Aux - pivots1'!$A:$B,2,0)</f>
        <v>1</v>
      </c>
      <c r="I94" s="93">
        <f>SUMIFS(Table1[Estimação (horas)],Table1[Tabela],Plano_V3!E94,Table1[Campo],Plano_V3!F94)</f>
        <v>4.0999999999999996</v>
      </c>
      <c r="J94" s="93">
        <f t="shared" si="14"/>
        <v>0.51249999999999996</v>
      </c>
      <c r="K94" s="93">
        <f>SUMIFS(Table1[Horas efetivas],Table1[Tabela],Plano_V3!E94,Table1[Campo],Plano_V3!F94)</f>
        <v>4.0999999999999996</v>
      </c>
      <c r="L94" s="93">
        <f t="shared" si="15"/>
        <v>0.51249999999999996</v>
      </c>
      <c r="M94" s="93">
        <f t="shared" si="16"/>
        <v>1</v>
      </c>
      <c r="N94" s="98" t="s">
        <v>56</v>
      </c>
      <c r="O94" s="99">
        <f t="shared" si="17"/>
        <v>0.51249999999999996</v>
      </c>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100"/>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87"/>
      <c r="EJ94" s="87"/>
      <c r="EK94" s="87"/>
      <c r="EL94" s="100"/>
      <c r="EM94" s="100"/>
      <c r="EN94" s="100"/>
      <c r="EO94" s="100"/>
      <c r="EP94" s="100"/>
      <c r="EQ94" s="100"/>
    </row>
    <row r="95" spans="1:147" outlineLevel="1">
      <c r="A95" s="31" t="str">
        <f t="shared" si="18"/>
        <v>cd_imv_out_trz_prc_bens_imvorigem</v>
      </c>
      <c r="B95" s="76" t="s">
        <v>28</v>
      </c>
      <c r="C95" s="77" t="s">
        <v>54</v>
      </c>
      <c r="D95" s="73" t="s">
        <v>40</v>
      </c>
      <c r="E95" s="75" t="s">
        <v>86</v>
      </c>
      <c r="F95" s="73" t="s">
        <v>72</v>
      </c>
      <c r="G95" s="73" t="str">
        <f>INDEX(Auxiliar!$B$16:$B$23,MATCH(Plano_V3!H95,Auxiliar!$C$16:$C$23,0),1)</f>
        <v>1. Concluído</v>
      </c>
      <c r="H95" s="73">
        <f>VLOOKUP(A95,'Aux - pivots1'!$A:$B,2,0)</f>
        <v>1</v>
      </c>
      <c r="I95" s="93">
        <f>SUMIFS(Table1[Estimação (horas)],Table1[Tabela],Plano_V3!E95,Table1[Campo],Plano_V3!F95)</f>
        <v>4.0999999999999996</v>
      </c>
      <c r="J95" s="93">
        <f t="shared" si="14"/>
        <v>0.51249999999999996</v>
      </c>
      <c r="K95" s="93">
        <f>SUMIFS(Table1[Horas efetivas],Table1[Tabela],Plano_V3!E95,Table1[Campo],Plano_V3!F95)</f>
        <v>4.0999999999999996</v>
      </c>
      <c r="L95" s="93">
        <f t="shared" si="15"/>
        <v>0.51249999999999996</v>
      </c>
      <c r="M95" s="93">
        <f t="shared" si="16"/>
        <v>1</v>
      </c>
      <c r="N95" s="98" t="s">
        <v>56</v>
      </c>
      <c r="O95" s="99">
        <f t="shared" si="17"/>
        <v>0.51249999999999996</v>
      </c>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100"/>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87"/>
      <c r="EJ95" s="87"/>
      <c r="EK95" s="87"/>
      <c r="EL95" s="100"/>
      <c r="EM95" s="100"/>
      <c r="EN95" s="100"/>
      <c r="EO95" s="100"/>
      <c r="EP95" s="100"/>
      <c r="EQ95" s="100"/>
    </row>
    <row r="96" spans="1:147" outlineLevel="1">
      <c r="A96" s="31" t="str">
        <f t="shared" si="18"/>
        <v>cd_imv_out_trz_prc_bens_imvref_date</v>
      </c>
      <c r="B96" s="76" t="s">
        <v>28</v>
      </c>
      <c r="C96" s="77" t="s">
        <v>54</v>
      </c>
      <c r="D96" s="73" t="s">
        <v>40</v>
      </c>
      <c r="E96" s="75" t="s">
        <v>86</v>
      </c>
      <c r="F96" s="73" t="s">
        <v>73</v>
      </c>
      <c r="G96" s="73" t="str">
        <f>INDEX(Auxiliar!$B$16:$B$23,MATCH(Plano_V3!H96,Auxiliar!$C$16:$C$23,0),1)</f>
        <v>1. Concluído</v>
      </c>
      <c r="H96" s="73">
        <f>VLOOKUP(A96,'Aux - pivots1'!$A:$B,2,0)</f>
        <v>1</v>
      </c>
      <c r="I96" s="93">
        <f>SUMIFS(Table1[Estimação (horas)],Table1[Tabela],Plano_V3!E96,Table1[Campo],Plano_V3!F96)</f>
        <v>4.0999999999999996</v>
      </c>
      <c r="J96" s="93">
        <f t="shared" si="14"/>
        <v>0.51249999999999996</v>
      </c>
      <c r="K96" s="93">
        <f>SUMIFS(Table1[Horas efetivas],Table1[Tabela],Plano_V3!E96,Table1[Campo],Plano_V3!F96)</f>
        <v>4.0999999999999996</v>
      </c>
      <c r="L96" s="93">
        <f t="shared" si="15"/>
        <v>0.51249999999999996</v>
      </c>
      <c r="M96" s="93">
        <f t="shared" si="16"/>
        <v>1</v>
      </c>
      <c r="N96" s="98" t="s">
        <v>56</v>
      </c>
      <c r="O96" s="99">
        <f t="shared" si="17"/>
        <v>0.51249999999999996</v>
      </c>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87"/>
      <c r="AU96" s="87"/>
      <c r="AV96" s="87"/>
      <c r="AW96" s="100"/>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87"/>
      <c r="EJ96" s="87"/>
      <c r="EK96" s="87"/>
      <c r="EL96" s="100"/>
      <c r="EM96" s="100"/>
      <c r="EN96" s="100"/>
      <c r="EO96" s="100"/>
      <c r="EP96" s="100"/>
      <c r="EQ96" s="100"/>
    </row>
    <row r="97" spans="1:147" outlineLevel="1">
      <c r="A97" s="31" t="str">
        <f t="shared" si="18"/>
        <v>cd_imv_out_bensn.a.</v>
      </c>
      <c r="B97" s="76" t="s">
        <v>28</v>
      </c>
      <c r="C97" s="77" t="s">
        <v>54</v>
      </c>
      <c r="D97" s="73" t="s">
        <v>36</v>
      </c>
      <c r="E97" s="75" t="s">
        <v>92</v>
      </c>
      <c r="F97" s="73" t="s">
        <v>38</v>
      </c>
      <c r="G97" s="73" t="str">
        <f>INDEX(Auxiliar!$B$16:$B$23,MATCH(Plano_V3!H97,Auxiliar!$C$16:$C$23,0),1)</f>
        <v>1. Concluído</v>
      </c>
      <c r="H97" s="73">
        <f>VLOOKUP(A97,'Aux - pivots1'!$A:$B,2,0)</f>
        <v>1</v>
      </c>
      <c r="I97" s="93">
        <f>SUMIFS(Table1[Estimação (horas)],Table1[Tabela],Plano_V3!E97,Table1[Campo],Plano_V3!F97)</f>
        <v>8</v>
      </c>
      <c r="J97" s="93">
        <f t="shared" si="14"/>
        <v>1</v>
      </c>
      <c r="K97" s="93">
        <f>SUMIFS(Table1[Horas efetivas],Table1[Tabela],Plano_V3!E97,Table1[Campo],Plano_V3!F97)</f>
        <v>8</v>
      </c>
      <c r="L97" s="93">
        <f t="shared" si="15"/>
        <v>1</v>
      </c>
      <c r="M97" s="93">
        <f t="shared" si="16"/>
        <v>1</v>
      </c>
      <c r="N97" s="96" t="s">
        <v>93</v>
      </c>
      <c r="O97" s="99">
        <f t="shared" si="17"/>
        <v>1</v>
      </c>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87"/>
      <c r="AU97" s="87"/>
      <c r="AV97" s="87"/>
      <c r="AW97" s="100"/>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87"/>
      <c r="EJ97" s="87"/>
      <c r="EK97" s="87"/>
      <c r="EL97" s="100"/>
      <c r="EM97" s="100"/>
      <c r="EN97" s="100"/>
      <c r="EO97" s="100"/>
      <c r="EP97" s="100"/>
      <c r="EQ97" s="100"/>
    </row>
    <row r="98" spans="1:147" outlineLevel="1">
      <c r="A98" s="31" t="str">
        <f t="shared" si="18"/>
        <v>cd_imv_out_bensano_construcao</v>
      </c>
      <c r="B98" s="76" t="s">
        <v>28</v>
      </c>
      <c r="C98" s="77" t="s">
        <v>54</v>
      </c>
      <c r="D98" s="73" t="s">
        <v>40</v>
      </c>
      <c r="E98" s="75" t="s">
        <v>92</v>
      </c>
      <c r="F98" s="73" t="s">
        <v>94</v>
      </c>
      <c r="G98" s="73" t="str">
        <f>INDEX(Auxiliar!$B$16:$B$23,MATCH(Plano_V3!H98,Auxiliar!$C$16:$C$23,0),1)</f>
        <v>1. Concluído</v>
      </c>
      <c r="H98" s="73">
        <f>VLOOKUP(A98,'Aux - pivots1'!$A:$B,2,0)</f>
        <v>1</v>
      </c>
      <c r="I98" s="94">
        <v>0</v>
      </c>
      <c r="J98" s="93">
        <f t="shared" si="14"/>
        <v>0</v>
      </c>
      <c r="K98" s="93">
        <f>SUMIFS(Table1[Horas efetivas],Table1[Tabela],Plano_V3!E98,Table1[Campo],Plano_V3!F98)</f>
        <v>4</v>
      </c>
      <c r="L98" s="93">
        <f t="shared" si="15"/>
        <v>0.5</v>
      </c>
      <c r="M98" s="93" t="e">
        <f t="shared" si="16"/>
        <v>#DIV/0!</v>
      </c>
      <c r="N98" s="96" t="s">
        <v>93</v>
      </c>
      <c r="O98" s="99">
        <f t="shared" si="17"/>
        <v>0</v>
      </c>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U98" s="87"/>
      <c r="AV98" s="87"/>
      <c r="AW98" s="100"/>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87"/>
      <c r="EJ98" s="87"/>
      <c r="EK98" s="87"/>
      <c r="EL98" s="100"/>
      <c r="EM98" s="100"/>
      <c r="EN98" s="100"/>
      <c r="EO98" s="100"/>
      <c r="EP98" s="100"/>
      <c r="EQ98" s="100"/>
    </row>
    <row r="99" spans="1:147" outlineLevel="1">
      <c r="A99" s="31" t="str">
        <f t="shared" si="18"/>
        <v>cd_imv_out_bensarea_util</v>
      </c>
      <c r="B99" s="76" t="s">
        <v>28</v>
      </c>
      <c r="C99" s="77" t="s">
        <v>54</v>
      </c>
      <c r="D99" s="73" t="s">
        <v>40</v>
      </c>
      <c r="E99" s="75" t="s">
        <v>92</v>
      </c>
      <c r="F99" s="73" t="s">
        <v>95</v>
      </c>
      <c r="G99" s="73" t="str">
        <f>INDEX(Auxiliar!$B$16:$B$23,MATCH(Plano_V3!H99,Auxiliar!$C$16:$C$23,0),1)</f>
        <v>1. Concluído</v>
      </c>
      <c r="H99" s="73">
        <f>VLOOKUP(A99,'Aux - pivots1'!$A:$B,2,0)</f>
        <v>1</v>
      </c>
      <c r="I99" s="93">
        <f>SUMIFS(Table1[Estimação (horas)],Table1[Tabela],Plano_V3!E99,Table1[Campo],Plano_V3!F99)</f>
        <v>8.1</v>
      </c>
      <c r="J99" s="93">
        <f t="shared" si="14"/>
        <v>1.0125</v>
      </c>
      <c r="K99" s="93">
        <f>SUMIFS(Table1[Horas efetivas],Table1[Tabela],Plano_V3!E99,Table1[Campo],Plano_V3!F99)</f>
        <v>8.1</v>
      </c>
      <c r="L99" s="93">
        <f t="shared" si="15"/>
        <v>1.0125</v>
      </c>
      <c r="M99" s="93">
        <f t="shared" si="16"/>
        <v>1</v>
      </c>
      <c r="N99" s="96" t="s">
        <v>93</v>
      </c>
      <c r="O99" s="99">
        <f t="shared" si="17"/>
        <v>1.0125</v>
      </c>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7"/>
      <c r="AU99" s="87"/>
      <c r="AV99" s="87"/>
      <c r="AW99" s="100"/>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87"/>
      <c r="EJ99" s="87"/>
      <c r="EK99" s="87"/>
      <c r="EL99" s="100"/>
      <c r="EM99" s="100"/>
      <c r="EN99" s="100"/>
      <c r="EO99" s="100"/>
      <c r="EP99" s="100"/>
      <c r="EQ99" s="100"/>
    </row>
    <row r="100" spans="1:147" outlineLevel="1">
      <c r="A100" s="31" t="str">
        <f t="shared" si="18"/>
        <v>cd_imv_out_benscempbem</v>
      </c>
      <c r="B100" s="76" t="s">
        <v>28</v>
      </c>
      <c r="C100" s="77" t="s">
        <v>54</v>
      </c>
      <c r="D100" s="73" t="s">
        <v>40</v>
      </c>
      <c r="E100" s="75" t="s">
        <v>92</v>
      </c>
      <c r="F100" s="73" t="s">
        <v>41</v>
      </c>
      <c r="G100" s="73" t="str">
        <f>INDEX(Auxiliar!$B$16:$B$23,MATCH(Plano_V3!H100,Auxiliar!$C$16:$C$23,0),1)</f>
        <v>1. Concluído</v>
      </c>
      <c r="H100" s="73">
        <f>VLOOKUP(A100,'Aux - pivots1'!$A:$B,2,0)</f>
        <v>1</v>
      </c>
      <c r="I100" s="93">
        <f>SUMIFS(Table1[Estimação (horas)],Table1[Tabela],Plano_V3!E100,Table1[Campo],Plano_V3!F100)</f>
        <v>4.0999999999999996</v>
      </c>
      <c r="J100" s="93">
        <f t="shared" si="14"/>
        <v>0.51249999999999996</v>
      </c>
      <c r="K100" s="93">
        <f>SUMIFS(Table1[Horas efetivas],Table1[Tabela],Plano_V3!E100,Table1[Campo],Plano_V3!F100)</f>
        <v>4.0999999999999996</v>
      </c>
      <c r="L100" s="93">
        <f t="shared" si="15"/>
        <v>0.51249999999999996</v>
      </c>
      <c r="M100" s="93">
        <f t="shared" si="16"/>
        <v>1</v>
      </c>
      <c r="N100" s="96" t="s">
        <v>93</v>
      </c>
      <c r="O100" s="99">
        <f t="shared" si="17"/>
        <v>0.51249999999999996</v>
      </c>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100"/>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87"/>
      <c r="EJ100" s="87"/>
      <c r="EK100" s="87"/>
      <c r="EL100" s="100"/>
      <c r="EM100" s="100"/>
      <c r="EN100" s="100"/>
      <c r="EO100" s="100"/>
      <c r="EP100" s="100"/>
      <c r="EQ100" s="100"/>
    </row>
    <row r="101" spans="1:147" outlineLevel="1">
      <c r="A101" s="31" t="str">
        <f t="shared" si="18"/>
        <v>cd_imv_out_bensckbalbem</v>
      </c>
      <c r="B101" s="76" t="s">
        <v>28</v>
      </c>
      <c r="C101" s="77" t="s">
        <v>54</v>
      </c>
      <c r="D101" s="73" t="s">
        <v>40</v>
      </c>
      <c r="E101" s="75" t="s">
        <v>92</v>
      </c>
      <c r="F101" s="73" t="s">
        <v>43</v>
      </c>
      <c r="G101" s="73" t="str">
        <f>INDEX(Auxiliar!$B$16:$B$23,MATCH(Plano_V3!H101,Auxiliar!$C$16:$C$23,0),1)</f>
        <v>1. Concluído</v>
      </c>
      <c r="H101" s="73">
        <f>VLOOKUP(A101,'Aux - pivots1'!$A:$B,2,0)</f>
        <v>1</v>
      </c>
      <c r="I101" s="93">
        <f>SUMIFS(Table1[Estimação (horas)],Table1[Tabela],Plano_V3!E101,Table1[Campo],Plano_V3!F101)</f>
        <v>4.0999999999999996</v>
      </c>
      <c r="J101" s="93">
        <f t="shared" si="14"/>
        <v>0.51249999999999996</v>
      </c>
      <c r="K101" s="93">
        <f>SUMIFS(Table1[Horas efetivas],Table1[Tabela],Plano_V3!E101,Table1[Campo],Plano_V3!F101)</f>
        <v>4.0999999999999996</v>
      </c>
      <c r="L101" s="93">
        <f t="shared" si="15"/>
        <v>0.51249999999999996</v>
      </c>
      <c r="M101" s="93">
        <f t="shared" si="16"/>
        <v>1</v>
      </c>
      <c r="N101" s="96" t="s">
        <v>93</v>
      </c>
      <c r="O101" s="99">
        <f t="shared" si="17"/>
        <v>0.51249999999999996</v>
      </c>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100"/>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87"/>
      <c r="EJ101" s="87"/>
      <c r="EK101" s="87"/>
      <c r="EL101" s="100"/>
      <c r="EM101" s="100"/>
      <c r="EN101" s="100"/>
      <c r="EO101" s="100"/>
      <c r="EP101" s="100"/>
      <c r="EQ101" s="100"/>
    </row>
    <row r="102" spans="1:147" outlineLevel="1">
      <c r="A102" s="31" t="str">
        <f t="shared" si="18"/>
        <v>cd_imv_out_bensckctabem</v>
      </c>
      <c r="B102" s="76" t="s">
        <v>28</v>
      </c>
      <c r="C102" s="77" t="s">
        <v>54</v>
      </c>
      <c r="D102" s="73" t="s">
        <v>40</v>
      </c>
      <c r="E102" s="75" t="s">
        <v>92</v>
      </c>
      <c r="F102" s="73" t="s">
        <v>44</v>
      </c>
      <c r="G102" s="73" t="str">
        <f>INDEX(Auxiliar!$B$16:$B$23,MATCH(Plano_V3!H102,Auxiliar!$C$16:$C$23,0),1)</f>
        <v>1. Concluído</v>
      </c>
      <c r="H102" s="73">
        <f>VLOOKUP(A102,'Aux - pivots1'!$A:$B,2,0)</f>
        <v>1</v>
      </c>
      <c r="I102" s="93">
        <f>SUMIFS(Table1[Estimação (horas)],Table1[Tabela],Plano_V3!E102,Table1[Campo],Plano_V3!F102)</f>
        <v>4.0999999999999996</v>
      </c>
      <c r="J102" s="93">
        <f t="shared" si="14"/>
        <v>0.51249999999999996</v>
      </c>
      <c r="K102" s="93">
        <f>SUMIFS(Table1[Horas efetivas],Table1[Tabela],Plano_V3!E102,Table1[Campo],Plano_V3!F102)</f>
        <v>4.0999999999999996</v>
      </c>
      <c r="L102" s="93">
        <f t="shared" si="15"/>
        <v>0.51249999999999996</v>
      </c>
      <c r="M102" s="93">
        <f t="shared" si="16"/>
        <v>1</v>
      </c>
      <c r="N102" s="96" t="s">
        <v>93</v>
      </c>
      <c r="O102" s="99">
        <f t="shared" si="17"/>
        <v>0.51249999999999996</v>
      </c>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100"/>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87"/>
      <c r="EJ102" s="87"/>
      <c r="EK102" s="87"/>
      <c r="EL102" s="100"/>
      <c r="EM102" s="100"/>
      <c r="EN102" s="100"/>
      <c r="EO102" s="100"/>
      <c r="EP102" s="100"/>
      <c r="EQ102" s="100"/>
    </row>
    <row r="103" spans="1:147" outlineLevel="1">
      <c r="A103" s="31" t="str">
        <f t="shared" si="18"/>
        <v>cd_imv_out_bensckrefbem</v>
      </c>
      <c r="B103" s="76" t="s">
        <v>28</v>
      </c>
      <c r="C103" s="77" t="s">
        <v>54</v>
      </c>
      <c r="D103" s="73" t="s">
        <v>40</v>
      </c>
      <c r="E103" s="75" t="s">
        <v>92</v>
      </c>
      <c r="F103" s="73" t="s">
        <v>45</v>
      </c>
      <c r="G103" s="73" t="str">
        <f>INDEX(Auxiliar!$B$16:$B$23,MATCH(Plano_V3!H103,Auxiliar!$C$16:$C$23,0),1)</f>
        <v>1. Concluído</v>
      </c>
      <c r="H103" s="73">
        <f>VLOOKUP(A103,'Aux - pivots1'!$A:$B,2,0)</f>
        <v>1</v>
      </c>
      <c r="I103" s="93">
        <f>SUMIFS(Table1[Estimação (horas)],Table1[Tabela],Plano_V3!E103,Table1[Campo],Plano_V3!F103)</f>
        <v>4.0999999999999996</v>
      </c>
      <c r="J103" s="93">
        <f t="shared" si="14"/>
        <v>0.51249999999999996</v>
      </c>
      <c r="K103" s="93">
        <f>SUMIFS(Table1[Horas efetivas],Table1[Tabela],Plano_V3!E103,Table1[Campo],Plano_V3!F103)</f>
        <v>4.0999999999999996</v>
      </c>
      <c r="L103" s="93">
        <f t="shared" si="15"/>
        <v>0.51249999999999996</v>
      </c>
      <c r="M103" s="93">
        <f t="shared" si="16"/>
        <v>1</v>
      </c>
      <c r="N103" s="96" t="s">
        <v>93</v>
      </c>
      <c r="O103" s="99">
        <f t="shared" si="17"/>
        <v>0.51249999999999996</v>
      </c>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100"/>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87"/>
      <c r="EJ103" s="87"/>
      <c r="EK103" s="87"/>
      <c r="EL103" s="100"/>
      <c r="EM103" s="100"/>
      <c r="EN103" s="100"/>
      <c r="EO103" s="100"/>
      <c r="EP103" s="100"/>
      <c r="EQ103" s="100"/>
    </row>
    <row r="104" spans="1:147" outlineLevel="1">
      <c r="A104" s="31" t="str">
        <f t="shared" si="18"/>
        <v>cd_imv_out_benscod_art_matr</v>
      </c>
      <c r="B104" s="76" t="s">
        <v>28</v>
      </c>
      <c r="C104" s="77" t="s">
        <v>54</v>
      </c>
      <c r="D104" s="73" t="s">
        <v>40</v>
      </c>
      <c r="E104" s="75" t="s">
        <v>92</v>
      </c>
      <c r="F104" s="73" t="s">
        <v>96</v>
      </c>
      <c r="G104" s="73" t="str">
        <f>INDEX(Auxiliar!$B$16:$B$23,MATCH(Plano_V3!H104,Auxiliar!$C$16:$C$23,0),1)</f>
        <v>1. Concluído</v>
      </c>
      <c r="H104" s="73">
        <f>VLOOKUP(A104,'Aux - pivots1'!$A:$B,2,0)</f>
        <v>1</v>
      </c>
      <c r="I104" s="93">
        <f>SUMIFS(Table1[Estimação (horas)],Table1[Tabela],Plano_V3!E104,Table1[Campo],Plano_V3!F104)</f>
        <v>4.0999999999999996</v>
      </c>
      <c r="J104" s="93">
        <f t="shared" si="14"/>
        <v>0.51249999999999996</v>
      </c>
      <c r="K104" s="93">
        <f>SUMIFS(Table1[Horas efetivas],Table1[Tabela],Plano_V3!E104,Table1[Campo],Plano_V3!F104)</f>
        <v>4.0999999999999996</v>
      </c>
      <c r="L104" s="93">
        <f t="shared" si="15"/>
        <v>0.51249999999999996</v>
      </c>
      <c r="M104" s="93">
        <f t="shared" si="16"/>
        <v>1</v>
      </c>
      <c r="N104" s="96" t="s">
        <v>93</v>
      </c>
      <c r="O104" s="99">
        <f t="shared" si="17"/>
        <v>0.51249999999999996</v>
      </c>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100"/>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87"/>
      <c r="EJ104" s="87"/>
      <c r="EK104" s="87"/>
      <c r="EL104" s="100"/>
      <c r="EM104" s="100"/>
      <c r="EN104" s="100"/>
      <c r="EO104" s="100"/>
      <c r="EP104" s="100"/>
      <c r="EQ104" s="100"/>
    </row>
    <row r="105" spans="1:147" outlineLevel="1">
      <c r="A105" s="31" t="str">
        <f t="shared" si="18"/>
        <v>cd_imv_out_benscod_avl</v>
      </c>
      <c r="B105" s="76" t="s">
        <v>28</v>
      </c>
      <c r="C105" s="77" t="s">
        <v>54</v>
      </c>
      <c r="D105" s="73" t="s">
        <v>40</v>
      </c>
      <c r="E105" s="75" t="s">
        <v>92</v>
      </c>
      <c r="F105" s="73" t="s">
        <v>97</v>
      </c>
      <c r="G105" s="73" t="str">
        <f>INDEX(Auxiliar!$B$16:$B$23,MATCH(Plano_V3!H105,Auxiliar!$C$16:$C$23,0),1)</f>
        <v>1. Concluído</v>
      </c>
      <c r="H105" s="73">
        <f>VLOOKUP(A105,'Aux - pivots1'!$A:$B,2,0)</f>
        <v>1</v>
      </c>
      <c r="I105" s="93">
        <f>SUMIFS(Table1[Estimação (horas)],Table1[Tabela],Plano_V3!E105,Table1[Campo],Plano_V3!F105)</f>
        <v>4.0999999999999996</v>
      </c>
      <c r="J105" s="93">
        <f t="shared" si="14"/>
        <v>0.51249999999999996</v>
      </c>
      <c r="K105" s="93">
        <f>SUMIFS(Table1[Horas efetivas],Table1[Tabela],Plano_V3!E105,Table1[Campo],Plano_V3!F105)</f>
        <v>4.0999999999999996</v>
      </c>
      <c r="L105" s="93">
        <f t="shared" si="15"/>
        <v>0.51249999999999996</v>
      </c>
      <c r="M105" s="93">
        <f t="shared" si="16"/>
        <v>1</v>
      </c>
      <c r="N105" s="96" t="s">
        <v>93</v>
      </c>
      <c r="O105" s="99">
        <f t="shared" si="17"/>
        <v>0.51249999999999996</v>
      </c>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100"/>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87"/>
      <c r="EJ105" s="87"/>
      <c r="EK105" s="87"/>
      <c r="EL105" s="100"/>
      <c r="EM105" s="100"/>
      <c r="EN105" s="100"/>
      <c r="EO105" s="100"/>
      <c r="EP105" s="100"/>
      <c r="EQ105" s="100"/>
    </row>
    <row r="106" spans="1:147" outlineLevel="1">
      <c r="A106" s="31" t="str">
        <f t="shared" si="18"/>
        <v>cd_imv_out_benscod_bem</v>
      </c>
      <c r="B106" s="76" t="s">
        <v>28</v>
      </c>
      <c r="C106" s="77" t="s">
        <v>54</v>
      </c>
      <c r="D106" s="73" t="s">
        <v>40</v>
      </c>
      <c r="E106" s="75" t="s">
        <v>92</v>
      </c>
      <c r="F106" s="73" t="s">
        <v>98</v>
      </c>
      <c r="G106" s="73" t="str">
        <f>INDEX(Auxiliar!$B$16:$B$23,MATCH(Plano_V3!H106,Auxiliar!$C$16:$C$23,0),1)</f>
        <v>0. Cancelado</v>
      </c>
      <c r="H106" s="73">
        <f>VLOOKUP(A106,'Aux - pivots1'!$A:$B,2,0)</f>
        <v>0</v>
      </c>
      <c r="I106" s="94">
        <v>0</v>
      </c>
      <c r="J106" s="93">
        <f t="shared" ref="J106:J169" si="19">I106/8</f>
        <v>0</v>
      </c>
      <c r="K106" s="93">
        <f>SUMIFS(Table1[Horas efetivas],Table1[Tabela],Plano_V3!E106,Table1[Campo],Plano_V3!F106)</f>
        <v>0</v>
      </c>
      <c r="L106" s="93">
        <f t="shared" ref="L106:L169" si="20">K106/8</f>
        <v>0</v>
      </c>
      <c r="M106" s="93" t="e">
        <f t="shared" ref="M106:M169" si="21">L106/J106</f>
        <v>#DIV/0!</v>
      </c>
      <c r="N106" s="96" t="s">
        <v>93</v>
      </c>
      <c r="O106" s="99">
        <f t="shared" si="17"/>
        <v>0</v>
      </c>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100"/>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87"/>
      <c r="EJ106" s="87"/>
      <c r="EK106" s="87"/>
      <c r="EL106" s="100"/>
      <c r="EM106" s="100"/>
      <c r="EN106" s="100"/>
      <c r="EO106" s="100"/>
      <c r="EP106" s="100"/>
      <c r="EQ106" s="100"/>
    </row>
    <row r="107" spans="1:147" outlineLevel="1">
      <c r="A107" s="31" t="str">
        <f t="shared" si="18"/>
        <v>cd_imv_out_benscod_disconf</v>
      </c>
      <c r="B107" s="76" t="s">
        <v>28</v>
      </c>
      <c r="C107" s="77" t="s">
        <v>54</v>
      </c>
      <c r="D107" s="73" t="s">
        <v>40</v>
      </c>
      <c r="E107" s="75" t="s">
        <v>92</v>
      </c>
      <c r="F107" s="73" t="s">
        <v>99</v>
      </c>
      <c r="G107" s="73" t="str">
        <f>INDEX(Auxiliar!$B$16:$B$23,MATCH(Plano_V3!H107,Auxiliar!$C$16:$C$23,0),1)</f>
        <v>1. Concluído</v>
      </c>
      <c r="H107" s="73">
        <f>VLOOKUP(A107,'Aux - pivots1'!$A:$B,2,0)</f>
        <v>1</v>
      </c>
      <c r="I107" s="93">
        <f>SUMIFS(Table1[Estimação (horas)],Table1[Tabela],Plano_V3!E107,Table1[Campo],Plano_V3!F107)</f>
        <v>4.0999999999999996</v>
      </c>
      <c r="J107" s="93">
        <f t="shared" si="19"/>
        <v>0.51249999999999996</v>
      </c>
      <c r="K107" s="93">
        <f>SUMIFS(Table1[Horas efetivas],Table1[Tabela],Plano_V3!E107,Table1[Campo],Plano_V3!F107)</f>
        <v>4.0999999999999996</v>
      </c>
      <c r="L107" s="93">
        <f t="shared" si="20"/>
        <v>0.51249999999999996</v>
      </c>
      <c r="M107" s="93">
        <f t="shared" si="21"/>
        <v>1</v>
      </c>
      <c r="N107" s="96" t="s">
        <v>93</v>
      </c>
      <c r="O107" s="99">
        <f t="shared" si="17"/>
        <v>0.51249999999999996</v>
      </c>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100"/>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87"/>
      <c r="EJ107" s="87"/>
      <c r="EK107" s="87"/>
      <c r="EL107" s="100"/>
      <c r="EM107" s="100"/>
      <c r="EN107" s="100"/>
      <c r="EO107" s="100"/>
      <c r="EP107" s="100"/>
      <c r="EQ107" s="100"/>
    </row>
    <row r="108" spans="1:147" outlineLevel="1">
      <c r="A108" s="31" t="str">
        <f t="shared" si="18"/>
        <v>cd_imv_out_benscod_fin_bem</v>
      </c>
      <c r="B108" s="76" t="s">
        <v>28</v>
      </c>
      <c r="C108" s="77" t="s">
        <v>54</v>
      </c>
      <c r="D108" s="73" t="s">
        <v>40</v>
      </c>
      <c r="E108" s="75" t="s">
        <v>92</v>
      </c>
      <c r="F108" s="73" t="s">
        <v>100</v>
      </c>
      <c r="G108" s="73" t="str">
        <f>INDEX(Auxiliar!$B$16:$B$23,MATCH(Plano_V3!H108,Auxiliar!$C$16:$C$23,0),1)</f>
        <v>1. Concluído</v>
      </c>
      <c r="H108" s="73">
        <f>VLOOKUP(A108,'Aux - pivots1'!$A:$B,2,0)</f>
        <v>1</v>
      </c>
      <c r="I108" s="93">
        <f>SUMIFS(Table1[Estimação (horas)],Table1[Tabela],Plano_V3!E108,Table1[Campo],Plano_V3!F108)</f>
        <v>4.0999999999999996</v>
      </c>
      <c r="J108" s="93">
        <f t="shared" si="19"/>
        <v>0.51249999999999996</v>
      </c>
      <c r="K108" s="93">
        <f>SUMIFS(Table1[Horas efetivas],Table1[Tabela],Plano_V3!E108,Table1[Campo],Plano_V3!F108)</f>
        <v>4.0999999999999996</v>
      </c>
      <c r="L108" s="93">
        <f t="shared" si="20"/>
        <v>0.51249999999999996</v>
      </c>
      <c r="M108" s="93">
        <f t="shared" si="21"/>
        <v>1</v>
      </c>
      <c r="N108" s="96" t="s">
        <v>93</v>
      </c>
      <c r="O108" s="99">
        <f t="shared" si="17"/>
        <v>0.51249999999999996</v>
      </c>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100"/>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87"/>
      <c r="EJ108" s="87"/>
      <c r="EK108" s="87"/>
      <c r="EL108" s="100"/>
      <c r="EM108" s="100"/>
      <c r="EN108" s="100"/>
      <c r="EO108" s="100"/>
      <c r="EP108" s="100"/>
      <c r="EQ108" s="100"/>
    </row>
    <row r="109" spans="1:147" outlineLevel="1">
      <c r="A109" s="31" t="str">
        <f t="shared" si="18"/>
        <v>cd_imv_out_benscod_idd_pred</v>
      </c>
      <c r="B109" s="76" t="s">
        <v>28</v>
      </c>
      <c r="C109" s="77" t="s">
        <v>54</v>
      </c>
      <c r="D109" s="73" t="s">
        <v>40</v>
      </c>
      <c r="E109" s="75" t="s">
        <v>92</v>
      </c>
      <c r="F109" s="73" t="s">
        <v>101</v>
      </c>
      <c r="G109" s="73" t="str">
        <f>INDEX(Auxiliar!$B$16:$B$23,MATCH(Plano_V3!H109,Auxiliar!$C$16:$C$23,0),1)</f>
        <v>1. Concluído</v>
      </c>
      <c r="H109" s="73">
        <f>VLOOKUP(A109,'Aux - pivots1'!$A:$B,2,0)</f>
        <v>1</v>
      </c>
      <c r="I109" s="93">
        <f>SUMIFS(Table1[Estimação (horas)],Table1[Tabela],Plano_V3!E109,Table1[Campo],Plano_V3!F109)</f>
        <v>4.0999999999999996</v>
      </c>
      <c r="J109" s="93">
        <f t="shared" si="19"/>
        <v>0.51249999999999996</v>
      </c>
      <c r="K109" s="93">
        <f>SUMIFS(Table1[Horas efetivas],Table1[Tabela],Plano_V3!E109,Table1[Campo],Plano_V3!F109)</f>
        <v>4.0999999999999996</v>
      </c>
      <c r="L109" s="93">
        <f t="shared" si="20"/>
        <v>0.51249999999999996</v>
      </c>
      <c r="M109" s="93">
        <f t="shared" si="21"/>
        <v>1</v>
      </c>
      <c r="N109" s="96" t="s">
        <v>93</v>
      </c>
      <c r="O109" s="99">
        <f t="shared" si="17"/>
        <v>0.51249999999999996</v>
      </c>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100"/>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87"/>
      <c r="EJ109" s="87"/>
      <c r="EK109" s="87"/>
      <c r="EL109" s="100"/>
      <c r="EM109" s="100"/>
      <c r="EN109" s="100"/>
      <c r="EO109" s="100"/>
      <c r="EP109" s="100"/>
      <c r="EQ109" s="100"/>
    </row>
    <row r="110" spans="1:147" outlineLevel="1">
      <c r="A110" s="31" t="str">
        <f t="shared" si="18"/>
        <v>cd_imv_out_benscod_morada</v>
      </c>
      <c r="B110" s="76" t="s">
        <v>28</v>
      </c>
      <c r="C110" s="77" t="s">
        <v>54</v>
      </c>
      <c r="D110" s="73" t="s">
        <v>40</v>
      </c>
      <c r="E110" s="75" t="s">
        <v>92</v>
      </c>
      <c r="F110" s="73" t="s">
        <v>102</v>
      </c>
      <c r="G110" s="73" t="str">
        <f>INDEX(Auxiliar!$B$16:$B$23,MATCH(Plano_V3!H110,Auxiliar!$C$16:$C$23,0),1)</f>
        <v>1. Concluído</v>
      </c>
      <c r="H110" s="73">
        <f>VLOOKUP(A110,'Aux - pivots1'!$A:$B,2,0)</f>
        <v>1</v>
      </c>
      <c r="I110" s="93">
        <f>SUMIFS(Table1[Estimação (horas)],Table1[Tabela],Plano_V3!E110,Table1[Campo],Plano_V3!F110)</f>
        <v>4.0999999999999996</v>
      </c>
      <c r="J110" s="93">
        <f t="shared" si="19"/>
        <v>0.51249999999999996</v>
      </c>
      <c r="K110" s="93">
        <f>SUMIFS(Table1[Horas efetivas],Table1[Tabela],Plano_V3!E110,Table1[Campo],Plano_V3!F110)</f>
        <v>4.0999999999999996</v>
      </c>
      <c r="L110" s="93">
        <f t="shared" si="20"/>
        <v>0.51249999999999996</v>
      </c>
      <c r="M110" s="93">
        <f t="shared" si="21"/>
        <v>1</v>
      </c>
      <c r="N110" s="96" t="s">
        <v>93</v>
      </c>
      <c r="O110" s="99">
        <f t="shared" si="17"/>
        <v>0.51249999999999996</v>
      </c>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100"/>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87"/>
      <c r="EJ110" s="87"/>
      <c r="EK110" s="87"/>
      <c r="EL110" s="100"/>
      <c r="EM110" s="100"/>
      <c r="EN110" s="100"/>
      <c r="EO110" s="100"/>
      <c r="EP110" s="100"/>
      <c r="EQ110" s="100"/>
    </row>
    <row r="111" spans="1:147" outlineLevel="1">
      <c r="A111" s="31" t="str">
        <f t="shared" si="18"/>
        <v>cd_imv_out_benscod_pais</v>
      </c>
      <c r="B111" s="76" t="s">
        <v>28</v>
      </c>
      <c r="C111" s="77" t="s">
        <v>54</v>
      </c>
      <c r="D111" s="73" t="s">
        <v>40</v>
      </c>
      <c r="E111" s="75" t="s">
        <v>92</v>
      </c>
      <c r="F111" s="73" t="s">
        <v>103</v>
      </c>
      <c r="G111" s="73" t="str">
        <f>INDEX(Auxiliar!$B$16:$B$23,MATCH(Plano_V3!H111,Auxiliar!$C$16:$C$23,0),1)</f>
        <v>1. Concluído</v>
      </c>
      <c r="H111" s="73">
        <f>VLOOKUP(A111,'Aux - pivots1'!$A:$B,2,0)</f>
        <v>1</v>
      </c>
      <c r="I111" s="93">
        <f>SUMIFS(Table1[Estimação (horas)],Table1[Tabela],Plano_V3!E111,Table1[Campo],Plano_V3!F111)</f>
        <v>4.0999999999999996</v>
      </c>
      <c r="J111" s="93">
        <f t="shared" si="19"/>
        <v>0.51249999999999996</v>
      </c>
      <c r="K111" s="93">
        <f>SUMIFS(Table1[Horas efetivas],Table1[Tabela],Plano_V3!E111,Table1[Campo],Plano_V3!F111)</f>
        <v>4.0999999999999996</v>
      </c>
      <c r="L111" s="93">
        <f t="shared" si="20"/>
        <v>0.51249999999999996</v>
      </c>
      <c r="M111" s="93">
        <f t="shared" si="21"/>
        <v>1</v>
      </c>
      <c r="N111" s="96" t="s">
        <v>93</v>
      </c>
      <c r="O111" s="99">
        <f t="shared" si="17"/>
        <v>0.51249999999999996</v>
      </c>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100"/>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87"/>
      <c r="EJ111" s="87"/>
      <c r="EK111" s="87"/>
      <c r="EL111" s="100"/>
      <c r="EM111" s="100"/>
      <c r="EN111" s="100"/>
      <c r="EO111" s="100"/>
      <c r="EP111" s="100"/>
      <c r="EQ111" s="100"/>
    </row>
    <row r="112" spans="1:147" outlineLevel="1">
      <c r="A112" s="31" t="str">
        <f t="shared" si="18"/>
        <v>cd_imv_out_benscod_post</v>
      </c>
      <c r="B112" s="76" t="s">
        <v>28</v>
      </c>
      <c r="C112" s="77" t="s">
        <v>54</v>
      </c>
      <c r="D112" s="73" t="s">
        <v>40</v>
      </c>
      <c r="E112" s="75" t="s">
        <v>92</v>
      </c>
      <c r="F112" s="73" t="s">
        <v>104</v>
      </c>
      <c r="G112" s="73" t="str">
        <f>INDEX(Auxiliar!$B$16:$B$23,MATCH(Plano_V3!H112,Auxiliar!$C$16:$C$23,0),1)</f>
        <v>1. Concluído</v>
      </c>
      <c r="H112" s="73">
        <f>VLOOKUP(A112,'Aux - pivots1'!$A:$B,2,0)</f>
        <v>1</v>
      </c>
      <c r="I112" s="93">
        <f>SUMIFS(Table1[Estimação (horas)],Table1[Tabela],Plano_V3!E112,Table1[Campo],Plano_V3!F112)</f>
        <v>4.0999999999999996</v>
      </c>
      <c r="J112" s="93">
        <f t="shared" si="19"/>
        <v>0.51249999999999996</v>
      </c>
      <c r="K112" s="93">
        <f>SUMIFS(Table1[Horas efetivas],Table1[Tabela],Plano_V3!E112,Table1[Campo],Plano_V3!F112)</f>
        <v>4.0999999999999996</v>
      </c>
      <c r="L112" s="93">
        <f t="shared" si="20"/>
        <v>0.51249999999999996</v>
      </c>
      <c r="M112" s="93">
        <f t="shared" si="21"/>
        <v>1</v>
      </c>
      <c r="N112" s="96" t="s">
        <v>93</v>
      </c>
      <c r="O112" s="99">
        <f t="shared" si="17"/>
        <v>0.51249999999999996</v>
      </c>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100"/>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87"/>
      <c r="EJ112" s="87"/>
      <c r="EK112" s="87"/>
      <c r="EL112" s="100"/>
      <c r="EM112" s="100"/>
      <c r="EN112" s="100"/>
      <c r="EO112" s="100"/>
      <c r="EP112" s="100"/>
      <c r="EQ112" s="100"/>
    </row>
    <row r="113" spans="1:147" outlineLevel="1">
      <c r="A113" s="31" t="str">
        <f t="shared" si="18"/>
        <v>cd_imv_out_benscod_tp_bem</v>
      </c>
      <c r="B113" s="76" t="s">
        <v>28</v>
      </c>
      <c r="C113" s="77" t="s">
        <v>54</v>
      </c>
      <c r="D113" s="73" t="s">
        <v>40</v>
      </c>
      <c r="E113" s="75" t="s">
        <v>92</v>
      </c>
      <c r="F113" s="73" t="s">
        <v>105</v>
      </c>
      <c r="G113" s="73" t="str">
        <f>INDEX(Auxiliar!$B$16:$B$23,MATCH(Plano_V3!H113,Auxiliar!$C$16:$C$23,0),1)</f>
        <v>1. Concluído</v>
      </c>
      <c r="H113" s="73">
        <f>VLOOKUP(A113,'Aux - pivots1'!$A:$B,2,0)</f>
        <v>1</v>
      </c>
      <c r="I113" s="93">
        <f>SUMIFS(Table1[Estimação (horas)],Table1[Tabela],Plano_V3!E113,Table1[Campo],Plano_V3!F113)</f>
        <v>4.0999999999999996</v>
      </c>
      <c r="J113" s="93">
        <f t="shared" si="19"/>
        <v>0.51249999999999996</v>
      </c>
      <c r="K113" s="93">
        <f>SUMIFS(Table1[Horas efetivas],Table1[Tabela],Plano_V3!E113,Table1[Campo],Plano_V3!F113)</f>
        <v>4.0999999999999996</v>
      </c>
      <c r="L113" s="93">
        <f t="shared" si="20"/>
        <v>0.51249999999999996</v>
      </c>
      <c r="M113" s="93">
        <f t="shared" si="21"/>
        <v>1</v>
      </c>
      <c r="N113" s="96" t="s">
        <v>93</v>
      </c>
      <c r="O113" s="99">
        <f t="shared" si="17"/>
        <v>0.51249999999999996</v>
      </c>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100"/>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87"/>
      <c r="EJ113" s="87"/>
      <c r="EK113" s="87"/>
      <c r="EL113" s="100"/>
      <c r="EM113" s="100"/>
      <c r="EN113" s="100"/>
      <c r="EO113" s="100"/>
      <c r="EP113" s="100"/>
      <c r="EQ113" s="100"/>
    </row>
    <row r="114" spans="1:147" outlineLevel="1">
      <c r="A114" s="31" t="str">
        <f t="shared" si="18"/>
        <v>cd_imv_out_bensdata_avl</v>
      </c>
      <c r="B114" s="76" t="s">
        <v>28</v>
      </c>
      <c r="C114" s="77" t="s">
        <v>54</v>
      </c>
      <c r="D114" s="73" t="s">
        <v>40</v>
      </c>
      <c r="E114" s="75" t="s">
        <v>92</v>
      </c>
      <c r="F114" s="73" t="s">
        <v>106</v>
      </c>
      <c r="G114" s="73" t="str">
        <f>INDEX(Auxiliar!$B$16:$B$23,MATCH(Plano_V3!H114,Auxiliar!$C$16:$C$23,0),1)</f>
        <v>1. Concluído</v>
      </c>
      <c r="H114" s="73">
        <f>VLOOKUP(A114,'Aux - pivots1'!$A:$B,2,0)</f>
        <v>1</v>
      </c>
      <c r="I114" s="93">
        <f>SUMIFS(Table1[Estimação (horas)],Table1[Tabela],Plano_V3!E114,Table1[Campo],Plano_V3!F114)</f>
        <v>4.0999999999999996</v>
      </c>
      <c r="J114" s="93">
        <f t="shared" si="19"/>
        <v>0.51249999999999996</v>
      </c>
      <c r="K114" s="93">
        <f>SUMIFS(Table1[Horas efetivas],Table1[Tabela],Plano_V3!E114,Table1[Campo],Plano_V3!F114)</f>
        <v>4.0999999999999996</v>
      </c>
      <c r="L114" s="93">
        <f t="shared" si="20"/>
        <v>0.51249999999999996</v>
      </c>
      <c r="M114" s="93">
        <f t="shared" si="21"/>
        <v>1</v>
      </c>
      <c r="N114" s="96" t="s">
        <v>93</v>
      </c>
      <c r="O114" s="99">
        <f t="shared" si="17"/>
        <v>0.51249999999999996</v>
      </c>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100"/>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87"/>
      <c r="EJ114" s="87"/>
      <c r="EK114" s="87"/>
      <c r="EL114" s="100"/>
      <c r="EM114" s="100"/>
      <c r="EN114" s="100"/>
      <c r="EO114" s="100"/>
      <c r="EP114" s="100"/>
      <c r="EQ114" s="100"/>
    </row>
    <row r="115" spans="1:147" outlineLevel="1">
      <c r="A115" s="31" t="str">
        <f t="shared" si="18"/>
        <v>cd_imv_out_bensdata_lic_util</v>
      </c>
      <c r="B115" s="76" t="s">
        <v>28</v>
      </c>
      <c r="C115" s="77" t="s">
        <v>54</v>
      </c>
      <c r="D115" s="73" t="s">
        <v>40</v>
      </c>
      <c r="E115" s="75" t="s">
        <v>92</v>
      </c>
      <c r="F115" s="73" t="s">
        <v>107</v>
      </c>
      <c r="G115" s="73" t="str">
        <f>INDEX(Auxiliar!$B$16:$B$23,MATCH(Plano_V3!H115,Auxiliar!$C$16:$C$23,0),1)</f>
        <v>1. Concluído</v>
      </c>
      <c r="H115" s="73">
        <f>VLOOKUP(A115,'Aux - pivots1'!$A:$B,2,0)</f>
        <v>1</v>
      </c>
      <c r="I115" s="93">
        <f>SUMIFS(Table1[Estimação (horas)],Table1[Tabela],Plano_V3!E115,Table1[Campo],Plano_V3!F115)</f>
        <v>4.0999999999999996</v>
      </c>
      <c r="J115" s="93">
        <f t="shared" si="19"/>
        <v>0.51249999999999996</v>
      </c>
      <c r="K115" s="93">
        <f>SUMIFS(Table1[Horas efetivas],Table1[Tabela],Plano_V3!E115,Table1[Campo],Plano_V3!F115)</f>
        <v>4.0999999999999996</v>
      </c>
      <c r="L115" s="93">
        <f t="shared" si="20"/>
        <v>0.51249999999999996</v>
      </c>
      <c r="M115" s="93">
        <f t="shared" si="21"/>
        <v>1</v>
      </c>
      <c r="N115" s="96" t="s">
        <v>93</v>
      </c>
      <c r="O115" s="99">
        <f t="shared" si="17"/>
        <v>0.51249999999999996</v>
      </c>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100"/>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87"/>
      <c r="EJ115" s="87"/>
      <c r="EK115" s="87"/>
      <c r="EL115" s="100"/>
      <c r="EM115" s="100"/>
      <c r="EN115" s="100"/>
      <c r="EO115" s="100"/>
      <c r="EP115" s="100"/>
      <c r="EQ115" s="100"/>
    </row>
    <row r="116" spans="1:147" outlineLevel="1">
      <c r="A116" s="31" t="str">
        <f t="shared" si="18"/>
        <v>cd_imv_out_bensficha</v>
      </c>
      <c r="B116" s="76" t="s">
        <v>28</v>
      </c>
      <c r="C116" s="77" t="s">
        <v>54</v>
      </c>
      <c r="D116" s="73" t="s">
        <v>40</v>
      </c>
      <c r="E116" s="75" t="s">
        <v>92</v>
      </c>
      <c r="F116" s="73" t="s">
        <v>108</v>
      </c>
      <c r="G116" s="73" t="str">
        <f>INDEX(Auxiliar!$B$16:$B$23,MATCH(Plano_V3!H116,Auxiliar!$C$16:$C$23,0),1)</f>
        <v>1. Concluído</v>
      </c>
      <c r="H116" s="73">
        <f>VLOOKUP(A116,'Aux - pivots1'!$A:$B,2,0)</f>
        <v>1</v>
      </c>
      <c r="I116" s="93">
        <f>SUMIFS(Table1[Estimação (horas)],Table1[Tabela],Plano_V3!E116,Table1[Campo],Plano_V3!F116)</f>
        <v>4.0999999999999996</v>
      </c>
      <c r="J116" s="93">
        <f t="shared" si="19"/>
        <v>0.51249999999999996</v>
      </c>
      <c r="K116" s="93">
        <f>SUMIFS(Table1[Horas efetivas],Table1[Tabela],Plano_V3!E116,Table1[Campo],Plano_V3!F116)</f>
        <v>4.0999999999999996</v>
      </c>
      <c r="L116" s="93">
        <f t="shared" si="20"/>
        <v>0.51249999999999996</v>
      </c>
      <c r="M116" s="93">
        <f t="shared" si="21"/>
        <v>1</v>
      </c>
      <c r="N116" s="96" t="s">
        <v>93</v>
      </c>
      <c r="O116" s="99">
        <f t="shared" si="17"/>
        <v>0.51249999999999996</v>
      </c>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100"/>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87"/>
      <c r="EJ116" s="87"/>
      <c r="EK116" s="87"/>
      <c r="EL116" s="100"/>
      <c r="EM116" s="100"/>
      <c r="EN116" s="100"/>
      <c r="EO116" s="100"/>
      <c r="EP116" s="100"/>
      <c r="EQ116" s="100"/>
    </row>
    <row r="117" spans="1:147" outlineLevel="1">
      <c r="A117" s="31" t="str">
        <f t="shared" si="18"/>
        <v>cd_imv_out_bensid_frac</v>
      </c>
      <c r="B117" s="76" t="s">
        <v>28</v>
      </c>
      <c r="C117" s="77" t="s">
        <v>54</v>
      </c>
      <c r="D117" s="73" t="s">
        <v>40</v>
      </c>
      <c r="E117" s="75" t="s">
        <v>92</v>
      </c>
      <c r="F117" s="73" t="s">
        <v>109</v>
      </c>
      <c r="G117" s="73" t="str">
        <f>INDEX(Auxiliar!$B$16:$B$23,MATCH(Plano_V3!H117,Auxiliar!$C$16:$C$23,0),1)</f>
        <v>1. Concluído</v>
      </c>
      <c r="H117" s="73">
        <f>VLOOKUP(A117,'Aux - pivots1'!$A:$B,2,0)</f>
        <v>1</v>
      </c>
      <c r="I117" s="93">
        <f>SUMIFS(Table1[Estimação (horas)],Table1[Tabela],Plano_V3!E117,Table1[Campo],Plano_V3!F117)</f>
        <v>4.0999999999999996</v>
      </c>
      <c r="J117" s="93">
        <f t="shared" si="19"/>
        <v>0.51249999999999996</v>
      </c>
      <c r="K117" s="93">
        <f>SUMIFS(Table1[Horas efetivas],Table1[Tabela],Plano_V3!E117,Table1[Campo],Plano_V3!F117)</f>
        <v>4.0999999999999996</v>
      </c>
      <c r="L117" s="93">
        <f t="shared" si="20"/>
        <v>0.51249999999999996</v>
      </c>
      <c r="M117" s="93">
        <f t="shared" si="21"/>
        <v>1</v>
      </c>
      <c r="N117" s="96" t="s">
        <v>93</v>
      </c>
      <c r="O117" s="99">
        <f t="shared" si="17"/>
        <v>0.51249999999999996</v>
      </c>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87"/>
      <c r="AU117" s="87"/>
      <c r="AV117" s="87"/>
      <c r="AW117" s="100"/>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87"/>
      <c r="EJ117" s="87"/>
      <c r="EK117" s="87"/>
      <c r="EL117" s="100"/>
      <c r="EM117" s="100"/>
      <c r="EN117" s="100"/>
      <c r="EO117" s="100"/>
      <c r="EP117" s="100"/>
      <c r="EQ117" s="100"/>
    </row>
    <row r="118" spans="1:147" outlineLevel="1">
      <c r="A118" s="31" t="str">
        <f t="shared" si="18"/>
        <v>cd_imv_out_benslocalid</v>
      </c>
      <c r="B118" s="76" t="s">
        <v>28</v>
      </c>
      <c r="C118" s="77" t="s">
        <v>54</v>
      </c>
      <c r="D118" s="73" t="s">
        <v>40</v>
      </c>
      <c r="E118" s="75" t="s">
        <v>92</v>
      </c>
      <c r="F118" s="73" t="s">
        <v>110</v>
      </c>
      <c r="G118" s="73" t="str">
        <f>INDEX(Auxiliar!$B$16:$B$23,MATCH(Plano_V3!H118,Auxiliar!$C$16:$C$23,0),1)</f>
        <v>1. Concluído</v>
      </c>
      <c r="H118" s="73">
        <f>VLOOKUP(A118,'Aux - pivots1'!$A:$B,2,0)</f>
        <v>1</v>
      </c>
      <c r="I118" s="93">
        <f>SUMIFS(Table1[Estimação (horas)],Table1[Tabela],Plano_V3!E118,Table1[Campo],Plano_V3!F118)</f>
        <v>4.0999999999999996</v>
      </c>
      <c r="J118" s="93">
        <f t="shared" si="19"/>
        <v>0.51249999999999996</v>
      </c>
      <c r="K118" s="93">
        <f>SUMIFS(Table1[Horas efetivas],Table1[Tabela],Plano_V3!E118,Table1[Campo],Plano_V3!F118)</f>
        <v>4.0999999999999996</v>
      </c>
      <c r="L118" s="93">
        <f t="shared" si="20"/>
        <v>0.51249999999999996</v>
      </c>
      <c r="M118" s="93">
        <f t="shared" si="21"/>
        <v>1</v>
      </c>
      <c r="N118" s="96" t="s">
        <v>93</v>
      </c>
      <c r="O118" s="99">
        <f t="shared" si="17"/>
        <v>0.51249999999999996</v>
      </c>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U118" s="87"/>
      <c r="AV118" s="87"/>
      <c r="AW118" s="100"/>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87"/>
      <c r="EJ118" s="87"/>
      <c r="EK118" s="87"/>
      <c r="EL118" s="100"/>
      <c r="EM118" s="100"/>
      <c r="EN118" s="100"/>
      <c r="EO118" s="100"/>
      <c r="EP118" s="100"/>
      <c r="EQ118" s="100"/>
    </row>
    <row r="119" spans="1:147" outlineLevel="1">
      <c r="A119" s="31" t="str">
        <f t="shared" si="18"/>
        <v>cd_imv_out_benslote</v>
      </c>
      <c r="B119" s="76" t="s">
        <v>28</v>
      </c>
      <c r="C119" s="77" t="s">
        <v>54</v>
      </c>
      <c r="D119" s="73" t="s">
        <v>40</v>
      </c>
      <c r="E119" s="75" t="s">
        <v>92</v>
      </c>
      <c r="F119" s="73" t="s">
        <v>111</v>
      </c>
      <c r="G119" s="73" t="str">
        <f>INDEX(Auxiliar!$B$16:$B$23,MATCH(Plano_V3!H119,Auxiliar!$C$16:$C$23,0),1)</f>
        <v>1. Concluído</v>
      </c>
      <c r="H119" s="73">
        <f>VLOOKUP(A119,'Aux - pivots1'!$A:$B,2,0)</f>
        <v>1</v>
      </c>
      <c r="I119" s="93">
        <f>SUMIFS(Table1[Estimação (horas)],Table1[Tabela],Plano_V3!E119,Table1[Campo],Plano_V3!F119)</f>
        <v>4.0999999999999996</v>
      </c>
      <c r="J119" s="93">
        <f t="shared" si="19"/>
        <v>0.51249999999999996</v>
      </c>
      <c r="K119" s="93">
        <f>SUMIFS(Table1[Horas efetivas],Table1[Tabela],Plano_V3!E119,Table1[Campo],Plano_V3!F119)</f>
        <v>4.0999999999999996</v>
      </c>
      <c r="L119" s="93">
        <f t="shared" si="20"/>
        <v>0.51249999999999996</v>
      </c>
      <c r="M119" s="93">
        <f t="shared" si="21"/>
        <v>1</v>
      </c>
      <c r="N119" s="96" t="s">
        <v>93</v>
      </c>
      <c r="O119" s="99">
        <f t="shared" si="17"/>
        <v>0.51249999999999996</v>
      </c>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100"/>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87"/>
      <c r="EJ119" s="87"/>
      <c r="EK119" s="87"/>
      <c r="EL119" s="100"/>
      <c r="EM119" s="100"/>
      <c r="EN119" s="100"/>
      <c r="EO119" s="100"/>
      <c r="EP119" s="100"/>
      <c r="EQ119" s="100"/>
    </row>
    <row r="120" spans="1:147" outlineLevel="1">
      <c r="A120" s="31" t="str">
        <f t="shared" si="18"/>
        <v>cd_imv_out_bensmontante_avl</v>
      </c>
      <c r="B120" s="76" t="s">
        <v>28</v>
      </c>
      <c r="C120" s="77" t="s">
        <v>54</v>
      </c>
      <c r="D120" s="73" t="s">
        <v>40</v>
      </c>
      <c r="E120" s="75" t="s">
        <v>92</v>
      </c>
      <c r="F120" s="73" t="s">
        <v>112</v>
      </c>
      <c r="G120" s="73" t="str">
        <f>INDEX(Auxiliar!$B$16:$B$23,MATCH(Plano_V3!H120,Auxiliar!$C$16:$C$23,0),1)</f>
        <v>1. Concluído</v>
      </c>
      <c r="H120" s="73">
        <f>VLOOKUP(A120,'Aux - pivots1'!$A:$B,2,0)</f>
        <v>1</v>
      </c>
      <c r="I120" s="93">
        <f>SUMIFS(Table1[Estimação (horas)],Table1[Tabela],Plano_V3!E120,Table1[Campo],Plano_V3!F120)</f>
        <v>4.0999999999999996</v>
      </c>
      <c r="J120" s="93">
        <f t="shared" si="19"/>
        <v>0.51249999999999996</v>
      </c>
      <c r="K120" s="93">
        <f>SUMIFS(Table1[Horas efetivas],Table1[Tabela],Plano_V3!E120,Table1[Campo],Plano_V3!F120)</f>
        <v>4.0999999999999996</v>
      </c>
      <c r="L120" s="93">
        <f t="shared" si="20"/>
        <v>0.51249999999999996</v>
      </c>
      <c r="M120" s="93">
        <f t="shared" si="21"/>
        <v>1</v>
      </c>
      <c r="N120" s="96" t="s">
        <v>93</v>
      </c>
      <c r="O120" s="99">
        <f t="shared" si="17"/>
        <v>0.51249999999999996</v>
      </c>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87"/>
      <c r="AU120" s="87"/>
      <c r="AV120" s="87"/>
      <c r="AW120" s="100"/>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87"/>
      <c r="EJ120" s="87"/>
      <c r="EK120" s="87"/>
      <c r="EL120" s="100"/>
      <c r="EM120" s="100"/>
      <c r="EN120" s="100"/>
      <c r="EO120" s="100"/>
      <c r="EP120" s="100"/>
      <c r="EQ120" s="100"/>
    </row>
    <row r="121" spans="1:147" outlineLevel="1">
      <c r="A121" s="31" t="str">
        <f t="shared" si="18"/>
        <v>cd_imv_out_bensmontante_avl_dist</v>
      </c>
      <c r="B121" s="76" t="s">
        <v>28</v>
      </c>
      <c r="C121" s="77" t="s">
        <v>54</v>
      </c>
      <c r="D121" s="73" t="s">
        <v>40</v>
      </c>
      <c r="E121" s="75" t="s">
        <v>92</v>
      </c>
      <c r="F121" s="73" t="s">
        <v>113</v>
      </c>
      <c r="G121" s="73" t="str">
        <f>INDEX(Auxiliar!$B$16:$B$23,MATCH(Plano_V3!H121,Auxiliar!$C$16:$C$23,0),1)</f>
        <v>1. Concluído</v>
      </c>
      <c r="H121" s="73">
        <f>VLOOKUP(A121,'Aux - pivots1'!$A:$B,2,0)</f>
        <v>1</v>
      </c>
      <c r="I121" s="93">
        <f>SUMIFS(Table1[Estimação (horas)],Table1[Tabela],Plano_V3!E121,Table1[Campo],Plano_V3!F121)</f>
        <v>4.0999999999999996</v>
      </c>
      <c r="J121" s="93">
        <f t="shared" si="19"/>
        <v>0.51249999999999996</v>
      </c>
      <c r="K121" s="93">
        <f>SUMIFS(Table1[Horas efetivas],Table1[Tabela],Plano_V3!E121,Table1[Campo],Plano_V3!F121)</f>
        <v>4.0999999999999996</v>
      </c>
      <c r="L121" s="93">
        <f t="shared" si="20"/>
        <v>0.51249999999999996</v>
      </c>
      <c r="M121" s="93">
        <f t="shared" si="21"/>
        <v>1</v>
      </c>
      <c r="N121" s="96" t="s">
        <v>93</v>
      </c>
      <c r="O121" s="99">
        <f t="shared" si="17"/>
        <v>0.51249999999999996</v>
      </c>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87"/>
      <c r="AU121" s="87"/>
      <c r="AV121" s="87"/>
      <c r="AW121" s="100"/>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87"/>
      <c r="EJ121" s="87"/>
      <c r="EK121" s="87"/>
      <c r="EL121" s="100"/>
      <c r="EM121" s="100"/>
      <c r="EN121" s="100"/>
      <c r="EO121" s="100"/>
      <c r="EP121" s="100"/>
      <c r="EQ121" s="100"/>
    </row>
    <row r="122" spans="1:147" outlineLevel="1">
      <c r="A122" s="31" t="str">
        <f t="shared" si="18"/>
        <v>cd_imv_out_bensmontante_vnd_rap</v>
      </c>
      <c r="B122" s="76" t="s">
        <v>28</v>
      </c>
      <c r="C122" s="77" t="s">
        <v>54</v>
      </c>
      <c r="D122" s="73" t="s">
        <v>40</v>
      </c>
      <c r="E122" s="75" t="s">
        <v>92</v>
      </c>
      <c r="F122" s="73" t="s">
        <v>114</v>
      </c>
      <c r="G122" s="73" t="str">
        <f>INDEX(Auxiliar!$B$16:$B$23,MATCH(Plano_V3!H122,Auxiliar!$C$16:$C$23,0),1)</f>
        <v>1. Concluído</v>
      </c>
      <c r="H122" s="73">
        <f>VLOOKUP(A122,'Aux - pivots1'!$A:$B,2,0)</f>
        <v>1</v>
      </c>
      <c r="I122" s="93">
        <f>SUMIFS(Table1[Estimação (horas)],Table1[Tabela],Plano_V3!E122,Table1[Campo],Plano_V3!F122)</f>
        <v>4.0999999999999996</v>
      </c>
      <c r="J122" s="93">
        <f t="shared" si="19"/>
        <v>0.51249999999999996</v>
      </c>
      <c r="K122" s="93">
        <f>SUMIFS(Table1[Horas efetivas],Table1[Tabela],Plano_V3!E122,Table1[Campo],Plano_V3!F122)</f>
        <v>4.0999999999999996</v>
      </c>
      <c r="L122" s="93">
        <f t="shared" si="20"/>
        <v>0.51249999999999996</v>
      </c>
      <c r="M122" s="93">
        <f t="shared" si="21"/>
        <v>1</v>
      </c>
      <c r="N122" s="96" t="s">
        <v>93</v>
      </c>
      <c r="O122" s="99">
        <f t="shared" si="17"/>
        <v>0.51249999999999996</v>
      </c>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87"/>
      <c r="AU122" s="87"/>
      <c r="AV122" s="87"/>
      <c r="AW122" s="100"/>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87"/>
      <c r="EJ122" s="87"/>
      <c r="EK122" s="87"/>
      <c r="EL122" s="100"/>
      <c r="EM122" s="100"/>
      <c r="EN122" s="100"/>
      <c r="EO122" s="100"/>
      <c r="EP122" s="100"/>
      <c r="EQ122" s="100"/>
    </row>
    <row r="123" spans="1:147" outlineLevel="1">
      <c r="A123" s="31" t="str">
        <f t="shared" si="18"/>
        <v>cd_imv_out_bensmorada</v>
      </c>
      <c r="B123" s="76" t="s">
        <v>28</v>
      </c>
      <c r="C123" s="77" t="s">
        <v>54</v>
      </c>
      <c r="D123" s="73" t="s">
        <v>40</v>
      </c>
      <c r="E123" s="75" t="s">
        <v>92</v>
      </c>
      <c r="F123" s="73" t="s">
        <v>115</v>
      </c>
      <c r="G123" s="73" t="str">
        <f>INDEX(Auxiliar!$B$16:$B$23,MATCH(Plano_V3!H123,Auxiliar!$C$16:$C$23,0),1)</f>
        <v>1. Concluído</v>
      </c>
      <c r="H123" s="73">
        <f>VLOOKUP(A123,'Aux - pivots1'!$A:$B,2,0)</f>
        <v>1</v>
      </c>
      <c r="I123" s="93">
        <f>SUMIFS(Table1[Estimação (horas)],Table1[Tabela],Plano_V3!E123,Table1[Campo],Plano_V3!F123)</f>
        <v>4.0999999999999996</v>
      </c>
      <c r="J123" s="93">
        <f t="shared" si="19"/>
        <v>0.51249999999999996</v>
      </c>
      <c r="K123" s="93">
        <f>SUMIFS(Table1[Horas efetivas],Table1[Tabela],Plano_V3!E123,Table1[Campo],Plano_V3!F123)</f>
        <v>4.0999999999999996</v>
      </c>
      <c r="L123" s="93">
        <f t="shared" si="20"/>
        <v>0.51249999999999996</v>
      </c>
      <c r="M123" s="93">
        <f t="shared" si="21"/>
        <v>1</v>
      </c>
      <c r="N123" s="96" t="s">
        <v>93</v>
      </c>
      <c r="O123" s="99">
        <f t="shared" si="17"/>
        <v>0.51249999999999996</v>
      </c>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87"/>
      <c r="AU123" s="87"/>
      <c r="AV123" s="87"/>
      <c r="AW123" s="100"/>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87"/>
      <c r="EJ123" s="87"/>
      <c r="EK123" s="87"/>
      <c r="EL123" s="100"/>
      <c r="EM123" s="100"/>
      <c r="EN123" s="100"/>
      <c r="EO123" s="100"/>
      <c r="EP123" s="100"/>
      <c r="EQ123" s="100"/>
    </row>
    <row r="124" spans="1:147" outlineLevel="1">
      <c r="A124" s="31" t="str">
        <f t="shared" si="18"/>
        <v>cd_imv_out_bensnum</v>
      </c>
      <c r="B124" s="76" t="s">
        <v>28</v>
      </c>
      <c r="C124" s="77" t="s">
        <v>54</v>
      </c>
      <c r="D124" s="73" t="s">
        <v>40</v>
      </c>
      <c r="E124" s="75" t="s">
        <v>92</v>
      </c>
      <c r="F124" s="73" t="s">
        <v>116</v>
      </c>
      <c r="G124" s="73" t="str">
        <f>INDEX(Auxiliar!$B$16:$B$23,MATCH(Plano_V3!H124,Auxiliar!$C$16:$C$23,0),1)</f>
        <v>1. Concluído</v>
      </c>
      <c r="H124" s="73">
        <f>VLOOKUP(A124,'Aux - pivots1'!$A:$B,2,0)</f>
        <v>1</v>
      </c>
      <c r="I124" s="93">
        <f>SUMIFS(Table1[Estimação (horas)],Table1[Tabela],Plano_V3!E124,Table1[Campo],Plano_V3!F124)</f>
        <v>4.0999999999999996</v>
      </c>
      <c r="J124" s="93">
        <f t="shared" si="19"/>
        <v>0.51249999999999996</v>
      </c>
      <c r="K124" s="93">
        <f>SUMIFS(Table1[Horas efetivas],Table1[Tabela],Plano_V3!E124,Table1[Campo],Plano_V3!F124)</f>
        <v>4.0999999999999996</v>
      </c>
      <c r="L124" s="93">
        <f t="shared" si="20"/>
        <v>0.51249999999999996</v>
      </c>
      <c r="M124" s="93">
        <f t="shared" si="21"/>
        <v>1</v>
      </c>
      <c r="N124" s="96" t="s">
        <v>93</v>
      </c>
      <c r="O124" s="99">
        <f t="shared" si="17"/>
        <v>0.51249999999999996</v>
      </c>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87"/>
      <c r="AU124" s="87"/>
      <c r="AV124" s="87"/>
      <c r="AW124" s="100"/>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87"/>
      <c r="EJ124" s="87"/>
      <c r="EK124" s="87"/>
      <c r="EL124" s="100"/>
      <c r="EM124" s="100"/>
      <c r="EN124" s="100"/>
      <c r="EO124" s="100"/>
      <c r="EP124" s="100"/>
      <c r="EQ124" s="100"/>
    </row>
    <row r="125" spans="1:147" outlineLevel="1">
      <c r="A125" s="31" t="str">
        <f t="shared" si="18"/>
        <v>cd_imv_out_bensorigem</v>
      </c>
      <c r="B125" s="76" t="s">
        <v>28</v>
      </c>
      <c r="C125" s="77" t="s">
        <v>54</v>
      </c>
      <c r="D125" s="73" t="s">
        <v>40</v>
      </c>
      <c r="E125" s="75" t="s">
        <v>92</v>
      </c>
      <c r="F125" s="73" t="s">
        <v>72</v>
      </c>
      <c r="G125" s="73" t="str">
        <f>INDEX(Auxiliar!$B$16:$B$23,MATCH(Plano_V3!H125,Auxiliar!$C$16:$C$23,0),1)</f>
        <v>0. Cancelado</v>
      </c>
      <c r="H125" s="73">
        <f>VLOOKUP(A125,'Aux - pivots1'!$A:$B,2,0)</f>
        <v>0</v>
      </c>
      <c r="I125" s="93">
        <f>SUMIFS(Table1[Estimação (horas)],Table1[Tabela],Plano_V3!E125,Table1[Campo],Plano_V3!F125)</f>
        <v>4.0999999999999996</v>
      </c>
      <c r="J125" s="93">
        <f t="shared" si="19"/>
        <v>0.51249999999999996</v>
      </c>
      <c r="K125" s="93">
        <f>SUMIFS(Table1[Horas efetivas],Table1[Tabela],Plano_V3!E125,Table1[Campo],Plano_V3!F125)</f>
        <v>0</v>
      </c>
      <c r="L125" s="93">
        <f t="shared" si="20"/>
        <v>0</v>
      </c>
      <c r="M125" s="93">
        <f t="shared" si="21"/>
        <v>0</v>
      </c>
      <c r="N125" s="96" t="s">
        <v>93</v>
      </c>
      <c r="O125" s="99">
        <f t="shared" si="17"/>
        <v>0.51249999999999996</v>
      </c>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7"/>
      <c r="AU125" s="87"/>
      <c r="AV125" s="87"/>
      <c r="AW125" s="100"/>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87"/>
      <c r="EJ125" s="87"/>
      <c r="EK125" s="87"/>
      <c r="EL125" s="100"/>
      <c r="EM125" s="100"/>
      <c r="EN125" s="100"/>
      <c r="EO125" s="100"/>
      <c r="EP125" s="100"/>
      <c r="EQ125" s="100"/>
    </row>
    <row r="126" spans="1:147" outlineLevel="1">
      <c r="A126" s="31" t="str">
        <f t="shared" si="18"/>
        <v>cd_imv_out_bensperc_obra</v>
      </c>
      <c r="B126" s="76" t="s">
        <v>28</v>
      </c>
      <c r="C126" s="77" t="s">
        <v>54</v>
      </c>
      <c r="D126" s="73" t="s">
        <v>40</v>
      </c>
      <c r="E126" s="75" t="s">
        <v>92</v>
      </c>
      <c r="F126" s="73" t="s">
        <v>117</v>
      </c>
      <c r="G126" s="73" t="str">
        <f>INDEX(Auxiliar!$B$16:$B$23,MATCH(Plano_V3!H126,Auxiliar!$C$16:$C$23,0),1)</f>
        <v>1. Concluído</v>
      </c>
      <c r="H126" s="73">
        <f>VLOOKUP(A126,'Aux - pivots1'!$A:$B,2,0)</f>
        <v>1</v>
      </c>
      <c r="I126" s="93">
        <f>SUMIFS(Table1[Estimação (horas)],Table1[Tabela],Plano_V3!E126,Table1[Campo],Plano_V3!F126)</f>
        <v>8.1</v>
      </c>
      <c r="J126" s="93">
        <f t="shared" si="19"/>
        <v>1.0125</v>
      </c>
      <c r="K126" s="93">
        <f>SUMIFS(Table1[Horas efetivas],Table1[Tabela],Plano_V3!E126,Table1[Campo],Plano_V3!F126)</f>
        <v>8.1</v>
      </c>
      <c r="L126" s="93">
        <f t="shared" si="20"/>
        <v>1.0125</v>
      </c>
      <c r="M126" s="93">
        <f t="shared" si="21"/>
        <v>1</v>
      </c>
      <c r="N126" s="96" t="s">
        <v>93</v>
      </c>
      <c r="O126" s="99">
        <f t="shared" si="17"/>
        <v>1.0125</v>
      </c>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7"/>
      <c r="AU126" s="87"/>
      <c r="AV126" s="87"/>
      <c r="AW126" s="100"/>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87"/>
      <c r="EJ126" s="87"/>
      <c r="EK126" s="87"/>
      <c r="EL126" s="100"/>
      <c r="EM126" s="100"/>
      <c r="EN126" s="100"/>
      <c r="EO126" s="100"/>
      <c r="EP126" s="100"/>
      <c r="EQ126" s="100"/>
    </row>
    <row r="127" spans="1:147" outlineLevel="1">
      <c r="A127" s="31" t="str">
        <f t="shared" si="18"/>
        <v>cd_imv_out_bensprealcons</v>
      </c>
      <c r="B127" s="76" t="s">
        <v>28</v>
      </c>
      <c r="C127" s="77" t="s">
        <v>54</v>
      </c>
      <c r="D127" s="73" t="s">
        <v>40</v>
      </c>
      <c r="E127" s="75" t="s">
        <v>92</v>
      </c>
      <c r="F127" s="73" t="s">
        <v>118</v>
      </c>
      <c r="G127" s="73" t="str">
        <f>INDEX(Auxiliar!$B$16:$B$23,MATCH(Plano_V3!H127,Auxiliar!$C$16:$C$23,0),1)</f>
        <v>1. Concluído</v>
      </c>
      <c r="H127" s="73">
        <f>VLOOKUP(A127,'Aux - pivots1'!$A:$B,2,0)</f>
        <v>1</v>
      </c>
      <c r="I127" s="93">
        <f>SUMIFS(Table1[Estimação (horas)],Table1[Tabela],Plano_V3!E127,Table1[Campo],Plano_V3!F127)</f>
        <v>8.1</v>
      </c>
      <c r="J127" s="93">
        <f t="shared" si="19"/>
        <v>1.0125</v>
      </c>
      <c r="K127" s="93">
        <f>SUMIFS(Table1[Horas efetivas],Table1[Tabela],Plano_V3!E127,Table1[Campo],Plano_V3!F127)</f>
        <v>8.1</v>
      </c>
      <c r="L127" s="93">
        <f t="shared" si="20"/>
        <v>1.0125</v>
      </c>
      <c r="M127" s="93">
        <f t="shared" si="21"/>
        <v>1</v>
      </c>
      <c r="N127" s="96" t="s">
        <v>93</v>
      </c>
      <c r="O127" s="99">
        <f t="shared" si="17"/>
        <v>1.0125</v>
      </c>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U127" s="87"/>
      <c r="AV127" s="87"/>
      <c r="AW127" s="100"/>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87"/>
      <c r="EJ127" s="87"/>
      <c r="EK127" s="87"/>
      <c r="EL127" s="100"/>
      <c r="EM127" s="100"/>
      <c r="EN127" s="100"/>
      <c r="EO127" s="100"/>
      <c r="EP127" s="100"/>
      <c r="EQ127" s="100"/>
    </row>
    <row r="128" spans="1:147" outlineLevel="1">
      <c r="A128" s="31" t="str">
        <f t="shared" si="18"/>
        <v>cd_imv_out_bensref_date</v>
      </c>
      <c r="B128" s="76" t="s">
        <v>28</v>
      </c>
      <c r="C128" s="77" t="s">
        <v>54</v>
      </c>
      <c r="D128" s="73" t="s">
        <v>40</v>
      </c>
      <c r="E128" s="75" t="s">
        <v>92</v>
      </c>
      <c r="F128" s="73" t="s">
        <v>73</v>
      </c>
      <c r="G128" s="73" t="str">
        <f>INDEX(Auxiliar!$B$16:$B$23,MATCH(Plano_V3!H128,Auxiliar!$C$16:$C$23,0),1)</f>
        <v>1. Concluído</v>
      </c>
      <c r="H128" s="73">
        <f>VLOOKUP(A128,'Aux - pivots1'!$A:$B,2,0)</f>
        <v>1</v>
      </c>
      <c r="I128" s="93">
        <f>SUMIFS(Table1[Estimação (horas)],Table1[Tabela],Plano_V3!E128,Table1[Campo],Plano_V3!F128)</f>
        <v>4.0999999999999996</v>
      </c>
      <c r="J128" s="93">
        <f t="shared" si="19"/>
        <v>0.51249999999999996</v>
      </c>
      <c r="K128" s="93">
        <f>SUMIFS(Table1[Horas efetivas],Table1[Tabela],Plano_V3!E128,Table1[Campo],Plano_V3!F128)</f>
        <v>4.0999999999999996</v>
      </c>
      <c r="L128" s="93">
        <f t="shared" si="20"/>
        <v>0.51249999999999996</v>
      </c>
      <c r="M128" s="93">
        <f t="shared" si="21"/>
        <v>1</v>
      </c>
      <c r="N128" s="96" t="s">
        <v>93</v>
      </c>
      <c r="O128" s="99">
        <f t="shared" si="17"/>
        <v>0.51249999999999996</v>
      </c>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7"/>
      <c r="AU128" s="87"/>
      <c r="AV128" s="87"/>
      <c r="AW128" s="100"/>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87"/>
      <c r="EJ128" s="87"/>
      <c r="EK128" s="87"/>
      <c r="EL128" s="100"/>
      <c r="EM128" s="100"/>
      <c r="EN128" s="100"/>
      <c r="EO128" s="100"/>
      <c r="EP128" s="100"/>
      <c r="EQ128" s="100"/>
    </row>
    <row r="129" spans="1:147" outlineLevel="1">
      <c r="A129" s="31" t="str">
        <f t="shared" si="18"/>
        <v>cd_imv_out_bensurbaniz</v>
      </c>
      <c r="B129" s="76" t="s">
        <v>28</v>
      </c>
      <c r="C129" s="77" t="s">
        <v>54</v>
      </c>
      <c r="D129" s="73" t="s">
        <v>40</v>
      </c>
      <c r="E129" s="75" t="s">
        <v>92</v>
      </c>
      <c r="F129" s="73" t="s">
        <v>119</v>
      </c>
      <c r="G129" s="73" t="str">
        <f>INDEX(Auxiliar!$B$16:$B$23,MATCH(Plano_V3!H129,Auxiliar!$C$16:$C$23,0),1)</f>
        <v>1. Concluído</v>
      </c>
      <c r="H129" s="73">
        <f>VLOOKUP(A129,'Aux - pivots1'!$A:$B,2,0)</f>
        <v>1</v>
      </c>
      <c r="I129" s="93">
        <f>SUMIFS(Table1[Estimação (horas)],Table1[Tabela],Plano_V3!E129,Table1[Campo],Plano_V3!F129)</f>
        <v>4.0999999999999996</v>
      </c>
      <c r="J129" s="93">
        <f t="shared" si="19"/>
        <v>0.51249999999999996</v>
      </c>
      <c r="K129" s="93">
        <f>SUMIFS(Table1[Horas efetivas],Table1[Tabela],Plano_V3!E129,Table1[Campo],Plano_V3!F129)</f>
        <v>4.0999999999999996</v>
      </c>
      <c r="L129" s="93">
        <f t="shared" si="20"/>
        <v>0.51249999999999996</v>
      </c>
      <c r="M129" s="93">
        <f t="shared" si="21"/>
        <v>1</v>
      </c>
      <c r="N129" s="96" t="s">
        <v>93</v>
      </c>
      <c r="O129" s="99">
        <f t="shared" si="17"/>
        <v>0.51249999999999996</v>
      </c>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U129" s="87"/>
      <c r="AV129" s="87"/>
      <c r="AW129" s="100"/>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87"/>
      <c r="EJ129" s="87"/>
      <c r="EK129" s="87"/>
      <c r="EL129" s="100"/>
      <c r="EM129" s="100"/>
      <c r="EN129" s="100"/>
      <c r="EO129" s="100"/>
      <c r="EP129" s="100"/>
      <c r="EQ129" s="100"/>
    </row>
    <row r="130" spans="1:147" outlineLevel="1">
      <c r="A130" s="31" t="str">
        <f t="shared" si="18"/>
        <v>cd_imv_out_certifn.a.</v>
      </c>
      <c r="B130" s="76" t="s">
        <v>28</v>
      </c>
      <c r="C130" s="77" t="s">
        <v>54</v>
      </c>
      <c r="D130" s="73" t="s">
        <v>36</v>
      </c>
      <c r="E130" s="75" t="s">
        <v>120</v>
      </c>
      <c r="F130" s="73" t="s">
        <v>38</v>
      </c>
      <c r="G130" s="73" t="str">
        <f>INDEX(Auxiliar!$B$16:$B$23,MATCH(Plano_V3!H130,Auxiliar!$C$16:$C$23,0),1)</f>
        <v>1. Concluído</v>
      </c>
      <c r="H130" s="73">
        <f>VLOOKUP(A130,'Aux - pivots1'!$A:$B,2,0)</f>
        <v>1</v>
      </c>
      <c r="I130" s="93">
        <f>SUMIFS(Table1[Estimação (horas)],Table1[Tabela],Plano_V3!E130,Table1[Campo],Plano_V3!F130)</f>
        <v>8</v>
      </c>
      <c r="J130" s="93">
        <f t="shared" si="19"/>
        <v>1</v>
      </c>
      <c r="K130" s="93">
        <f>SUMIFS(Table1[Horas efetivas],Table1[Tabela],Plano_V3!E130,Table1[Campo],Plano_V3!F130)</f>
        <v>8</v>
      </c>
      <c r="L130" s="93">
        <f t="shared" si="20"/>
        <v>1</v>
      </c>
      <c r="M130" s="93">
        <f t="shared" si="21"/>
        <v>1</v>
      </c>
      <c r="N130" s="96" t="s">
        <v>121</v>
      </c>
      <c r="O130" s="99">
        <f t="shared" si="17"/>
        <v>1</v>
      </c>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U130" s="87"/>
      <c r="AV130" s="87"/>
      <c r="AW130" s="100"/>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87"/>
      <c r="EJ130" s="87"/>
      <c r="EK130" s="87"/>
      <c r="EL130" s="100"/>
      <c r="EM130" s="100"/>
      <c r="EN130" s="100"/>
      <c r="EO130" s="100"/>
      <c r="EP130" s="100"/>
      <c r="EQ130" s="100"/>
    </row>
    <row r="131" spans="1:147" outlineLevel="1">
      <c r="A131" s="31" t="str">
        <f t="shared" si="18"/>
        <v>cd_imv_out_certifcempbem</v>
      </c>
      <c r="B131" s="76" t="s">
        <v>28</v>
      </c>
      <c r="C131" s="77" t="s">
        <v>54</v>
      </c>
      <c r="D131" s="73" t="s">
        <v>40</v>
      </c>
      <c r="E131" s="75" t="s">
        <v>120</v>
      </c>
      <c r="F131" s="73" t="s">
        <v>41</v>
      </c>
      <c r="G131" s="73" t="str">
        <f>INDEX(Auxiliar!$B$16:$B$23,MATCH(Plano_V3!H131,Auxiliar!$C$16:$C$23,0),1)</f>
        <v>1. Concluído</v>
      </c>
      <c r="H131" s="73">
        <f>VLOOKUP(A131,'Aux - pivots1'!$A:$B,2,0)</f>
        <v>1</v>
      </c>
      <c r="I131" s="93">
        <f>SUMIFS(Table1[Estimação (horas)],Table1[Tabela],Plano_V3!E131,Table1[Campo],Plano_V3!F131)</f>
        <v>4.0999999999999996</v>
      </c>
      <c r="J131" s="93">
        <f t="shared" si="19"/>
        <v>0.51249999999999996</v>
      </c>
      <c r="K131" s="93">
        <f>SUMIFS(Table1[Horas efetivas],Table1[Tabela],Plano_V3!E131,Table1[Campo],Plano_V3!F131)</f>
        <v>4.0999999999999996</v>
      </c>
      <c r="L131" s="93">
        <f t="shared" si="20"/>
        <v>0.51249999999999996</v>
      </c>
      <c r="M131" s="93">
        <f t="shared" si="21"/>
        <v>1</v>
      </c>
      <c r="N131" s="96" t="s">
        <v>121</v>
      </c>
      <c r="O131" s="99">
        <f t="shared" si="17"/>
        <v>0.51249999999999996</v>
      </c>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87"/>
      <c r="AU131" s="87"/>
      <c r="AV131" s="87"/>
      <c r="AW131" s="100"/>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87"/>
      <c r="EJ131" s="87"/>
      <c r="EK131" s="87"/>
      <c r="EL131" s="100"/>
      <c r="EM131" s="100"/>
      <c r="EN131" s="100"/>
      <c r="EO131" s="100"/>
      <c r="EP131" s="100"/>
      <c r="EQ131" s="100"/>
    </row>
    <row r="132" spans="1:147" outlineLevel="1">
      <c r="A132" s="31" t="str">
        <f t="shared" si="18"/>
        <v>cd_imv_out_certifckbalbem</v>
      </c>
      <c r="B132" s="76" t="s">
        <v>28</v>
      </c>
      <c r="C132" s="77" t="s">
        <v>54</v>
      </c>
      <c r="D132" s="73" t="s">
        <v>40</v>
      </c>
      <c r="E132" s="75" t="s">
        <v>120</v>
      </c>
      <c r="F132" s="73" t="s">
        <v>43</v>
      </c>
      <c r="G132" s="73" t="str">
        <f>INDEX(Auxiliar!$B$16:$B$23,MATCH(Plano_V3!H132,Auxiliar!$C$16:$C$23,0),1)</f>
        <v>1. Concluído</v>
      </c>
      <c r="H132" s="73">
        <f>VLOOKUP(A132,'Aux - pivots1'!$A:$B,2,0)</f>
        <v>1</v>
      </c>
      <c r="I132" s="93">
        <f>SUMIFS(Table1[Estimação (horas)],Table1[Tabela],Plano_V3!E132,Table1[Campo],Plano_V3!F132)</f>
        <v>4.0999999999999996</v>
      </c>
      <c r="J132" s="93">
        <f t="shared" si="19"/>
        <v>0.51249999999999996</v>
      </c>
      <c r="K132" s="93">
        <f>SUMIFS(Table1[Horas efetivas],Table1[Tabela],Plano_V3!E132,Table1[Campo],Plano_V3!F132)</f>
        <v>4.0999999999999996</v>
      </c>
      <c r="L132" s="93">
        <f t="shared" si="20"/>
        <v>0.51249999999999996</v>
      </c>
      <c r="M132" s="93">
        <f t="shared" si="21"/>
        <v>1</v>
      </c>
      <c r="N132" s="96" t="s">
        <v>121</v>
      </c>
      <c r="O132" s="99">
        <f t="shared" si="17"/>
        <v>0.51249999999999996</v>
      </c>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87"/>
      <c r="AU132" s="87"/>
      <c r="AV132" s="87"/>
      <c r="AW132" s="100"/>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87"/>
      <c r="EJ132" s="87"/>
      <c r="EK132" s="87"/>
      <c r="EL132" s="100"/>
      <c r="EM132" s="100"/>
      <c r="EN132" s="100"/>
      <c r="EO132" s="100"/>
      <c r="EP132" s="100"/>
      <c r="EQ132" s="100"/>
    </row>
    <row r="133" spans="1:147" outlineLevel="1">
      <c r="A133" s="31" t="str">
        <f t="shared" si="18"/>
        <v>cd_imv_out_certifckctabem</v>
      </c>
      <c r="B133" s="76" t="s">
        <v>28</v>
      </c>
      <c r="C133" s="77" t="s">
        <v>54</v>
      </c>
      <c r="D133" s="73" t="s">
        <v>40</v>
      </c>
      <c r="E133" s="75" t="s">
        <v>120</v>
      </c>
      <c r="F133" s="73" t="s">
        <v>44</v>
      </c>
      <c r="G133" s="73" t="str">
        <f>INDEX(Auxiliar!$B$16:$B$23,MATCH(Plano_V3!H133,Auxiliar!$C$16:$C$23,0),1)</f>
        <v>1. Concluído</v>
      </c>
      <c r="H133" s="73">
        <f>VLOOKUP(A133,'Aux - pivots1'!$A:$B,2,0)</f>
        <v>1</v>
      </c>
      <c r="I133" s="93">
        <f>SUMIFS(Table1[Estimação (horas)],Table1[Tabela],Plano_V3!E133,Table1[Campo],Plano_V3!F133)</f>
        <v>4.0999999999999996</v>
      </c>
      <c r="J133" s="93">
        <f t="shared" si="19"/>
        <v>0.51249999999999996</v>
      </c>
      <c r="K133" s="93">
        <f>SUMIFS(Table1[Horas efetivas],Table1[Tabela],Plano_V3!E133,Table1[Campo],Plano_V3!F133)</f>
        <v>4.0999999999999996</v>
      </c>
      <c r="L133" s="93">
        <f t="shared" si="20"/>
        <v>0.51249999999999996</v>
      </c>
      <c r="M133" s="93">
        <f t="shared" si="21"/>
        <v>1</v>
      </c>
      <c r="N133" s="96" t="s">
        <v>121</v>
      </c>
      <c r="O133" s="99">
        <f t="shared" si="17"/>
        <v>0.51249999999999996</v>
      </c>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87"/>
      <c r="AU133" s="87"/>
      <c r="AV133" s="87"/>
      <c r="AW133" s="100"/>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87"/>
      <c r="EJ133" s="87"/>
      <c r="EK133" s="87"/>
      <c r="EL133" s="100"/>
      <c r="EM133" s="100"/>
      <c r="EN133" s="100"/>
      <c r="EO133" s="100"/>
      <c r="EP133" s="100"/>
      <c r="EQ133" s="100"/>
    </row>
    <row r="134" spans="1:147" outlineLevel="1">
      <c r="A134" s="31" t="str">
        <f t="shared" si="18"/>
        <v>cd_imv_out_certifckrefbem</v>
      </c>
      <c r="B134" s="76" t="s">
        <v>28</v>
      </c>
      <c r="C134" s="77" t="s">
        <v>54</v>
      </c>
      <c r="D134" s="73" t="s">
        <v>40</v>
      </c>
      <c r="E134" s="75" t="s">
        <v>120</v>
      </c>
      <c r="F134" s="73" t="s">
        <v>45</v>
      </c>
      <c r="G134" s="73" t="str">
        <f>INDEX(Auxiliar!$B$16:$B$23,MATCH(Plano_V3!H134,Auxiliar!$C$16:$C$23,0),1)</f>
        <v>1. Concluído</v>
      </c>
      <c r="H134" s="73">
        <f>VLOOKUP(A134,'Aux - pivots1'!$A:$B,2,0)</f>
        <v>1</v>
      </c>
      <c r="I134" s="93">
        <f>SUMIFS(Table1[Estimação (horas)],Table1[Tabela],Plano_V3!E134,Table1[Campo],Plano_V3!F134)</f>
        <v>4.0999999999999996</v>
      </c>
      <c r="J134" s="93">
        <f t="shared" si="19"/>
        <v>0.51249999999999996</v>
      </c>
      <c r="K134" s="93">
        <f>SUMIFS(Table1[Horas efetivas],Table1[Tabela],Plano_V3!E134,Table1[Campo],Plano_V3!F134)</f>
        <v>4.0999999999999996</v>
      </c>
      <c r="L134" s="93">
        <f t="shared" si="20"/>
        <v>0.51249999999999996</v>
      </c>
      <c r="M134" s="93">
        <f t="shared" si="21"/>
        <v>1</v>
      </c>
      <c r="N134" s="96" t="s">
        <v>121</v>
      </c>
      <c r="O134" s="99">
        <f t="shared" si="17"/>
        <v>0.51249999999999996</v>
      </c>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87"/>
      <c r="AU134" s="87"/>
      <c r="AV134" s="87"/>
      <c r="AW134" s="100"/>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87"/>
      <c r="EJ134" s="87"/>
      <c r="EK134" s="87"/>
      <c r="EL134" s="100"/>
      <c r="EM134" s="100"/>
      <c r="EN134" s="100"/>
      <c r="EO134" s="100"/>
      <c r="EP134" s="100"/>
      <c r="EQ134" s="100"/>
    </row>
    <row r="135" spans="1:147" outlineLevel="1">
      <c r="A135" s="31" t="str">
        <f t="shared" si="18"/>
        <v>cd_imv_out_certifcod_cnsrvtr_rgst_prdl</v>
      </c>
      <c r="B135" s="76" t="s">
        <v>28</v>
      </c>
      <c r="C135" s="77" t="s">
        <v>54</v>
      </c>
      <c r="D135" s="73" t="s">
        <v>40</v>
      </c>
      <c r="E135" s="75" t="s">
        <v>120</v>
      </c>
      <c r="F135" s="73" t="s">
        <v>122</v>
      </c>
      <c r="G135" s="73" t="str">
        <f>INDEX(Auxiliar!$B$16:$B$23,MATCH(Plano_V3!H135,Auxiliar!$C$16:$C$23,0),1)</f>
        <v>6. Em implementação (re-especificação)</v>
      </c>
      <c r="H135" s="73">
        <f>VLOOKUP(A135,'Aux - pivots1'!$A:$B,2,0)</f>
        <v>6</v>
      </c>
      <c r="I135" s="93">
        <f>SUMIFS(Table1[Estimação (horas)],Table1[Tabela],Plano_V3!E135,Table1[Campo],Plano_V3!F135)</f>
        <v>4.0999999999999996</v>
      </c>
      <c r="J135" s="93">
        <f t="shared" si="19"/>
        <v>0.51249999999999996</v>
      </c>
      <c r="K135" s="93">
        <f>SUMIFS(Table1[Horas efetivas],Table1[Tabela],Plano_V3!E135,Table1[Campo],Plano_V3!F135)</f>
        <v>1.0249999999999999</v>
      </c>
      <c r="L135" s="93">
        <f t="shared" si="20"/>
        <v>0.12812499999999999</v>
      </c>
      <c r="M135" s="93">
        <f t="shared" si="21"/>
        <v>0.25</v>
      </c>
      <c r="N135" s="96" t="s">
        <v>121</v>
      </c>
      <c r="O135" s="99">
        <f t="shared" si="17"/>
        <v>0.51249999999999996</v>
      </c>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87"/>
      <c r="AU135" s="87"/>
      <c r="AV135" s="87"/>
      <c r="AW135" s="100"/>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87"/>
      <c r="EJ135" s="87"/>
      <c r="EK135" s="87"/>
      <c r="EL135" s="100"/>
      <c r="EM135" s="100"/>
      <c r="EN135" s="100"/>
      <c r="EO135" s="100"/>
      <c r="EP135" s="100"/>
      <c r="EQ135" s="100"/>
    </row>
    <row r="136" spans="1:147" outlineLevel="1">
      <c r="A136" s="31" t="str">
        <f t="shared" si="18"/>
        <v>cd_imv_out_certifcod_inscrc</v>
      </c>
      <c r="B136" s="76" t="s">
        <v>28</v>
      </c>
      <c r="C136" s="77" t="s">
        <v>54</v>
      </c>
      <c r="D136" s="73" t="s">
        <v>40</v>
      </c>
      <c r="E136" s="75" t="s">
        <v>120</v>
      </c>
      <c r="F136" s="73" t="s">
        <v>123</v>
      </c>
      <c r="G136" s="73" t="str">
        <f>INDEX(Auxiliar!$B$16:$B$23,MATCH(Plano_V3!H136,Auxiliar!$C$16:$C$23,0),1)</f>
        <v>6. Em implementação (re-especificação)</v>
      </c>
      <c r="H136" s="73">
        <f>VLOOKUP(A136,'Aux - pivots1'!$A:$B,2,0)</f>
        <v>6</v>
      </c>
      <c r="I136" s="93">
        <f>SUMIFS(Table1[Estimação (horas)],Table1[Tabela],Plano_V3!E136,Table1[Campo],Plano_V3!F136)</f>
        <v>4.0999999999999996</v>
      </c>
      <c r="J136" s="93">
        <f t="shared" si="19"/>
        <v>0.51249999999999996</v>
      </c>
      <c r="K136" s="93">
        <f>SUMIFS(Table1[Horas efetivas],Table1[Tabela],Plano_V3!E136,Table1[Campo],Plano_V3!F136)</f>
        <v>1.0249999999999999</v>
      </c>
      <c r="L136" s="93">
        <f t="shared" si="20"/>
        <v>0.12812499999999999</v>
      </c>
      <c r="M136" s="93">
        <f t="shared" si="21"/>
        <v>0.25</v>
      </c>
      <c r="N136" s="96" t="s">
        <v>121</v>
      </c>
      <c r="O136" s="99">
        <f t="shared" si="17"/>
        <v>0.51249999999999996</v>
      </c>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7"/>
      <c r="AU136" s="87"/>
      <c r="AV136" s="87"/>
      <c r="AW136" s="100"/>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87"/>
      <c r="EJ136" s="87"/>
      <c r="EK136" s="87"/>
      <c r="EL136" s="100"/>
      <c r="EM136" s="100"/>
      <c r="EN136" s="100"/>
      <c r="EO136" s="100"/>
      <c r="EP136" s="100"/>
      <c r="EQ136" s="100"/>
    </row>
    <row r="137" spans="1:147" outlineLevel="1">
      <c r="A137" s="31" t="str">
        <f t="shared" si="18"/>
        <v>cd_imv_out_certifcod_sce</v>
      </c>
      <c r="B137" s="76" t="s">
        <v>28</v>
      </c>
      <c r="C137" s="77" t="s">
        <v>54</v>
      </c>
      <c r="D137" s="73" t="s">
        <v>40</v>
      </c>
      <c r="E137" s="75" t="s">
        <v>120</v>
      </c>
      <c r="F137" s="73" t="s">
        <v>124</v>
      </c>
      <c r="G137" s="73" t="str">
        <f>INDEX(Auxiliar!$B$16:$B$23,MATCH(Plano_V3!H137,Auxiliar!$C$16:$C$23,0),1)</f>
        <v>6. Em implementação (re-especificação)</v>
      </c>
      <c r="H137" s="73">
        <f>VLOOKUP(A137,'Aux - pivots1'!$A:$B,2,0)</f>
        <v>6</v>
      </c>
      <c r="I137" s="93">
        <f>SUMIFS(Table1[Estimação (horas)],Table1[Tabela],Plano_V3!E137,Table1[Campo],Plano_V3!F137)</f>
        <v>4.0999999999999996</v>
      </c>
      <c r="J137" s="93">
        <f t="shared" si="19"/>
        <v>0.51249999999999996</v>
      </c>
      <c r="K137" s="93">
        <f>SUMIFS(Table1[Horas efetivas],Table1[Tabela],Plano_V3!E137,Table1[Campo],Plano_V3!F137)</f>
        <v>1.0249999999999999</v>
      </c>
      <c r="L137" s="93">
        <f t="shared" si="20"/>
        <v>0.12812499999999999</v>
      </c>
      <c r="M137" s="93">
        <f t="shared" si="21"/>
        <v>0.25</v>
      </c>
      <c r="N137" s="96" t="s">
        <v>121</v>
      </c>
      <c r="O137" s="99">
        <f t="shared" si="17"/>
        <v>0.51249999999999996</v>
      </c>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87"/>
      <c r="AU137" s="87"/>
      <c r="AV137" s="87"/>
      <c r="AW137" s="100"/>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87"/>
      <c r="EJ137" s="87"/>
      <c r="EK137" s="87"/>
      <c r="EL137" s="100"/>
      <c r="EM137" s="100"/>
      <c r="EN137" s="100"/>
      <c r="EO137" s="100"/>
      <c r="EP137" s="100"/>
      <c r="EQ137" s="100"/>
    </row>
    <row r="138" spans="1:147" outlineLevel="1">
      <c r="A138" s="31" t="str">
        <f t="shared" si="18"/>
        <v>cd_imv_out_certifdata_epc</v>
      </c>
      <c r="B138" s="76" t="s">
        <v>28</v>
      </c>
      <c r="C138" s="77" t="s">
        <v>54</v>
      </c>
      <c r="D138" s="73" t="s">
        <v>40</v>
      </c>
      <c r="E138" s="75" t="s">
        <v>120</v>
      </c>
      <c r="F138" s="73" t="s">
        <v>125</v>
      </c>
      <c r="G138" s="73" t="str">
        <f>INDEX(Auxiliar!$B$16:$B$23,MATCH(Plano_V3!H138,Auxiliar!$C$16:$C$23,0),1)</f>
        <v>6. Em implementação (re-especificação)</v>
      </c>
      <c r="H138" s="73">
        <f>VLOOKUP(A138,'Aux - pivots1'!$A:$B,2,0)</f>
        <v>6</v>
      </c>
      <c r="I138" s="93">
        <f>SUMIFS(Table1[Estimação (horas)],Table1[Tabela],Plano_V3!E138,Table1[Campo],Plano_V3!F138)</f>
        <v>4.0999999999999996</v>
      </c>
      <c r="J138" s="93">
        <f t="shared" si="19"/>
        <v>0.51249999999999996</v>
      </c>
      <c r="K138" s="93">
        <f>SUMIFS(Table1[Horas efetivas],Table1[Tabela],Plano_V3!E138,Table1[Campo],Plano_V3!F138)</f>
        <v>1.0249999999999999</v>
      </c>
      <c r="L138" s="93">
        <f t="shared" si="20"/>
        <v>0.12812499999999999</v>
      </c>
      <c r="M138" s="93">
        <f t="shared" si="21"/>
        <v>0.25</v>
      </c>
      <c r="N138" s="96" t="s">
        <v>121</v>
      </c>
      <c r="O138" s="99">
        <f t="shared" si="17"/>
        <v>0.51249999999999996</v>
      </c>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87"/>
      <c r="AU138" s="87"/>
      <c r="AV138" s="87"/>
      <c r="AW138" s="100"/>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87"/>
      <c r="EJ138" s="87"/>
      <c r="EK138" s="87"/>
      <c r="EL138" s="100"/>
      <c r="EM138" s="100"/>
      <c r="EN138" s="100"/>
      <c r="EO138" s="100"/>
      <c r="EP138" s="100"/>
      <c r="EQ138" s="100"/>
    </row>
    <row r="139" spans="1:147" outlineLevel="1">
      <c r="A139" s="31" t="str">
        <f t="shared" si="18"/>
        <v>cd_imv_out_certifdata_exprc_epc</v>
      </c>
      <c r="B139" s="76" t="s">
        <v>28</v>
      </c>
      <c r="C139" s="77" t="s">
        <v>54</v>
      </c>
      <c r="D139" s="73" t="s">
        <v>40</v>
      </c>
      <c r="E139" s="75" t="s">
        <v>120</v>
      </c>
      <c r="F139" s="73" t="s">
        <v>126</v>
      </c>
      <c r="G139" s="73" t="str">
        <f>INDEX(Auxiliar!$B$16:$B$23,MATCH(Plano_V3!H139,Auxiliar!$C$16:$C$23,0),1)</f>
        <v>6. Em implementação (re-especificação)</v>
      </c>
      <c r="H139" s="73">
        <f>VLOOKUP(A139,'Aux - pivots1'!$A:$B,2,0)</f>
        <v>6</v>
      </c>
      <c r="I139" s="93">
        <f>SUMIFS(Table1[Estimação (horas)],Table1[Tabela],Plano_V3!E139,Table1[Campo],Plano_V3!F139)</f>
        <v>4.0999999999999996</v>
      </c>
      <c r="J139" s="93">
        <f t="shared" si="19"/>
        <v>0.51249999999999996</v>
      </c>
      <c r="K139" s="93">
        <f>SUMIFS(Table1[Horas efetivas],Table1[Tabela],Plano_V3!E139,Table1[Campo],Plano_V3!F139)</f>
        <v>1.0249999999999999</v>
      </c>
      <c r="L139" s="93">
        <f t="shared" si="20"/>
        <v>0.12812499999999999</v>
      </c>
      <c r="M139" s="93">
        <f t="shared" si="21"/>
        <v>0.25</v>
      </c>
      <c r="N139" s="96" t="s">
        <v>121</v>
      </c>
      <c r="O139" s="99">
        <f t="shared" si="17"/>
        <v>0.51249999999999996</v>
      </c>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87"/>
      <c r="AU139" s="87"/>
      <c r="AV139" s="87"/>
      <c r="AW139" s="100"/>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87"/>
      <c r="EJ139" s="87"/>
      <c r="EK139" s="87"/>
      <c r="EL139" s="100"/>
      <c r="EM139" s="100"/>
      <c r="EN139" s="100"/>
      <c r="EO139" s="100"/>
      <c r="EP139" s="100"/>
      <c r="EQ139" s="100"/>
    </row>
    <row r="140" spans="1:147" outlineLevel="1">
      <c r="A140" s="31" t="str">
        <f t="shared" si="18"/>
        <v>cd_imv_out_certifepc</v>
      </c>
      <c r="B140" s="76" t="s">
        <v>28</v>
      </c>
      <c r="C140" s="77" t="s">
        <v>54</v>
      </c>
      <c r="D140" s="73" t="s">
        <v>40</v>
      </c>
      <c r="E140" s="75" t="s">
        <v>120</v>
      </c>
      <c r="F140" s="73" t="s">
        <v>47</v>
      </c>
      <c r="G140" s="73" t="str">
        <f>INDEX(Auxiliar!$B$16:$B$23,MATCH(Plano_V3!H140,Auxiliar!$C$16:$C$23,0),1)</f>
        <v>6. Em implementação (re-especificação)</v>
      </c>
      <c r="H140" s="73">
        <f>VLOOKUP(A140,'Aux - pivots1'!$A:$B,2,0)</f>
        <v>6</v>
      </c>
      <c r="I140" s="93">
        <f>SUMIFS(Table1[Estimação (horas)],Table1[Tabela],Plano_V3!E140,Table1[Campo],Plano_V3!F140)</f>
        <v>4.0999999999999996</v>
      </c>
      <c r="J140" s="93">
        <f t="shared" si="19"/>
        <v>0.51249999999999996</v>
      </c>
      <c r="K140" s="93">
        <f>SUMIFS(Table1[Horas efetivas],Table1[Tabela],Plano_V3!E140,Table1[Campo],Plano_V3!F140)</f>
        <v>1.0249999999999999</v>
      </c>
      <c r="L140" s="93">
        <f t="shared" si="20"/>
        <v>0.12812499999999999</v>
      </c>
      <c r="M140" s="93">
        <f t="shared" si="21"/>
        <v>0.25</v>
      </c>
      <c r="N140" s="96" t="s">
        <v>121</v>
      </c>
      <c r="O140" s="99">
        <f t="shared" si="17"/>
        <v>0.51249999999999996</v>
      </c>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U140" s="87"/>
      <c r="AV140" s="87"/>
      <c r="AW140" s="100"/>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87"/>
      <c r="EJ140" s="87"/>
      <c r="EK140" s="87"/>
      <c r="EL140" s="100"/>
      <c r="EM140" s="100"/>
      <c r="EN140" s="100"/>
      <c r="EO140" s="100"/>
      <c r="EP140" s="100"/>
      <c r="EQ140" s="100"/>
    </row>
    <row r="141" spans="1:147" outlineLevel="1">
      <c r="A141" s="31" t="str">
        <f t="shared" si="18"/>
        <v>cd_imv_out_certifflg_efcc_enrg_cnsm_tp_s</v>
      </c>
      <c r="B141" s="76" t="s">
        <v>28</v>
      </c>
      <c r="C141" s="77" t="s">
        <v>54</v>
      </c>
      <c r="D141" s="73" t="s">
        <v>40</v>
      </c>
      <c r="E141" s="75" t="s">
        <v>120</v>
      </c>
      <c r="F141" s="73" t="s">
        <v>127</v>
      </c>
      <c r="G141" s="73" t="str">
        <f>INDEX(Auxiliar!$B$16:$B$23,MATCH(Plano_V3!H141,Auxiliar!$C$16:$C$23,0),1)</f>
        <v>1. Concluído</v>
      </c>
      <c r="H141" s="73">
        <f>VLOOKUP(A141,'Aux - pivots1'!$A:$B,2,0)</f>
        <v>1</v>
      </c>
      <c r="I141" s="93">
        <f>SUMIFS(Table1[Estimação (horas)],Table1[Tabela],Plano_V3!E141,Table1[Campo],Plano_V3!F141)</f>
        <v>4.0999999999999996</v>
      </c>
      <c r="J141" s="93">
        <f t="shared" si="19"/>
        <v>0.51249999999999996</v>
      </c>
      <c r="K141" s="93">
        <f>SUMIFS(Table1[Horas efetivas],Table1[Tabela],Plano_V3!E141,Table1[Campo],Plano_V3!F141)</f>
        <v>4.0999999999999996</v>
      </c>
      <c r="L141" s="93">
        <f t="shared" si="20"/>
        <v>0.51249999999999996</v>
      </c>
      <c r="M141" s="93">
        <f t="shared" si="21"/>
        <v>1</v>
      </c>
      <c r="N141" s="96" t="s">
        <v>121</v>
      </c>
      <c r="O141" s="99">
        <f t="shared" si="17"/>
        <v>0.51249999999999996</v>
      </c>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7"/>
      <c r="AU141" s="87"/>
      <c r="AV141" s="87"/>
      <c r="AW141" s="100"/>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87"/>
      <c r="EJ141" s="87"/>
      <c r="EK141" s="87"/>
      <c r="EL141" s="100"/>
      <c r="EM141" s="100"/>
      <c r="EN141" s="100"/>
      <c r="EO141" s="100"/>
      <c r="EP141" s="100"/>
      <c r="EQ141" s="100"/>
    </row>
    <row r="142" spans="1:147" outlineLevel="1">
      <c r="A142" s="31" t="str">
        <f t="shared" si="18"/>
        <v>cd_imv_out_certifflg_efcnc_enrg_cnsm_tp_t</v>
      </c>
      <c r="B142" s="76" t="s">
        <v>28</v>
      </c>
      <c r="C142" s="77" t="s">
        <v>54</v>
      </c>
      <c r="D142" s="73" t="s">
        <v>40</v>
      </c>
      <c r="E142" s="75" t="s">
        <v>120</v>
      </c>
      <c r="F142" s="73" t="s">
        <v>128</v>
      </c>
      <c r="G142" s="73" t="str">
        <f>INDEX(Auxiliar!$B$16:$B$23,MATCH(Plano_V3!H142,Auxiliar!$C$16:$C$23,0),1)</f>
        <v>1. Concluído</v>
      </c>
      <c r="H142" s="73">
        <f>VLOOKUP(A142,'Aux - pivots1'!$A:$B,2,0)</f>
        <v>1</v>
      </c>
      <c r="I142" s="93">
        <f>SUMIFS(Table1[Estimação (horas)],Table1[Tabela],Plano_V3!E142,Table1[Campo],Plano_V3!F142)</f>
        <v>4.0999999999999996</v>
      </c>
      <c r="J142" s="93">
        <f t="shared" si="19"/>
        <v>0.51249999999999996</v>
      </c>
      <c r="K142" s="93">
        <f>SUMIFS(Table1[Horas efetivas],Table1[Tabela],Plano_V3!E142,Table1[Campo],Plano_V3!F142)</f>
        <v>4.0999999999999996</v>
      </c>
      <c r="L142" s="93">
        <f t="shared" si="20"/>
        <v>0.51249999999999996</v>
      </c>
      <c r="M142" s="93">
        <f t="shared" si="21"/>
        <v>1</v>
      </c>
      <c r="N142" s="96" t="s">
        <v>121</v>
      </c>
      <c r="O142" s="99">
        <f t="shared" si="17"/>
        <v>0.51249999999999996</v>
      </c>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U142" s="87"/>
      <c r="AV142" s="87"/>
      <c r="AW142" s="100"/>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87"/>
      <c r="EJ142" s="87"/>
      <c r="EK142" s="87"/>
      <c r="EL142" s="100"/>
      <c r="EM142" s="100"/>
      <c r="EN142" s="100"/>
      <c r="EO142" s="100"/>
      <c r="EP142" s="100"/>
      <c r="EQ142" s="100"/>
    </row>
    <row r="143" spans="1:147" outlineLevel="1">
      <c r="A143" s="31" t="str">
        <f t="shared" si="18"/>
        <v>cd_imv_out_certifflg_efcnc_enrgtc</v>
      </c>
      <c r="B143" s="76" t="s">
        <v>28</v>
      </c>
      <c r="C143" s="77" t="s">
        <v>54</v>
      </c>
      <c r="D143" s="73" t="s">
        <v>40</v>
      </c>
      <c r="E143" s="75" t="s">
        <v>120</v>
      </c>
      <c r="F143" s="73" t="s">
        <v>129</v>
      </c>
      <c r="G143" s="73" t="str">
        <f>INDEX(Auxiliar!$B$16:$B$23,MATCH(Plano_V3!H143,Auxiliar!$C$16:$C$23,0),1)</f>
        <v>6. Em implementação (re-especificação)</v>
      </c>
      <c r="H143" s="73">
        <f>VLOOKUP(A143,'Aux - pivots1'!$A:$B,2,0)</f>
        <v>6</v>
      </c>
      <c r="I143" s="93">
        <f>SUMIFS(Table1[Estimação (horas)],Table1[Tabela],Plano_V3!E143,Table1[Campo],Plano_V3!F143)</f>
        <v>4.0999999999999996</v>
      </c>
      <c r="J143" s="93">
        <f t="shared" si="19"/>
        <v>0.51249999999999996</v>
      </c>
      <c r="K143" s="93">
        <f>SUMIFS(Table1[Horas efetivas],Table1[Tabela],Plano_V3!E143,Table1[Campo],Plano_V3!F143)</f>
        <v>1.0249999999999999</v>
      </c>
      <c r="L143" s="93">
        <f t="shared" si="20"/>
        <v>0.12812499999999999</v>
      </c>
      <c r="M143" s="93">
        <f t="shared" si="21"/>
        <v>0.25</v>
      </c>
      <c r="N143" s="96" t="s">
        <v>121</v>
      </c>
      <c r="O143" s="99">
        <f t="shared" si="17"/>
        <v>0.51249999999999996</v>
      </c>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U143" s="87"/>
      <c r="AV143" s="87"/>
      <c r="AW143" s="100"/>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87"/>
      <c r="EJ143" s="87"/>
      <c r="EK143" s="87"/>
      <c r="EL143" s="100"/>
      <c r="EM143" s="100"/>
      <c r="EN143" s="100"/>
      <c r="EO143" s="100"/>
      <c r="EP143" s="100"/>
      <c r="EQ143" s="100"/>
    </row>
    <row r="144" spans="1:147" outlineLevel="1">
      <c r="A144" s="31" t="str">
        <f t="shared" si="18"/>
        <v>cd_imv_out_certifflg_efcnc_enrgtc_rnvv</v>
      </c>
      <c r="B144" s="76" t="s">
        <v>28</v>
      </c>
      <c r="C144" s="77" t="s">
        <v>54</v>
      </c>
      <c r="D144" s="73" t="s">
        <v>40</v>
      </c>
      <c r="E144" s="75" t="s">
        <v>120</v>
      </c>
      <c r="F144" s="73" t="s">
        <v>130</v>
      </c>
      <c r="G144" s="73" t="str">
        <f>INDEX(Auxiliar!$B$16:$B$23,MATCH(Plano_V3!H144,Auxiliar!$C$16:$C$23,0),1)</f>
        <v>1. Concluído</v>
      </c>
      <c r="H144" s="73">
        <f>VLOOKUP(A144,'Aux - pivots1'!$A:$B,2,0)</f>
        <v>1</v>
      </c>
      <c r="I144" s="93">
        <f>SUMIFS(Table1[Estimação (horas)],Table1[Tabela],Plano_V3!E144,Table1[Campo],Plano_V3!F144)</f>
        <v>4.0999999999999996</v>
      </c>
      <c r="J144" s="93">
        <f t="shared" si="19"/>
        <v>0.51249999999999996</v>
      </c>
      <c r="K144" s="93">
        <f>SUMIFS(Table1[Horas efetivas],Table1[Tabela],Plano_V3!E144,Table1[Campo],Plano_V3!F144)</f>
        <v>4.0999999999999996</v>
      </c>
      <c r="L144" s="93">
        <f t="shared" si="20"/>
        <v>0.51249999999999996</v>
      </c>
      <c r="M144" s="93">
        <f t="shared" si="21"/>
        <v>1</v>
      </c>
      <c r="N144" s="96" t="s">
        <v>121</v>
      </c>
      <c r="O144" s="99">
        <f t="shared" si="17"/>
        <v>0.51249999999999996</v>
      </c>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87"/>
      <c r="AU144" s="87"/>
      <c r="AV144" s="87"/>
      <c r="AW144" s="100"/>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87"/>
      <c r="EJ144" s="87"/>
      <c r="EK144" s="87"/>
      <c r="EL144" s="100"/>
      <c r="EM144" s="100"/>
      <c r="EN144" s="100"/>
      <c r="EO144" s="100"/>
      <c r="EP144" s="100"/>
      <c r="EQ144" s="100"/>
    </row>
    <row r="145" spans="1:147" outlineLevel="1">
      <c r="A145" s="31" t="str">
        <f t="shared" si="18"/>
        <v>cd_imv_out_certifflg_nzeb</v>
      </c>
      <c r="B145" s="76" t="s">
        <v>28</v>
      </c>
      <c r="C145" s="77" t="s">
        <v>54</v>
      </c>
      <c r="D145" s="73" t="s">
        <v>40</v>
      </c>
      <c r="E145" s="75" t="s">
        <v>120</v>
      </c>
      <c r="F145" s="73" t="s">
        <v>131</v>
      </c>
      <c r="G145" s="73" t="str">
        <f>INDEX(Auxiliar!$B$16:$B$23,MATCH(Plano_V3!H145,Auxiliar!$C$16:$C$23,0),1)</f>
        <v>6. Em implementação (re-especificação)</v>
      </c>
      <c r="H145" s="73">
        <f>VLOOKUP(A145,'Aux - pivots1'!$A:$B,2,0)</f>
        <v>6</v>
      </c>
      <c r="I145" s="93">
        <f>SUMIFS(Table1[Estimação (horas)],Table1[Tabela],Plano_V3!E145,Table1[Campo],Plano_V3!F145)</f>
        <v>4.0999999999999996</v>
      </c>
      <c r="J145" s="93">
        <f t="shared" si="19"/>
        <v>0.51249999999999996</v>
      </c>
      <c r="K145" s="93">
        <f>SUMIFS(Table1[Horas efetivas],Table1[Tabela],Plano_V3!E145,Table1[Campo],Plano_V3!F145)</f>
        <v>1.0249999999999999</v>
      </c>
      <c r="L145" s="93">
        <f t="shared" si="20"/>
        <v>0.12812499999999999</v>
      </c>
      <c r="M145" s="93">
        <f t="shared" si="21"/>
        <v>0.25</v>
      </c>
      <c r="N145" s="96" t="s">
        <v>121</v>
      </c>
      <c r="O145" s="99">
        <f t="shared" si="17"/>
        <v>0.51249999999999996</v>
      </c>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U145" s="87"/>
      <c r="AV145" s="87"/>
      <c r="AW145" s="100"/>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87"/>
      <c r="EJ145" s="87"/>
      <c r="EK145" s="87"/>
      <c r="EL145" s="100"/>
      <c r="EM145" s="100"/>
      <c r="EN145" s="100"/>
      <c r="EO145" s="100"/>
      <c r="EP145" s="100"/>
      <c r="EQ145" s="100"/>
    </row>
    <row r="146" spans="1:147" outlineLevel="1">
      <c r="A146" s="31" t="str">
        <f t="shared" si="18"/>
        <v>cd_imv_out_certifmetodo_info</v>
      </c>
      <c r="B146" s="76" t="s">
        <v>28</v>
      </c>
      <c r="C146" s="77" t="s">
        <v>54</v>
      </c>
      <c r="D146" s="73" t="s">
        <v>40</v>
      </c>
      <c r="E146" s="75" t="s">
        <v>120</v>
      </c>
      <c r="F146" s="73" t="s">
        <v>49</v>
      </c>
      <c r="G146" s="73" t="str">
        <f>INDEX(Auxiliar!$B$16:$B$23,MATCH(Plano_V3!H146,Auxiliar!$C$16:$C$23,0),1)</f>
        <v>6. Em implementação (re-especificação)</v>
      </c>
      <c r="H146" s="73">
        <f>VLOOKUP(A146,'Aux - pivots1'!$A:$B,2,0)</f>
        <v>6</v>
      </c>
      <c r="I146" s="93">
        <f>SUMIFS(Table1[Estimação (horas)],Table1[Tabela],Plano_V3!E146,Table1[Campo],Plano_V3!F146)</f>
        <v>4.0999999999999996</v>
      </c>
      <c r="J146" s="93">
        <f t="shared" si="19"/>
        <v>0.51249999999999996</v>
      </c>
      <c r="K146" s="93">
        <f>SUMIFS(Table1[Horas efetivas],Table1[Tabela],Plano_V3!E146,Table1[Campo],Plano_V3!F146)</f>
        <v>1.0249999999999999</v>
      </c>
      <c r="L146" s="93">
        <f t="shared" si="20"/>
        <v>0.12812499999999999</v>
      </c>
      <c r="M146" s="93">
        <f t="shared" si="21"/>
        <v>0.25</v>
      </c>
      <c r="N146" s="96" t="s">
        <v>121</v>
      </c>
      <c r="O146" s="99">
        <f t="shared" si="17"/>
        <v>0.51249999999999996</v>
      </c>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87"/>
      <c r="AU146" s="87"/>
      <c r="AV146" s="87"/>
      <c r="AW146" s="100"/>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87"/>
      <c r="EJ146" s="87"/>
      <c r="EK146" s="87"/>
      <c r="EL146" s="100"/>
      <c r="EM146" s="100"/>
      <c r="EN146" s="100"/>
      <c r="EO146" s="100"/>
      <c r="EP146" s="100"/>
      <c r="EQ146" s="100"/>
    </row>
    <row r="147" spans="1:147" outlineLevel="1">
      <c r="A147" s="31" t="str">
        <f t="shared" si="18"/>
        <v>cd_imv_out_certifnvl_efcc_enrg</v>
      </c>
      <c r="B147" s="76" t="s">
        <v>28</v>
      </c>
      <c r="C147" s="77" t="s">
        <v>54</v>
      </c>
      <c r="D147" s="73" t="s">
        <v>40</v>
      </c>
      <c r="E147" s="75" t="s">
        <v>120</v>
      </c>
      <c r="F147" s="73" t="s">
        <v>132</v>
      </c>
      <c r="G147" s="73" t="str">
        <f>INDEX(Auxiliar!$B$16:$B$23,MATCH(Plano_V3!H147,Auxiliar!$C$16:$C$23,0),1)</f>
        <v>1. Concluído</v>
      </c>
      <c r="H147" s="73">
        <f>VLOOKUP(A147,'Aux - pivots1'!$A:$B,2,0)</f>
        <v>1</v>
      </c>
      <c r="I147" s="93">
        <f>SUMIFS(Table1[Estimação (horas)],Table1[Tabela],Plano_V3!E147,Table1[Campo],Plano_V3!F147)</f>
        <v>4.0999999999999996</v>
      </c>
      <c r="J147" s="93">
        <f t="shared" si="19"/>
        <v>0.51249999999999996</v>
      </c>
      <c r="K147" s="93">
        <f>SUMIFS(Table1[Horas efetivas],Table1[Tabela],Plano_V3!E147,Table1[Campo],Plano_V3!F147)</f>
        <v>4.0999999999999996</v>
      </c>
      <c r="L147" s="93">
        <f t="shared" si="20"/>
        <v>0.51249999999999996</v>
      </c>
      <c r="M147" s="93">
        <f t="shared" si="21"/>
        <v>1</v>
      </c>
      <c r="N147" s="96" t="s">
        <v>121</v>
      </c>
      <c r="O147" s="99">
        <f t="shared" si="17"/>
        <v>0.51249999999999996</v>
      </c>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87"/>
      <c r="AU147" s="87"/>
      <c r="AV147" s="87"/>
      <c r="AW147" s="100"/>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87"/>
      <c r="EJ147" s="87"/>
      <c r="EK147" s="87"/>
      <c r="EL147" s="100"/>
      <c r="EM147" s="100"/>
      <c r="EN147" s="100"/>
      <c r="EO147" s="100"/>
      <c r="EP147" s="100"/>
      <c r="EQ147" s="100"/>
    </row>
    <row r="148" spans="1:147" outlineLevel="1">
      <c r="A148" s="31" t="str">
        <f t="shared" si="18"/>
        <v>cd_imv_out_certiforigem</v>
      </c>
      <c r="B148" s="76" t="s">
        <v>28</v>
      </c>
      <c r="C148" s="77" t="s">
        <v>54</v>
      </c>
      <c r="D148" s="73" t="s">
        <v>40</v>
      </c>
      <c r="E148" s="75" t="s">
        <v>120</v>
      </c>
      <c r="F148" s="73" t="s">
        <v>72</v>
      </c>
      <c r="G148" s="73" t="str">
        <f>INDEX(Auxiliar!$B$16:$B$23,MATCH(Plano_V3!H148,Auxiliar!$C$16:$C$23,0),1)</f>
        <v>6. Em implementação (re-especificação)</v>
      </c>
      <c r="H148" s="73">
        <f>VLOOKUP(A148,'Aux - pivots1'!$A:$B,2,0)</f>
        <v>6</v>
      </c>
      <c r="I148" s="93">
        <f>SUMIFS(Table1[Estimação (horas)],Table1[Tabela],Plano_V3!E148,Table1[Campo],Plano_V3!F148)</f>
        <v>4.0999999999999996</v>
      </c>
      <c r="J148" s="93">
        <f t="shared" si="19"/>
        <v>0.51249999999999996</v>
      </c>
      <c r="K148" s="93">
        <f>SUMIFS(Table1[Horas efetivas],Table1[Tabela],Plano_V3!E148,Table1[Campo],Plano_V3!F148)</f>
        <v>1.0249999999999999</v>
      </c>
      <c r="L148" s="93">
        <f t="shared" si="20"/>
        <v>0.12812499999999999</v>
      </c>
      <c r="M148" s="93">
        <f t="shared" si="21"/>
        <v>0.25</v>
      </c>
      <c r="N148" s="96" t="s">
        <v>121</v>
      </c>
      <c r="O148" s="99">
        <f t="shared" si="17"/>
        <v>0.51249999999999996</v>
      </c>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U148" s="87"/>
      <c r="AV148" s="87"/>
      <c r="AW148" s="100"/>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87"/>
      <c r="EJ148" s="87"/>
      <c r="EK148" s="87"/>
      <c r="EL148" s="100"/>
      <c r="EM148" s="100"/>
      <c r="EN148" s="100"/>
      <c r="EO148" s="100"/>
      <c r="EP148" s="100"/>
      <c r="EQ148" s="100"/>
    </row>
    <row r="149" spans="1:147" outlineLevel="1">
      <c r="A149" s="31" t="str">
        <f t="shared" si="18"/>
        <v>cd_imv_out_certifref_date</v>
      </c>
      <c r="B149" s="76" t="s">
        <v>28</v>
      </c>
      <c r="C149" s="77" t="s">
        <v>54</v>
      </c>
      <c r="D149" s="73" t="s">
        <v>40</v>
      </c>
      <c r="E149" s="75" t="s">
        <v>120</v>
      </c>
      <c r="F149" s="73" t="s">
        <v>73</v>
      </c>
      <c r="G149" s="73" t="str">
        <f>INDEX(Auxiliar!$B$16:$B$23,MATCH(Plano_V3!H149,Auxiliar!$C$16:$C$23,0),1)</f>
        <v>1. Concluído</v>
      </c>
      <c r="H149" s="73">
        <f>VLOOKUP(A149,'Aux - pivots1'!$A:$B,2,0)</f>
        <v>1</v>
      </c>
      <c r="I149" s="93">
        <f>SUMIFS(Table1[Estimação (horas)],Table1[Tabela],Plano_V3!E149,Table1[Campo],Plano_V3!F149)</f>
        <v>4.0999999999999996</v>
      </c>
      <c r="J149" s="93">
        <f t="shared" si="19"/>
        <v>0.51249999999999996</v>
      </c>
      <c r="K149" s="93">
        <f>SUMIFS(Table1[Horas efetivas],Table1[Tabela],Plano_V3!E149,Table1[Campo],Plano_V3!F149)</f>
        <v>4.0999999999999996</v>
      </c>
      <c r="L149" s="93">
        <f t="shared" si="20"/>
        <v>0.51249999999999996</v>
      </c>
      <c r="M149" s="93">
        <f t="shared" si="21"/>
        <v>1</v>
      </c>
      <c r="N149" s="96" t="s">
        <v>121</v>
      </c>
      <c r="O149" s="99">
        <f t="shared" si="17"/>
        <v>0.51249999999999996</v>
      </c>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c r="AU149" s="87"/>
      <c r="AV149" s="87"/>
      <c r="AW149" s="100"/>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87"/>
      <c r="EJ149" s="87"/>
      <c r="EK149" s="87"/>
      <c r="EL149" s="100"/>
      <c r="EM149" s="100"/>
      <c r="EN149" s="100"/>
      <c r="EO149" s="100"/>
      <c r="EP149" s="100"/>
      <c r="EQ149" s="100"/>
    </row>
    <row r="150" spans="1:147" outlineLevel="1">
      <c r="A150" s="31" t="str">
        <f t="shared" si="18"/>
        <v>cd_imv_out_certiftp_crtfcd</v>
      </c>
      <c r="B150" s="76" t="s">
        <v>28</v>
      </c>
      <c r="C150" s="77" t="s">
        <v>54</v>
      </c>
      <c r="D150" s="73" t="s">
        <v>40</v>
      </c>
      <c r="E150" s="75" t="s">
        <v>120</v>
      </c>
      <c r="F150" s="73" t="s">
        <v>133</v>
      </c>
      <c r="G150" s="73" t="str">
        <f>INDEX(Auxiliar!$B$16:$B$23,MATCH(Plano_V3!H150,Auxiliar!$C$16:$C$23,0),1)</f>
        <v>6. Em implementação (re-especificação)</v>
      </c>
      <c r="H150" s="73">
        <f>VLOOKUP(A150,'Aux - pivots1'!$A:$B,2,0)</f>
        <v>6</v>
      </c>
      <c r="I150" s="93">
        <f>SUMIFS(Table1[Estimação (horas)],Table1[Tabela],Plano_V3!E150,Table1[Campo],Plano_V3!F150)</f>
        <v>4.0999999999999996</v>
      </c>
      <c r="J150" s="93">
        <f t="shared" si="19"/>
        <v>0.51249999999999996</v>
      </c>
      <c r="K150" s="93">
        <f>SUMIFS(Table1[Horas efetivas],Table1[Tabela],Plano_V3!E150,Table1[Campo],Plano_V3!F150)</f>
        <v>1.0249999999999999</v>
      </c>
      <c r="L150" s="93">
        <f t="shared" si="20"/>
        <v>0.12812499999999999</v>
      </c>
      <c r="M150" s="93">
        <f t="shared" si="21"/>
        <v>0.25</v>
      </c>
      <c r="N150" s="96" t="s">
        <v>121</v>
      </c>
      <c r="O150" s="99">
        <f t="shared" si="17"/>
        <v>0.51249999999999996</v>
      </c>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7"/>
      <c r="AU150" s="87"/>
      <c r="AV150" s="87"/>
      <c r="AW150" s="100"/>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87"/>
      <c r="EJ150" s="87"/>
      <c r="EK150" s="87"/>
      <c r="EL150" s="100"/>
      <c r="EM150" s="100"/>
      <c r="EN150" s="100"/>
      <c r="EO150" s="100"/>
      <c r="EP150" s="100"/>
      <c r="EQ150" s="100"/>
    </row>
    <row r="151" spans="1:147" outlineLevel="1">
      <c r="A151" s="31" t="str">
        <f t="shared" si="18"/>
        <v>cd_imv_out_certifvlr_agua_qnt_sant_edfc</v>
      </c>
      <c r="B151" s="76" t="s">
        <v>28</v>
      </c>
      <c r="C151" s="77" t="s">
        <v>54</v>
      </c>
      <c r="D151" s="73" t="s">
        <v>40</v>
      </c>
      <c r="E151" s="75" t="s">
        <v>120</v>
      </c>
      <c r="F151" s="73" t="s">
        <v>134</v>
      </c>
      <c r="G151" s="73" t="str">
        <f>INDEX(Auxiliar!$B$16:$B$23,MATCH(Plano_V3!H151,Auxiliar!$C$16:$C$23,0),1)</f>
        <v>1. Concluído</v>
      </c>
      <c r="H151" s="73">
        <f>VLOOKUP(A151,'Aux - pivots1'!$A:$B,2,0)</f>
        <v>1</v>
      </c>
      <c r="I151" s="93">
        <f>SUMIFS(Table1[Estimação (horas)],Table1[Tabela],Plano_V3!E151,Table1[Campo],Plano_V3!F151)</f>
        <v>4.0999999999999996</v>
      </c>
      <c r="J151" s="93">
        <f t="shared" si="19"/>
        <v>0.51249999999999996</v>
      </c>
      <c r="K151" s="93">
        <f>SUMIFS(Table1[Horas efetivas],Table1[Tabela],Plano_V3!E151,Table1[Campo],Plano_V3!F151)</f>
        <v>4.0999999999999996</v>
      </c>
      <c r="L151" s="93">
        <f t="shared" si="20"/>
        <v>0.51249999999999996</v>
      </c>
      <c r="M151" s="93">
        <f t="shared" si="21"/>
        <v>1</v>
      </c>
      <c r="N151" s="96" t="s">
        <v>121</v>
      </c>
      <c r="O151" s="99">
        <f t="shared" si="17"/>
        <v>0.51249999999999996</v>
      </c>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7"/>
      <c r="AU151" s="87"/>
      <c r="AV151" s="87"/>
      <c r="AW151" s="100"/>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87"/>
      <c r="EJ151" s="87"/>
      <c r="EK151" s="87"/>
      <c r="EL151" s="100"/>
      <c r="EM151" s="100"/>
      <c r="EN151" s="100"/>
      <c r="EO151" s="100"/>
      <c r="EP151" s="100"/>
      <c r="EQ151" s="100"/>
    </row>
    <row r="152" spans="1:147" outlineLevel="1">
      <c r="A152" s="31" t="str">
        <f t="shared" si="18"/>
        <v>cd_imv_out_certifvlr_agua_qnt_snt_rnvv</v>
      </c>
      <c r="B152" s="76" t="s">
        <v>28</v>
      </c>
      <c r="C152" s="77" t="s">
        <v>54</v>
      </c>
      <c r="D152" s="73" t="s">
        <v>40</v>
      </c>
      <c r="E152" s="75" t="s">
        <v>120</v>
      </c>
      <c r="F152" s="73" t="s">
        <v>135</v>
      </c>
      <c r="G152" s="73" t="str">
        <f>INDEX(Auxiliar!$B$16:$B$23,MATCH(Plano_V3!H152,Auxiliar!$C$16:$C$23,0),1)</f>
        <v>1. Concluído</v>
      </c>
      <c r="H152" s="73">
        <f>VLOOKUP(A152,'Aux - pivots1'!$A:$B,2,0)</f>
        <v>1</v>
      </c>
      <c r="I152" s="93">
        <f>SUMIFS(Table1[Estimação (horas)],Table1[Tabela],Plano_V3!E152,Table1[Campo],Plano_V3!F152)</f>
        <v>4.0999999999999996</v>
      </c>
      <c r="J152" s="93">
        <f t="shared" si="19"/>
        <v>0.51249999999999996</v>
      </c>
      <c r="K152" s="93">
        <f>SUMIFS(Table1[Horas efetivas],Table1[Tabela],Plano_V3!E152,Table1[Campo],Plano_V3!F152)</f>
        <v>4.0999999999999996</v>
      </c>
      <c r="L152" s="93">
        <f t="shared" si="20"/>
        <v>0.51249999999999996</v>
      </c>
      <c r="M152" s="93">
        <f t="shared" si="21"/>
        <v>1</v>
      </c>
      <c r="N152" s="96" t="s">
        <v>121</v>
      </c>
      <c r="O152" s="99">
        <f t="shared" si="17"/>
        <v>0.51249999999999996</v>
      </c>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87"/>
      <c r="AU152" s="87"/>
      <c r="AV152" s="87"/>
      <c r="AW152" s="100"/>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87"/>
      <c r="EJ152" s="87"/>
      <c r="EK152" s="87"/>
      <c r="EL152" s="100"/>
      <c r="EM152" s="100"/>
      <c r="EN152" s="100"/>
      <c r="EO152" s="100"/>
      <c r="EP152" s="100"/>
      <c r="EQ152" s="100"/>
    </row>
    <row r="153" spans="1:147" outlineLevel="1">
      <c r="A153" s="31" t="str">
        <f t="shared" si="18"/>
        <v>cd_imv_out_certifvlr_agua_qnt_sntr_rfrc</v>
      </c>
      <c r="B153" s="76" t="s">
        <v>28</v>
      </c>
      <c r="C153" s="77" t="s">
        <v>54</v>
      </c>
      <c r="D153" s="73" t="s">
        <v>40</v>
      </c>
      <c r="E153" s="75" t="s">
        <v>120</v>
      </c>
      <c r="F153" s="73" t="s">
        <v>136</v>
      </c>
      <c r="G153" s="73" t="str">
        <f>INDEX(Auxiliar!$B$16:$B$23,MATCH(Plano_V3!H153,Auxiliar!$C$16:$C$23,0),1)</f>
        <v>1. Concluído</v>
      </c>
      <c r="H153" s="73">
        <f>VLOOKUP(A153,'Aux - pivots1'!$A:$B,2,0)</f>
        <v>1</v>
      </c>
      <c r="I153" s="93">
        <f>SUMIFS(Table1[Estimação (horas)],Table1[Tabela],Plano_V3!E153,Table1[Campo],Plano_V3!F153)</f>
        <v>4.0999999999999996</v>
      </c>
      <c r="J153" s="93">
        <f t="shared" si="19"/>
        <v>0.51249999999999996</v>
      </c>
      <c r="K153" s="93">
        <f>SUMIFS(Table1[Horas efetivas],Table1[Tabela],Plano_V3!E153,Table1[Campo],Plano_V3!F153)</f>
        <v>4.0999999999999996</v>
      </c>
      <c r="L153" s="93">
        <f t="shared" si="20"/>
        <v>0.51249999999999996</v>
      </c>
      <c r="M153" s="93">
        <f t="shared" si="21"/>
        <v>1</v>
      </c>
      <c r="N153" s="96" t="s">
        <v>121</v>
      </c>
      <c r="O153" s="99">
        <f t="shared" si="17"/>
        <v>0.51249999999999996</v>
      </c>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87"/>
      <c r="AU153" s="87"/>
      <c r="AV153" s="87"/>
      <c r="AW153" s="100"/>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87"/>
      <c r="EJ153" s="87"/>
      <c r="EK153" s="87"/>
      <c r="EL153" s="100"/>
      <c r="EM153" s="100"/>
      <c r="EN153" s="100"/>
      <c r="EO153" s="100"/>
      <c r="EP153" s="100"/>
      <c r="EQ153" s="100"/>
    </row>
    <row r="154" spans="1:147" outlineLevel="1">
      <c r="A154" s="31" t="str">
        <f t="shared" si="18"/>
        <v>cd_imv_out_certifvlr_alttt</v>
      </c>
      <c r="B154" s="76" t="s">
        <v>28</v>
      </c>
      <c r="C154" s="77" t="s">
        <v>54</v>
      </c>
      <c r="D154" s="73" t="s">
        <v>40</v>
      </c>
      <c r="E154" s="75" t="s">
        <v>120</v>
      </c>
      <c r="F154" s="73" t="s">
        <v>137</v>
      </c>
      <c r="G154" s="73" t="str">
        <f>INDEX(Auxiliar!$B$16:$B$23,MATCH(Plano_V3!H154,Auxiliar!$C$16:$C$23,0),1)</f>
        <v>1. Concluído</v>
      </c>
      <c r="H154" s="73">
        <f>VLOOKUP(A154,'Aux - pivots1'!$A:$B,2,0)</f>
        <v>1</v>
      </c>
      <c r="I154" s="93">
        <f>SUMIFS(Table1[Estimação (horas)],Table1[Tabela],Plano_V3!E154,Table1[Campo],Plano_V3!F154)</f>
        <v>4.0999999999999996</v>
      </c>
      <c r="J154" s="93">
        <f t="shared" si="19"/>
        <v>0.51249999999999996</v>
      </c>
      <c r="K154" s="93">
        <f>SUMIFS(Table1[Horas efetivas],Table1[Tabela],Plano_V3!E154,Table1[Campo],Plano_V3!F154)</f>
        <v>4.0999999999999996</v>
      </c>
      <c r="L154" s="93">
        <f t="shared" si="20"/>
        <v>0.51249999999999996</v>
      </c>
      <c r="M154" s="93">
        <f t="shared" si="21"/>
        <v>1</v>
      </c>
      <c r="N154" s="96" t="s">
        <v>121</v>
      </c>
      <c r="O154" s="99">
        <f t="shared" ref="O154:O224" si="22">J154-SUM(P154:EQ154)</f>
        <v>0.51249999999999996</v>
      </c>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87"/>
      <c r="AU154" s="87"/>
      <c r="AV154" s="87"/>
      <c r="AW154" s="100"/>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87"/>
      <c r="EJ154" s="87"/>
      <c r="EK154" s="87"/>
      <c r="EL154" s="100"/>
      <c r="EM154" s="100"/>
      <c r="EN154" s="100"/>
      <c r="EO154" s="100"/>
      <c r="EP154" s="100"/>
      <c r="EQ154" s="100"/>
    </row>
    <row r="155" spans="1:147" outlineLevel="1">
      <c r="A155" s="31" t="str">
        <f t="shared" si="18"/>
        <v>cd_imv_out_certifvlr_aqcmnt_ambnt_edfc</v>
      </c>
      <c r="B155" s="76" t="s">
        <v>28</v>
      </c>
      <c r="C155" s="77" t="s">
        <v>54</v>
      </c>
      <c r="D155" s="73" t="s">
        <v>40</v>
      </c>
      <c r="E155" s="75" t="s">
        <v>120</v>
      </c>
      <c r="F155" s="73" t="s">
        <v>138</v>
      </c>
      <c r="G155" s="73" t="str">
        <f>INDEX(Auxiliar!$B$16:$B$23,MATCH(Plano_V3!H155,Auxiliar!$C$16:$C$23,0),1)</f>
        <v>1. Concluído</v>
      </c>
      <c r="H155" s="73">
        <f>VLOOKUP(A155,'Aux - pivots1'!$A:$B,2,0)</f>
        <v>1</v>
      </c>
      <c r="I155" s="93">
        <f>SUMIFS(Table1[Estimação (horas)],Table1[Tabela],Plano_V3!E155,Table1[Campo],Plano_V3!F155)</f>
        <v>4.0999999999999996</v>
      </c>
      <c r="J155" s="93">
        <f t="shared" si="19"/>
        <v>0.51249999999999996</v>
      </c>
      <c r="K155" s="93">
        <f>SUMIFS(Table1[Horas efetivas],Table1[Tabela],Plano_V3!E155,Table1[Campo],Plano_V3!F155)</f>
        <v>4.0999999999999996</v>
      </c>
      <c r="L155" s="93">
        <f t="shared" si="20"/>
        <v>0.51249999999999996</v>
      </c>
      <c r="M155" s="93">
        <f t="shared" si="21"/>
        <v>1</v>
      </c>
      <c r="N155" s="96" t="s">
        <v>121</v>
      </c>
      <c r="O155" s="99">
        <f t="shared" si="22"/>
        <v>0.51249999999999996</v>
      </c>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87"/>
      <c r="AU155" s="87"/>
      <c r="AV155" s="87"/>
      <c r="AW155" s="100"/>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87"/>
      <c r="EJ155" s="87"/>
      <c r="EK155" s="87"/>
      <c r="EL155" s="100"/>
      <c r="EM155" s="100"/>
      <c r="EN155" s="100"/>
      <c r="EO155" s="100"/>
      <c r="EP155" s="100"/>
      <c r="EQ155" s="100"/>
    </row>
    <row r="156" spans="1:147" outlineLevel="1">
      <c r="A156" s="31" t="str">
        <f t="shared" ref="A156:A226" si="23">E156&amp;F156</f>
        <v>cd_imv_out_certifvlr_aqcmnt_ambnt_rfrc</v>
      </c>
      <c r="B156" s="76" t="s">
        <v>28</v>
      </c>
      <c r="C156" s="77" t="s">
        <v>54</v>
      </c>
      <c r="D156" s="73" t="s">
        <v>40</v>
      </c>
      <c r="E156" s="75" t="s">
        <v>120</v>
      </c>
      <c r="F156" s="73" t="s">
        <v>139</v>
      </c>
      <c r="G156" s="73" t="str">
        <f>INDEX(Auxiliar!$B$16:$B$23,MATCH(Plano_V3!H156,Auxiliar!$C$16:$C$23,0),1)</f>
        <v>1. Concluído</v>
      </c>
      <c r="H156" s="73">
        <f>VLOOKUP(A156,'Aux - pivots1'!$A:$B,2,0)</f>
        <v>1</v>
      </c>
      <c r="I156" s="93">
        <f>SUMIFS(Table1[Estimação (horas)],Table1[Tabela],Plano_V3!E156,Table1[Campo],Plano_V3!F156)</f>
        <v>4.0999999999999996</v>
      </c>
      <c r="J156" s="93">
        <f t="shared" si="19"/>
        <v>0.51249999999999996</v>
      </c>
      <c r="K156" s="93">
        <f>SUMIFS(Table1[Horas efetivas],Table1[Tabela],Plano_V3!E156,Table1[Campo],Plano_V3!F156)</f>
        <v>4.0999999999999996</v>
      </c>
      <c r="L156" s="93">
        <f t="shared" si="20"/>
        <v>0.51249999999999996</v>
      </c>
      <c r="M156" s="93">
        <f t="shared" si="21"/>
        <v>1</v>
      </c>
      <c r="N156" s="96" t="s">
        <v>121</v>
      </c>
      <c r="O156" s="99">
        <f t="shared" si="22"/>
        <v>0.51249999999999996</v>
      </c>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87"/>
      <c r="AU156" s="87"/>
      <c r="AV156" s="87"/>
      <c r="AW156" s="100"/>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87"/>
      <c r="EJ156" s="87"/>
      <c r="EK156" s="87"/>
      <c r="EL156" s="100"/>
      <c r="EM156" s="100"/>
      <c r="EN156" s="100"/>
      <c r="EO156" s="100"/>
      <c r="EP156" s="100"/>
      <c r="EQ156" s="100"/>
    </row>
    <row r="157" spans="1:147" outlineLevel="1">
      <c r="A157" s="31" t="str">
        <f t="shared" si="23"/>
        <v>cd_imv_out_certifvlr_aqcmnt_ambnt_rnvv</v>
      </c>
      <c r="B157" s="76" t="s">
        <v>28</v>
      </c>
      <c r="C157" s="77" t="s">
        <v>54</v>
      </c>
      <c r="D157" s="73" t="s">
        <v>40</v>
      </c>
      <c r="E157" s="75" t="s">
        <v>120</v>
      </c>
      <c r="F157" s="73" t="s">
        <v>140</v>
      </c>
      <c r="G157" s="73" t="str">
        <f>INDEX(Auxiliar!$B$16:$B$23,MATCH(Plano_V3!H157,Auxiliar!$C$16:$C$23,0),1)</f>
        <v>1. Concluído</v>
      </c>
      <c r="H157" s="73">
        <f>VLOOKUP(A157,'Aux - pivots1'!$A:$B,2,0)</f>
        <v>1</v>
      </c>
      <c r="I157" s="93">
        <f>SUMIFS(Table1[Estimação (horas)],Table1[Tabela],Plano_V3!E157,Table1[Campo],Plano_V3!F157)</f>
        <v>4.0999999999999996</v>
      </c>
      <c r="J157" s="93">
        <f t="shared" si="19"/>
        <v>0.51249999999999996</v>
      </c>
      <c r="K157" s="93">
        <f>SUMIFS(Table1[Horas efetivas],Table1[Tabela],Plano_V3!E157,Table1[Campo],Plano_V3!F157)</f>
        <v>4.0999999999999996</v>
      </c>
      <c r="L157" s="93">
        <f t="shared" si="20"/>
        <v>0.51249999999999996</v>
      </c>
      <c r="M157" s="93">
        <f t="shared" si="21"/>
        <v>1</v>
      </c>
      <c r="N157" s="96" t="s">
        <v>121</v>
      </c>
      <c r="O157" s="99">
        <f t="shared" si="22"/>
        <v>0.51249999999999996</v>
      </c>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87"/>
      <c r="AU157" s="87"/>
      <c r="AV157" s="87"/>
      <c r="AW157" s="100"/>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87"/>
      <c r="EJ157" s="87"/>
      <c r="EK157" s="87"/>
      <c r="EL157" s="100"/>
      <c r="EM157" s="100"/>
      <c r="EN157" s="100"/>
      <c r="EO157" s="100"/>
      <c r="EP157" s="100"/>
      <c r="EQ157" s="100"/>
    </row>
    <row r="158" spans="1:147" outlineLevel="1">
      <c r="A158" s="31" t="str">
        <f t="shared" si="23"/>
        <v>cd_imv_out_certifvlr_arrfcmnt_ambnt_edfc</v>
      </c>
      <c r="B158" s="76" t="s">
        <v>28</v>
      </c>
      <c r="C158" s="77" t="s">
        <v>54</v>
      </c>
      <c r="D158" s="73" t="s">
        <v>40</v>
      </c>
      <c r="E158" s="75" t="s">
        <v>120</v>
      </c>
      <c r="F158" s="73" t="s">
        <v>141</v>
      </c>
      <c r="G158" s="73" t="str">
        <f>INDEX(Auxiliar!$B$16:$B$23,MATCH(Plano_V3!H158,Auxiliar!$C$16:$C$23,0),1)</f>
        <v>1. Concluído</v>
      </c>
      <c r="H158" s="73">
        <f>VLOOKUP(A158,'Aux - pivots1'!$A:$B,2,0)</f>
        <v>1</v>
      </c>
      <c r="I158" s="93">
        <f>SUMIFS(Table1[Estimação (horas)],Table1[Tabela],Plano_V3!E158,Table1[Campo],Plano_V3!F158)</f>
        <v>4.0999999999999996</v>
      </c>
      <c r="J158" s="93">
        <f t="shared" si="19"/>
        <v>0.51249999999999996</v>
      </c>
      <c r="K158" s="93">
        <f>SUMIFS(Table1[Horas efetivas],Table1[Tabela],Plano_V3!E158,Table1[Campo],Plano_V3!F158)</f>
        <v>4.0999999999999996</v>
      </c>
      <c r="L158" s="93">
        <f t="shared" si="20"/>
        <v>0.51249999999999996</v>
      </c>
      <c r="M158" s="93">
        <f t="shared" si="21"/>
        <v>1</v>
      </c>
      <c r="N158" s="96" t="s">
        <v>121</v>
      </c>
      <c r="O158" s="99">
        <f t="shared" si="22"/>
        <v>0.51249999999999996</v>
      </c>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87"/>
      <c r="AU158" s="87"/>
      <c r="AV158" s="87"/>
      <c r="AW158" s="100"/>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87"/>
      <c r="EJ158" s="87"/>
      <c r="EK158" s="87"/>
      <c r="EL158" s="100"/>
      <c r="EM158" s="100"/>
      <c r="EN158" s="100"/>
      <c r="EO158" s="100"/>
      <c r="EP158" s="100"/>
      <c r="EQ158" s="100"/>
    </row>
    <row r="159" spans="1:147" outlineLevel="1">
      <c r="A159" s="31" t="str">
        <f t="shared" si="23"/>
        <v>cd_imv_out_certifvlr_arrfcmnt_ambnt_renvv</v>
      </c>
      <c r="B159" s="76" t="s">
        <v>28</v>
      </c>
      <c r="C159" s="77" t="s">
        <v>54</v>
      </c>
      <c r="D159" s="73" t="s">
        <v>40</v>
      </c>
      <c r="E159" s="75" t="s">
        <v>120</v>
      </c>
      <c r="F159" s="73" t="s">
        <v>142</v>
      </c>
      <c r="G159" s="73" t="str">
        <f>INDEX(Auxiliar!$B$16:$B$23,MATCH(Plano_V3!H159,Auxiliar!$C$16:$C$23,0),1)</f>
        <v>1. Concluído</v>
      </c>
      <c r="H159" s="73">
        <f>VLOOKUP(A159,'Aux - pivots1'!$A:$B,2,0)</f>
        <v>1</v>
      </c>
      <c r="I159" s="93">
        <f>SUMIFS(Table1[Estimação (horas)],Table1[Tabela],Plano_V3!E159,Table1[Campo],Plano_V3!F159)</f>
        <v>4.0999999999999996</v>
      </c>
      <c r="J159" s="93">
        <f t="shared" si="19"/>
        <v>0.51249999999999996</v>
      </c>
      <c r="K159" s="93">
        <f>SUMIFS(Table1[Horas efetivas],Table1[Tabela],Plano_V3!E159,Table1[Campo],Plano_V3!F159)</f>
        <v>4.0999999999999996</v>
      </c>
      <c r="L159" s="93">
        <f t="shared" si="20"/>
        <v>0.51249999999999996</v>
      </c>
      <c r="M159" s="93">
        <f t="shared" si="21"/>
        <v>1</v>
      </c>
      <c r="N159" s="96" t="s">
        <v>121</v>
      </c>
      <c r="O159" s="99">
        <f t="shared" si="22"/>
        <v>0.51249999999999996</v>
      </c>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87"/>
      <c r="AU159" s="87"/>
      <c r="AV159" s="87"/>
      <c r="AW159" s="100"/>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87"/>
      <c r="EJ159" s="87"/>
      <c r="EK159" s="87"/>
      <c r="EL159" s="100"/>
      <c r="EM159" s="100"/>
      <c r="EN159" s="100"/>
      <c r="EO159" s="100"/>
      <c r="EP159" s="100"/>
      <c r="EQ159" s="100"/>
    </row>
    <row r="160" spans="1:147" outlineLevel="1">
      <c r="A160" s="31" t="str">
        <f t="shared" si="23"/>
        <v>cd_imv_out_certifvlr_arrfcmnt_ambnt_rfrc</v>
      </c>
      <c r="B160" s="76" t="s">
        <v>28</v>
      </c>
      <c r="C160" s="77" t="s">
        <v>54</v>
      </c>
      <c r="D160" s="73" t="s">
        <v>40</v>
      </c>
      <c r="E160" s="75" t="s">
        <v>120</v>
      </c>
      <c r="F160" s="73" t="s">
        <v>143</v>
      </c>
      <c r="G160" s="73" t="str">
        <f>INDEX(Auxiliar!$B$16:$B$23,MATCH(Plano_V3!H160,Auxiliar!$C$16:$C$23,0),1)</f>
        <v>1. Concluído</v>
      </c>
      <c r="H160" s="73">
        <f>VLOOKUP(A160,'Aux - pivots1'!$A:$B,2,0)</f>
        <v>1</v>
      </c>
      <c r="I160" s="93">
        <f>SUMIFS(Table1[Estimação (horas)],Table1[Tabela],Plano_V3!E160,Table1[Campo],Plano_V3!F160)</f>
        <v>4.0999999999999996</v>
      </c>
      <c r="J160" s="93">
        <f t="shared" si="19"/>
        <v>0.51249999999999996</v>
      </c>
      <c r="K160" s="93">
        <f>SUMIFS(Table1[Horas efetivas],Table1[Tabela],Plano_V3!E160,Table1[Campo],Plano_V3!F160)</f>
        <v>4.0999999999999996</v>
      </c>
      <c r="L160" s="93">
        <f t="shared" si="20"/>
        <v>0.51249999999999996</v>
      </c>
      <c r="M160" s="93">
        <f t="shared" si="21"/>
        <v>1</v>
      </c>
      <c r="N160" s="96" t="s">
        <v>121</v>
      </c>
      <c r="O160" s="99">
        <f t="shared" si="22"/>
        <v>0.51249999999999996</v>
      </c>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87"/>
      <c r="AU160" s="87"/>
      <c r="AV160" s="87"/>
      <c r="AW160" s="100"/>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87"/>
      <c r="EJ160" s="87"/>
      <c r="EK160" s="87"/>
      <c r="EL160" s="100"/>
      <c r="EM160" s="100"/>
      <c r="EN160" s="100"/>
      <c r="EO160" s="100"/>
      <c r="EP160" s="100"/>
      <c r="EQ160" s="100"/>
    </row>
    <row r="161" spans="1:147" outlineLevel="1">
      <c r="A161" s="31" t="str">
        <f t="shared" si="23"/>
        <v>cd_imv_out_certifvlr_class_enrg_aps_mdd</v>
      </c>
      <c r="B161" s="76" t="s">
        <v>28</v>
      </c>
      <c r="C161" s="77" t="s">
        <v>54</v>
      </c>
      <c r="D161" s="73" t="s">
        <v>40</v>
      </c>
      <c r="E161" s="75" t="s">
        <v>120</v>
      </c>
      <c r="F161" s="73" t="s">
        <v>144</v>
      </c>
      <c r="G161" s="73" t="str">
        <f>INDEX(Auxiliar!$B$16:$B$23,MATCH(Plano_V3!H161,Auxiliar!$C$16:$C$23,0),1)</f>
        <v>1. Concluído</v>
      </c>
      <c r="H161" s="73">
        <f>VLOOKUP(A161,'Aux - pivots1'!$A:$B,2,0)</f>
        <v>1</v>
      </c>
      <c r="I161" s="93">
        <f>SUMIFS(Table1[Estimação (horas)],Table1[Tabela],Plano_V3!E161,Table1[Campo],Plano_V3!F161)</f>
        <v>4.0999999999999996</v>
      </c>
      <c r="J161" s="93">
        <f t="shared" si="19"/>
        <v>0.51249999999999996</v>
      </c>
      <c r="K161" s="93">
        <f>SUMIFS(Table1[Horas efetivas],Table1[Tabela],Plano_V3!E161,Table1[Campo],Plano_V3!F161)</f>
        <v>4.0999999999999996</v>
      </c>
      <c r="L161" s="93">
        <f t="shared" si="20"/>
        <v>0.51249999999999996</v>
      </c>
      <c r="M161" s="93">
        <f t="shared" si="21"/>
        <v>1</v>
      </c>
      <c r="N161" s="96" t="s">
        <v>121</v>
      </c>
      <c r="O161" s="99">
        <f t="shared" si="22"/>
        <v>0.51249999999999996</v>
      </c>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87"/>
      <c r="AU161" s="87"/>
      <c r="AV161" s="87"/>
      <c r="AW161" s="100"/>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87"/>
      <c r="EJ161" s="87"/>
      <c r="EK161" s="87"/>
      <c r="EL161" s="100"/>
      <c r="EM161" s="100"/>
      <c r="EN161" s="100"/>
      <c r="EO161" s="100"/>
      <c r="EP161" s="100"/>
      <c r="EQ161" s="100"/>
    </row>
    <row r="162" spans="1:147" outlineLevel="1">
      <c r="A162" s="31" t="str">
        <f t="shared" si="23"/>
        <v>cd_imv_out_certifvlr_cnsm_ano</v>
      </c>
      <c r="B162" s="76" t="s">
        <v>28</v>
      </c>
      <c r="C162" s="77" t="s">
        <v>54</v>
      </c>
      <c r="D162" s="73" t="s">
        <v>40</v>
      </c>
      <c r="E162" s="75" t="s">
        <v>120</v>
      </c>
      <c r="F162" s="73" t="s">
        <v>51</v>
      </c>
      <c r="G162" s="73" t="str">
        <f>INDEX(Auxiliar!$B$16:$B$23,MATCH(Plano_V3!H162,Auxiliar!$C$16:$C$23,0),1)</f>
        <v>6. Em implementação (re-especificação)</v>
      </c>
      <c r="H162" s="73">
        <f>VLOOKUP(A162,'Aux - pivots1'!$A:$B,2,0)</f>
        <v>6</v>
      </c>
      <c r="I162" s="93">
        <f>SUMIFS(Table1[Estimação (horas)],Table1[Tabela],Plano_V3!E162,Table1[Campo],Plano_V3!F162)</f>
        <v>4.0999999999999996</v>
      </c>
      <c r="J162" s="93">
        <f t="shared" si="19"/>
        <v>0.51249999999999996</v>
      </c>
      <c r="K162" s="93">
        <f>SUMIFS(Table1[Horas efetivas],Table1[Tabela],Plano_V3!E162,Table1[Campo],Plano_V3!F162)</f>
        <v>1.0249999999999999</v>
      </c>
      <c r="L162" s="93">
        <f t="shared" si="20"/>
        <v>0.12812499999999999</v>
      </c>
      <c r="M162" s="93">
        <f t="shared" si="21"/>
        <v>0.25</v>
      </c>
      <c r="N162" s="96" t="s">
        <v>121</v>
      </c>
      <c r="O162" s="99">
        <f t="shared" si="22"/>
        <v>0.51249999999999996</v>
      </c>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87"/>
      <c r="AU162" s="87"/>
      <c r="AV162" s="87"/>
      <c r="AW162" s="100"/>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87"/>
      <c r="EJ162" s="87"/>
      <c r="EK162" s="87"/>
      <c r="EL162" s="100"/>
      <c r="EM162" s="100"/>
      <c r="EN162" s="100"/>
      <c r="EO162" s="100"/>
      <c r="EP162" s="100"/>
      <c r="EQ162" s="100"/>
    </row>
    <row r="163" spans="1:147" outlineLevel="1">
      <c r="A163" s="31" t="str">
        <f t="shared" si="23"/>
        <v>cd_imv_out_certifvlr_comp_trmc_cbrtrs</v>
      </c>
      <c r="B163" s="76" t="s">
        <v>28</v>
      </c>
      <c r="C163" s="77" t="s">
        <v>54</v>
      </c>
      <c r="D163" s="73" t="s">
        <v>40</v>
      </c>
      <c r="E163" s="75" t="s">
        <v>120</v>
      </c>
      <c r="F163" s="73" t="s">
        <v>145</v>
      </c>
      <c r="G163" s="73" t="str">
        <f>INDEX(Auxiliar!$B$16:$B$23,MATCH(Plano_V3!H163,Auxiliar!$C$16:$C$23,0),1)</f>
        <v>1. Concluído</v>
      </c>
      <c r="H163" s="73">
        <f>VLOOKUP(A163,'Aux - pivots1'!$A:$B,2,0)</f>
        <v>1</v>
      </c>
      <c r="I163" s="93">
        <f>SUMIFS(Table1[Estimação (horas)],Table1[Tabela],Plano_V3!E163,Table1[Campo],Plano_V3!F163)</f>
        <v>4.0999999999999996</v>
      </c>
      <c r="J163" s="93">
        <f t="shared" si="19"/>
        <v>0.51249999999999996</v>
      </c>
      <c r="K163" s="93">
        <f>SUMIFS(Table1[Horas efetivas],Table1[Tabela],Plano_V3!E163,Table1[Campo],Plano_V3!F163)</f>
        <v>4.0999999999999996</v>
      </c>
      <c r="L163" s="93">
        <f t="shared" si="20"/>
        <v>0.51249999999999996</v>
      </c>
      <c r="M163" s="93">
        <f t="shared" si="21"/>
        <v>1</v>
      </c>
      <c r="N163" s="96" t="s">
        <v>121</v>
      </c>
      <c r="O163" s="99">
        <f t="shared" si="22"/>
        <v>0.51249999999999996</v>
      </c>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87"/>
      <c r="AU163" s="87"/>
      <c r="AV163" s="87"/>
      <c r="AW163" s="100"/>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87"/>
      <c r="EJ163" s="87"/>
      <c r="EK163" s="87"/>
      <c r="EL163" s="100"/>
      <c r="EM163" s="100"/>
      <c r="EN163" s="100"/>
      <c r="EO163" s="100"/>
      <c r="EP163" s="100"/>
      <c r="EQ163" s="100"/>
    </row>
    <row r="164" spans="1:147" outlineLevel="1">
      <c r="A164" s="31" t="str">
        <f t="shared" si="23"/>
        <v>cd_imv_out_certifvlr_comp_trmc_jnls</v>
      </c>
      <c r="B164" s="76" t="s">
        <v>28</v>
      </c>
      <c r="C164" s="77" t="s">
        <v>54</v>
      </c>
      <c r="D164" s="73" t="s">
        <v>40</v>
      </c>
      <c r="E164" s="75" t="s">
        <v>120</v>
      </c>
      <c r="F164" s="73" t="s">
        <v>146</v>
      </c>
      <c r="G164" s="73" t="str">
        <f>INDEX(Auxiliar!$B$16:$B$23,MATCH(Plano_V3!H164,Auxiliar!$C$16:$C$23,0),1)</f>
        <v>1. Concluído</v>
      </c>
      <c r="H164" s="73">
        <f>VLOOKUP(A164,'Aux - pivots1'!$A:$B,2,0)</f>
        <v>1</v>
      </c>
      <c r="I164" s="93">
        <f>SUMIFS(Table1[Estimação (horas)],Table1[Tabela],Plano_V3!E164,Table1[Campo],Plano_V3!F164)</f>
        <v>4.0999999999999996</v>
      </c>
      <c r="J164" s="93">
        <f t="shared" si="19"/>
        <v>0.51249999999999996</v>
      </c>
      <c r="K164" s="93">
        <f>SUMIFS(Table1[Horas efetivas],Table1[Tabela],Plano_V3!E164,Table1[Campo],Plano_V3!F164)</f>
        <v>4.0999999999999996</v>
      </c>
      <c r="L164" s="93">
        <f t="shared" si="20"/>
        <v>0.51249999999999996</v>
      </c>
      <c r="M164" s="93">
        <f t="shared" si="21"/>
        <v>1</v>
      </c>
      <c r="N164" s="96" t="s">
        <v>121</v>
      </c>
      <c r="O164" s="99">
        <f t="shared" si="22"/>
        <v>0.51249999999999996</v>
      </c>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87"/>
      <c r="AU164" s="87"/>
      <c r="AV164" s="87"/>
      <c r="AW164" s="100"/>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87"/>
      <c r="EJ164" s="87"/>
      <c r="EK164" s="87"/>
      <c r="EL164" s="100"/>
      <c r="EM164" s="100"/>
      <c r="EN164" s="100"/>
      <c r="EO164" s="100"/>
      <c r="EP164" s="100"/>
      <c r="EQ164" s="100"/>
    </row>
    <row r="165" spans="1:147" outlineLevel="1">
      <c r="A165" s="31" t="str">
        <f t="shared" si="23"/>
        <v>cd_imv_out_certifvlr_comp_trmc_prds</v>
      </c>
      <c r="B165" s="76" t="s">
        <v>28</v>
      </c>
      <c r="C165" s="77" t="s">
        <v>54</v>
      </c>
      <c r="D165" s="73" t="s">
        <v>40</v>
      </c>
      <c r="E165" s="75" t="s">
        <v>120</v>
      </c>
      <c r="F165" s="73" t="s">
        <v>147</v>
      </c>
      <c r="G165" s="73" t="str">
        <f>INDEX(Auxiliar!$B$16:$B$23,MATCH(Plano_V3!H165,Auxiliar!$C$16:$C$23,0),1)</f>
        <v>1. Concluído</v>
      </c>
      <c r="H165" s="73">
        <f>VLOOKUP(A165,'Aux - pivots1'!$A:$B,2,0)</f>
        <v>1</v>
      </c>
      <c r="I165" s="93">
        <f>SUMIFS(Table1[Estimação (horas)],Table1[Tabela],Plano_V3!E165,Table1[Campo],Plano_V3!F165)</f>
        <v>4.0999999999999996</v>
      </c>
      <c r="J165" s="93">
        <f t="shared" si="19"/>
        <v>0.51249999999999996</v>
      </c>
      <c r="K165" s="93">
        <f>SUMIFS(Table1[Horas efetivas],Table1[Tabela],Plano_V3!E165,Table1[Campo],Plano_V3!F165)</f>
        <v>4.0999999999999996</v>
      </c>
      <c r="L165" s="93">
        <f t="shared" si="20"/>
        <v>0.51249999999999996</v>
      </c>
      <c r="M165" s="93">
        <f t="shared" si="21"/>
        <v>1</v>
      </c>
      <c r="N165" s="96" t="s">
        <v>121</v>
      </c>
      <c r="O165" s="99">
        <f t="shared" si="22"/>
        <v>0.51249999999999996</v>
      </c>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87"/>
      <c r="AU165" s="87"/>
      <c r="AV165" s="87"/>
      <c r="AW165" s="100"/>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87"/>
      <c r="EJ165" s="87"/>
      <c r="EK165" s="87"/>
      <c r="EL165" s="100"/>
      <c r="EM165" s="100"/>
      <c r="EN165" s="100"/>
      <c r="EO165" s="100"/>
      <c r="EP165" s="100"/>
      <c r="EQ165" s="100"/>
    </row>
    <row r="166" spans="1:147" outlineLevel="1">
      <c r="A166" s="31" t="str">
        <f t="shared" si="23"/>
        <v>cd_imv_out_certifvlr_comp_trmc_pvmnts</v>
      </c>
      <c r="B166" s="76" t="s">
        <v>28</v>
      </c>
      <c r="C166" s="77" t="s">
        <v>54</v>
      </c>
      <c r="D166" s="73" t="s">
        <v>40</v>
      </c>
      <c r="E166" s="75" t="s">
        <v>120</v>
      </c>
      <c r="F166" s="73" t="s">
        <v>148</v>
      </c>
      <c r="G166" s="73" t="str">
        <f>INDEX(Auxiliar!$B$16:$B$23,MATCH(Plano_V3!H166,Auxiliar!$C$16:$C$23,0),1)</f>
        <v>1. Concluído</v>
      </c>
      <c r="H166" s="73">
        <f>VLOOKUP(A166,'Aux - pivots1'!$A:$B,2,0)</f>
        <v>1</v>
      </c>
      <c r="I166" s="93">
        <f>SUMIFS(Table1[Estimação (horas)],Table1[Tabela],Plano_V3!E166,Table1[Campo],Plano_V3!F166)</f>
        <v>4.0999999999999996</v>
      </c>
      <c r="J166" s="93">
        <f t="shared" si="19"/>
        <v>0.51249999999999996</v>
      </c>
      <c r="K166" s="93">
        <f>SUMIFS(Table1[Horas efetivas],Table1[Tabela],Plano_V3!E166,Table1[Campo],Plano_V3!F166)</f>
        <v>4.0999999999999996</v>
      </c>
      <c r="L166" s="93">
        <f t="shared" si="20"/>
        <v>0.51249999999999996</v>
      </c>
      <c r="M166" s="93">
        <f t="shared" si="21"/>
        <v>1</v>
      </c>
      <c r="N166" s="96" t="s">
        <v>121</v>
      </c>
      <c r="O166" s="99">
        <f t="shared" si="22"/>
        <v>0.51249999999999996</v>
      </c>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87"/>
      <c r="AU166" s="87"/>
      <c r="AV166" s="87"/>
      <c r="AW166" s="100"/>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87"/>
      <c r="EJ166" s="87"/>
      <c r="EK166" s="87"/>
      <c r="EL166" s="100"/>
      <c r="EM166" s="100"/>
      <c r="EN166" s="100"/>
      <c r="EO166" s="100"/>
      <c r="EP166" s="100"/>
      <c r="EQ166" s="100"/>
    </row>
    <row r="167" spans="1:147" outlineLevel="1">
      <c r="A167" s="31" t="str">
        <f t="shared" si="23"/>
        <v>cd_imv_out_certifvlr_comp_trmc_sstmtcn_vntld</v>
      </c>
      <c r="B167" s="76" t="s">
        <v>28</v>
      </c>
      <c r="C167" s="77" t="s">
        <v>54</v>
      </c>
      <c r="D167" s="73" t="s">
        <v>40</v>
      </c>
      <c r="E167" s="75" t="s">
        <v>120</v>
      </c>
      <c r="F167" s="73" t="s">
        <v>149</v>
      </c>
      <c r="G167" s="73" t="str">
        <f>INDEX(Auxiliar!$B$16:$B$23,MATCH(Plano_V3!H167,Auxiliar!$C$16:$C$23,0),1)</f>
        <v>1. Concluído</v>
      </c>
      <c r="H167" s="73">
        <f>VLOOKUP(A167,'Aux - pivots1'!$A:$B,2,0)</f>
        <v>1</v>
      </c>
      <c r="I167" s="93">
        <f>SUMIFS(Table1[Estimação (horas)],Table1[Tabela],Plano_V3!E167,Table1[Campo],Plano_V3!F167)</f>
        <v>4.0999999999999996</v>
      </c>
      <c r="J167" s="93">
        <f t="shared" si="19"/>
        <v>0.51249999999999996</v>
      </c>
      <c r="K167" s="93">
        <f>SUMIFS(Table1[Horas efetivas],Table1[Tabela],Plano_V3!E167,Table1[Campo],Plano_V3!F167)</f>
        <v>4.0999999999999996</v>
      </c>
      <c r="L167" s="93">
        <f t="shared" si="20"/>
        <v>0.51249999999999996</v>
      </c>
      <c r="M167" s="93">
        <f t="shared" si="21"/>
        <v>1</v>
      </c>
      <c r="N167" s="96" t="s">
        <v>121</v>
      </c>
      <c r="O167" s="99">
        <f t="shared" si="22"/>
        <v>0.51249999999999996</v>
      </c>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U167" s="87"/>
      <c r="AV167" s="87"/>
      <c r="AW167" s="100"/>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87"/>
      <c r="EJ167" s="87"/>
      <c r="EK167" s="87"/>
      <c r="EL167" s="100"/>
      <c r="EM167" s="100"/>
      <c r="EN167" s="100"/>
      <c r="EO167" s="100"/>
      <c r="EP167" s="100"/>
      <c r="EQ167" s="100"/>
    </row>
    <row r="168" spans="1:147" outlineLevel="1">
      <c r="A168" s="31" t="str">
        <f t="shared" si="23"/>
        <v>cd_imv_out_certifvlr_cst_ttl_invstmnt_estmd</v>
      </c>
      <c r="B168" s="76" t="s">
        <v>28</v>
      </c>
      <c r="C168" s="77" t="s">
        <v>54</v>
      </c>
      <c r="D168" s="73" t="s">
        <v>40</v>
      </c>
      <c r="E168" s="75" t="s">
        <v>120</v>
      </c>
      <c r="F168" s="73" t="s">
        <v>150</v>
      </c>
      <c r="G168" s="73" t="str">
        <f>INDEX(Auxiliar!$B$16:$B$23,MATCH(Plano_V3!H168,Auxiliar!$C$16:$C$23,0),1)</f>
        <v>1. Concluído</v>
      </c>
      <c r="H168" s="73">
        <f>VLOOKUP(A168,'Aux - pivots1'!$A:$B,2,0)</f>
        <v>1</v>
      </c>
      <c r="I168" s="93">
        <f>SUMIFS(Table1[Estimação (horas)],Table1[Tabela],Plano_V3!E168,Table1[Campo],Plano_V3!F168)</f>
        <v>4.0999999999999996</v>
      </c>
      <c r="J168" s="93">
        <f t="shared" si="19"/>
        <v>0.51249999999999996</v>
      </c>
      <c r="K168" s="93">
        <f>SUMIFS(Table1[Horas efetivas],Table1[Tabela],Plano_V3!E168,Table1[Campo],Plano_V3!F168)</f>
        <v>4.0999999999999996</v>
      </c>
      <c r="L168" s="93">
        <f t="shared" si="20"/>
        <v>0.51249999999999996</v>
      </c>
      <c r="M168" s="93">
        <f t="shared" si="21"/>
        <v>1</v>
      </c>
      <c r="N168" s="96" t="s">
        <v>121</v>
      </c>
      <c r="O168" s="99">
        <f t="shared" si="22"/>
        <v>0.51249999999999996</v>
      </c>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U168" s="87"/>
      <c r="AV168" s="87"/>
      <c r="AW168" s="100"/>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87"/>
      <c r="EJ168" s="87"/>
      <c r="EK168" s="87"/>
      <c r="EL168" s="100"/>
      <c r="EM168" s="100"/>
      <c r="EN168" s="100"/>
      <c r="EO168" s="100"/>
      <c r="EP168" s="100"/>
      <c r="EQ168" s="100"/>
    </row>
    <row r="169" spans="1:147" outlineLevel="1">
      <c r="A169" s="31" t="str">
        <f t="shared" si="23"/>
        <v>cd_imv_out_certifvlr_drc_estc_aqcmnt</v>
      </c>
      <c r="B169" s="76" t="s">
        <v>28</v>
      </c>
      <c r="C169" s="77" t="s">
        <v>54</v>
      </c>
      <c r="D169" s="73" t="s">
        <v>40</v>
      </c>
      <c r="E169" s="75" t="s">
        <v>120</v>
      </c>
      <c r="F169" s="73" t="s">
        <v>151</v>
      </c>
      <c r="G169" s="73" t="str">
        <f>INDEX(Auxiliar!$B$16:$B$23,MATCH(Plano_V3!H169,Auxiliar!$C$16:$C$23,0),1)</f>
        <v>1. Concluído</v>
      </c>
      <c r="H169" s="73">
        <f>VLOOKUP(A169,'Aux - pivots1'!$A:$B,2,0)</f>
        <v>1</v>
      </c>
      <c r="I169" s="93">
        <f>SUMIFS(Table1[Estimação (horas)],Table1[Tabela],Plano_V3!E169,Table1[Campo],Plano_V3!F169)</f>
        <v>4.0999999999999996</v>
      </c>
      <c r="J169" s="93">
        <f t="shared" si="19"/>
        <v>0.51249999999999996</v>
      </c>
      <c r="K169" s="93">
        <f>SUMIFS(Table1[Horas efetivas],Table1[Tabela],Plano_V3!E169,Table1[Campo],Plano_V3!F169)</f>
        <v>4.0999999999999996</v>
      </c>
      <c r="L169" s="93">
        <f t="shared" si="20"/>
        <v>0.51249999999999996</v>
      </c>
      <c r="M169" s="93">
        <f t="shared" si="21"/>
        <v>1</v>
      </c>
      <c r="N169" s="96" t="s">
        <v>121</v>
      </c>
      <c r="O169" s="99">
        <f t="shared" si="22"/>
        <v>0.51249999999999996</v>
      </c>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U169" s="87"/>
      <c r="AV169" s="87"/>
      <c r="AW169" s="100"/>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87"/>
      <c r="EJ169" s="87"/>
      <c r="EK169" s="87"/>
      <c r="EL169" s="100"/>
      <c r="EM169" s="100"/>
      <c r="EN169" s="100"/>
      <c r="EO169" s="100"/>
      <c r="EP169" s="100"/>
      <c r="EQ169" s="100"/>
    </row>
    <row r="170" spans="1:147" outlineLevel="1">
      <c r="A170" s="31" t="str">
        <f t="shared" si="23"/>
        <v>cd_imv_out_certifvlr_drc_estc_arrfcmnt</v>
      </c>
      <c r="B170" s="76" t="s">
        <v>28</v>
      </c>
      <c r="C170" s="77" t="s">
        <v>54</v>
      </c>
      <c r="D170" s="73" t="s">
        <v>40</v>
      </c>
      <c r="E170" s="75" t="s">
        <v>120</v>
      </c>
      <c r="F170" s="73" t="s">
        <v>152</v>
      </c>
      <c r="G170" s="73" t="str">
        <f>INDEX(Auxiliar!$B$16:$B$23,MATCH(Plano_V3!H170,Auxiliar!$C$16:$C$23,0),1)</f>
        <v>1. Concluído</v>
      </c>
      <c r="H170" s="73">
        <f>VLOOKUP(A170,'Aux - pivots1'!$A:$B,2,0)</f>
        <v>1</v>
      </c>
      <c r="I170" s="93">
        <f>SUMIFS(Table1[Estimação (horas)],Table1[Tabela],Plano_V3!E170,Table1[Campo],Plano_V3!F170)</f>
        <v>4.0999999999999996</v>
      </c>
      <c r="J170" s="93">
        <f t="shared" ref="J170:J202" si="24">I170/8</f>
        <v>0.51249999999999996</v>
      </c>
      <c r="K170" s="93">
        <f>SUMIFS(Table1[Horas efetivas],Table1[Tabela],Plano_V3!E170,Table1[Campo],Plano_V3!F170)</f>
        <v>4.0999999999999996</v>
      </c>
      <c r="L170" s="93">
        <f t="shared" ref="L170:L202" si="25">K170/8</f>
        <v>0.51249999999999996</v>
      </c>
      <c r="M170" s="93">
        <f t="shared" ref="M170:M203" si="26">L170/J170</f>
        <v>1</v>
      </c>
      <c r="N170" s="96" t="s">
        <v>121</v>
      </c>
      <c r="O170" s="99">
        <f t="shared" si="22"/>
        <v>0.51249999999999996</v>
      </c>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7"/>
      <c r="AU170" s="87"/>
      <c r="AV170" s="87"/>
      <c r="AW170" s="100"/>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87"/>
      <c r="EJ170" s="87"/>
      <c r="EK170" s="87"/>
      <c r="EL170" s="100"/>
      <c r="EM170" s="100"/>
      <c r="EN170" s="100"/>
      <c r="EO170" s="100"/>
      <c r="EP170" s="100"/>
      <c r="EQ170" s="100"/>
    </row>
    <row r="171" spans="1:147" outlineLevel="1">
      <c r="A171" s="31" t="str">
        <f t="shared" si="23"/>
        <v>cd_imv_out_certifvlr_emss_ano</v>
      </c>
      <c r="B171" s="76" t="s">
        <v>28</v>
      </c>
      <c r="C171" s="77" t="s">
        <v>54</v>
      </c>
      <c r="D171" s="73" t="s">
        <v>40</v>
      </c>
      <c r="E171" s="75" t="s">
        <v>120</v>
      </c>
      <c r="F171" s="73" t="s">
        <v>52</v>
      </c>
      <c r="G171" s="73" t="str">
        <f>INDEX(Auxiliar!$B$16:$B$23,MATCH(Plano_V3!H171,Auxiliar!$C$16:$C$23,0),1)</f>
        <v>6. Em implementação (re-especificação)</v>
      </c>
      <c r="H171" s="73">
        <f>VLOOKUP(A171,'Aux - pivots1'!$A:$B,2,0)</f>
        <v>6</v>
      </c>
      <c r="I171" s="93">
        <f>SUMIFS(Table1[Estimação (horas)],Table1[Tabela],Plano_V3!E171,Table1[Campo],Plano_V3!F171)</f>
        <v>4.0999999999999996</v>
      </c>
      <c r="J171" s="93">
        <f t="shared" si="24"/>
        <v>0.51249999999999996</v>
      </c>
      <c r="K171" s="93">
        <f>SUMIFS(Table1[Horas efetivas],Table1[Tabela],Plano_V3!E171,Table1[Campo],Plano_V3!F171)</f>
        <v>1.0249999999999999</v>
      </c>
      <c r="L171" s="93">
        <f t="shared" si="25"/>
        <v>0.12812499999999999</v>
      </c>
      <c r="M171" s="93">
        <f t="shared" si="26"/>
        <v>0.25</v>
      </c>
      <c r="N171" s="96" t="s">
        <v>121</v>
      </c>
      <c r="O171" s="99">
        <f t="shared" si="22"/>
        <v>0.51249999999999996</v>
      </c>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U171" s="87"/>
      <c r="AV171" s="87"/>
      <c r="AW171" s="100"/>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87"/>
      <c r="EJ171" s="87"/>
      <c r="EK171" s="87"/>
      <c r="EL171" s="100"/>
      <c r="EM171" s="100"/>
      <c r="EN171" s="100"/>
      <c r="EO171" s="100"/>
      <c r="EP171" s="100"/>
      <c r="EQ171" s="100"/>
    </row>
    <row r="172" spans="1:147" outlineLevel="1">
      <c r="A172" s="31" t="str">
        <f t="shared" si="23"/>
        <v>cd_imv_out_certifvlr_emss_co2</v>
      </c>
      <c r="B172" s="76" t="s">
        <v>28</v>
      </c>
      <c r="C172" s="77" t="s">
        <v>54</v>
      </c>
      <c r="D172" s="73" t="s">
        <v>40</v>
      </c>
      <c r="E172" s="75" t="s">
        <v>120</v>
      </c>
      <c r="F172" s="73" t="s">
        <v>153</v>
      </c>
      <c r="G172" s="73" t="str">
        <f>INDEX(Auxiliar!$B$16:$B$23,MATCH(Plano_V3!H172,Auxiliar!$C$16:$C$23,0),1)</f>
        <v>1. Concluído</v>
      </c>
      <c r="H172" s="73">
        <f>VLOOKUP(A172,'Aux - pivots1'!$A:$B,2,0)</f>
        <v>1</v>
      </c>
      <c r="I172" s="93">
        <f>SUMIFS(Table1[Estimação (horas)],Table1[Tabela],Plano_V3!E172,Table1[Campo],Plano_V3!F172)</f>
        <v>4.0999999999999996</v>
      </c>
      <c r="J172" s="93">
        <f t="shared" si="24"/>
        <v>0.51249999999999996</v>
      </c>
      <c r="K172" s="93">
        <f>SUMIFS(Table1[Horas efetivas],Table1[Tabela],Plano_V3!E172,Table1[Campo],Plano_V3!F172)</f>
        <v>4.0999999999999996</v>
      </c>
      <c r="L172" s="93">
        <f t="shared" si="25"/>
        <v>0.51249999999999996</v>
      </c>
      <c r="M172" s="93">
        <f t="shared" si="26"/>
        <v>1</v>
      </c>
      <c r="N172" s="96" t="s">
        <v>121</v>
      </c>
      <c r="O172" s="99">
        <f t="shared" si="22"/>
        <v>0.51249999999999996</v>
      </c>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87"/>
      <c r="AU172" s="87"/>
      <c r="AV172" s="87"/>
      <c r="AW172" s="100"/>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87"/>
      <c r="EJ172" s="87"/>
      <c r="EK172" s="87"/>
      <c r="EL172" s="100"/>
      <c r="EM172" s="100"/>
      <c r="EN172" s="100"/>
      <c r="EO172" s="100"/>
      <c r="EP172" s="100"/>
      <c r="EQ172" s="100"/>
    </row>
    <row r="173" spans="1:147" outlineLevel="1">
      <c r="A173" s="31" t="str">
        <f t="shared" si="23"/>
        <v>cd_imv_out_certifvlr_enrg_eltc_vntldr</v>
      </c>
      <c r="B173" s="76" t="s">
        <v>28</v>
      </c>
      <c r="C173" s="77" t="s">
        <v>54</v>
      </c>
      <c r="D173" s="73" t="s">
        <v>40</v>
      </c>
      <c r="E173" s="75" t="s">
        <v>120</v>
      </c>
      <c r="F173" s="73" t="s">
        <v>154</v>
      </c>
      <c r="G173" s="73" t="str">
        <f>INDEX(Auxiliar!$B$16:$B$23,MATCH(Plano_V3!H173,Auxiliar!$C$16:$C$23,0),1)</f>
        <v>1. Concluído</v>
      </c>
      <c r="H173" s="73">
        <f>VLOOKUP(A173,'Aux - pivots1'!$A:$B,2,0)</f>
        <v>1</v>
      </c>
      <c r="I173" s="93">
        <f>SUMIFS(Table1[Estimação (horas)],Table1[Tabela],Plano_V3!E173,Table1[Campo],Plano_V3!F173)</f>
        <v>4.0999999999999996</v>
      </c>
      <c r="J173" s="93">
        <f t="shared" si="24"/>
        <v>0.51249999999999996</v>
      </c>
      <c r="K173" s="93">
        <f>SUMIFS(Table1[Horas efetivas],Table1[Tabela],Plano_V3!E173,Table1[Campo],Plano_V3!F173)</f>
        <v>4.0999999999999996</v>
      </c>
      <c r="L173" s="93">
        <f t="shared" si="25"/>
        <v>0.51249999999999996</v>
      </c>
      <c r="M173" s="93">
        <f t="shared" si="26"/>
        <v>1</v>
      </c>
      <c r="N173" s="96" t="s">
        <v>121</v>
      </c>
      <c r="O173" s="99">
        <f t="shared" si="22"/>
        <v>0.51249999999999996</v>
      </c>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87"/>
      <c r="AU173" s="87"/>
      <c r="AV173" s="87"/>
      <c r="AW173" s="100"/>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87"/>
      <c r="EJ173" s="87"/>
      <c r="EK173" s="87"/>
      <c r="EL173" s="100"/>
      <c r="EM173" s="100"/>
      <c r="EN173" s="100"/>
      <c r="EO173" s="100"/>
      <c r="EP173" s="100"/>
      <c r="EQ173" s="100"/>
    </row>
    <row r="174" spans="1:147" outlineLevel="1">
      <c r="A174" s="31" t="str">
        <f t="shared" si="23"/>
        <v>cd_imv_out_certifvlr_enrg_fnts_rnvv_otr_uso</v>
      </c>
      <c r="B174" s="76" t="s">
        <v>28</v>
      </c>
      <c r="C174" s="77" t="s">
        <v>54</v>
      </c>
      <c r="D174" s="73" t="s">
        <v>40</v>
      </c>
      <c r="E174" s="75" t="s">
        <v>120</v>
      </c>
      <c r="F174" s="73" t="s">
        <v>155</v>
      </c>
      <c r="G174" s="73" t="str">
        <f>INDEX(Auxiliar!$B$16:$B$23,MATCH(Plano_V3!H174,Auxiliar!$C$16:$C$23,0),1)</f>
        <v>1. Concluído</v>
      </c>
      <c r="H174" s="73">
        <f>VLOOKUP(A174,'Aux - pivots1'!$A:$B,2,0)</f>
        <v>1</v>
      </c>
      <c r="I174" s="93">
        <f>SUMIFS(Table1[Estimação (horas)],Table1[Tabela],Plano_V3!E174,Table1[Campo],Plano_V3!F174)</f>
        <v>4.0999999999999996</v>
      </c>
      <c r="J174" s="93">
        <f t="shared" si="24"/>
        <v>0.51249999999999996</v>
      </c>
      <c r="K174" s="93">
        <f>SUMIFS(Table1[Horas efetivas],Table1[Tabela],Plano_V3!E174,Table1[Campo],Plano_V3!F174)</f>
        <v>4.0999999999999996</v>
      </c>
      <c r="L174" s="93">
        <f t="shared" si="25"/>
        <v>0.51249999999999996</v>
      </c>
      <c r="M174" s="93">
        <f t="shared" si="26"/>
        <v>1</v>
      </c>
      <c r="N174" s="96" t="s">
        <v>121</v>
      </c>
      <c r="O174" s="99">
        <f t="shared" si="22"/>
        <v>0.51249999999999996</v>
      </c>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87"/>
      <c r="AU174" s="87"/>
      <c r="AV174" s="87"/>
      <c r="AW174" s="100"/>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87"/>
      <c r="EJ174" s="87"/>
      <c r="EK174" s="87"/>
      <c r="EL174" s="100"/>
      <c r="EM174" s="100"/>
      <c r="EN174" s="100"/>
      <c r="EO174" s="100"/>
      <c r="EP174" s="100"/>
      <c r="EQ174" s="100"/>
    </row>
    <row r="175" spans="1:147" outlineLevel="1">
      <c r="A175" s="31" t="str">
        <f t="shared" si="23"/>
        <v>cd_imv_out_certifvlr_enrg_fnts_rnvv_regl</v>
      </c>
      <c r="B175" s="76" t="s">
        <v>28</v>
      </c>
      <c r="C175" s="77" t="s">
        <v>54</v>
      </c>
      <c r="D175" s="73" t="s">
        <v>40</v>
      </c>
      <c r="E175" s="75" t="s">
        <v>120</v>
      </c>
      <c r="F175" s="73" t="s">
        <v>156</v>
      </c>
      <c r="G175" s="73" t="str">
        <f>INDEX(Auxiliar!$B$16:$B$23,MATCH(Plano_V3!H175,Auxiliar!$C$16:$C$23,0),1)</f>
        <v>1. Concluído</v>
      </c>
      <c r="H175" s="73">
        <f>VLOOKUP(A175,'Aux - pivots1'!$A:$B,2,0)</f>
        <v>1</v>
      </c>
      <c r="I175" s="93">
        <f>SUMIFS(Table1[Estimação (horas)],Table1[Tabela],Plano_V3!E175,Table1[Campo],Plano_V3!F175)</f>
        <v>4.0999999999999996</v>
      </c>
      <c r="J175" s="93">
        <f t="shared" si="24"/>
        <v>0.51249999999999996</v>
      </c>
      <c r="K175" s="93">
        <f>SUMIFS(Table1[Horas efetivas],Table1[Tabela],Plano_V3!E175,Table1[Campo],Plano_V3!F175)</f>
        <v>4.0999999999999996</v>
      </c>
      <c r="L175" s="93">
        <f t="shared" si="25"/>
        <v>0.51249999999999996</v>
      </c>
      <c r="M175" s="93">
        <f t="shared" si="26"/>
        <v>1</v>
      </c>
      <c r="N175" s="96" t="s">
        <v>121</v>
      </c>
      <c r="O175" s="99">
        <f t="shared" si="22"/>
        <v>0.51249999999999996</v>
      </c>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U175" s="87"/>
      <c r="AV175" s="87"/>
      <c r="AW175" s="100"/>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87"/>
      <c r="EJ175" s="87"/>
      <c r="EK175" s="87"/>
      <c r="EL175" s="100"/>
      <c r="EM175" s="100"/>
      <c r="EN175" s="100"/>
      <c r="EO175" s="100"/>
      <c r="EP175" s="100"/>
      <c r="EQ175" s="100"/>
    </row>
    <row r="176" spans="1:147" outlineLevel="1">
      <c r="A176" s="31" t="str">
        <f t="shared" si="23"/>
        <v>cd_imv_out_certifvlr_enrg_renew</v>
      </c>
      <c r="B176" s="76" t="s">
        <v>28</v>
      </c>
      <c r="C176" s="77" t="s">
        <v>54</v>
      </c>
      <c r="D176" s="73" t="s">
        <v>40</v>
      </c>
      <c r="E176" s="75" t="s">
        <v>120</v>
      </c>
      <c r="F176" s="73" t="s">
        <v>157</v>
      </c>
      <c r="G176" s="73" t="str">
        <f>INDEX(Auxiliar!$B$16:$B$23,MATCH(Plano_V3!H176,Auxiliar!$C$16:$C$23,0),1)</f>
        <v>6. Em implementação (re-especificação)</v>
      </c>
      <c r="H176" s="73">
        <f>VLOOKUP(A176,'Aux - pivots1'!$A:$B,2,0)</f>
        <v>6</v>
      </c>
      <c r="I176" s="93">
        <f>SUMIFS(Table1[Estimação (horas)],Table1[Tabela],Plano_V3!E176,Table1[Campo],Plano_V3!F176)</f>
        <v>4.0999999999999996</v>
      </c>
      <c r="J176" s="93">
        <f t="shared" si="24"/>
        <v>0.51249999999999996</v>
      </c>
      <c r="K176" s="93">
        <f>SUMIFS(Table1[Horas efetivas],Table1[Tabela],Plano_V3!E176,Table1[Campo],Plano_V3!F176)</f>
        <v>1.0249999999999999</v>
      </c>
      <c r="L176" s="93">
        <f t="shared" si="25"/>
        <v>0.12812499999999999</v>
      </c>
      <c r="M176" s="93">
        <f t="shared" si="26"/>
        <v>0.25</v>
      </c>
      <c r="N176" s="96" t="s">
        <v>121</v>
      </c>
      <c r="O176" s="99">
        <f t="shared" si="22"/>
        <v>0.51249999999999996</v>
      </c>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87"/>
      <c r="AU176" s="87"/>
      <c r="AV176" s="87"/>
      <c r="AW176" s="100"/>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87"/>
      <c r="EJ176" s="87"/>
      <c r="EK176" s="87"/>
      <c r="EL176" s="100"/>
      <c r="EM176" s="100"/>
      <c r="EN176" s="100"/>
      <c r="EO176" s="100"/>
      <c r="EP176" s="100"/>
      <c r="EQ176" s="100"/>
    </row>
    <row r="177" spans="1:147" outlineLevel="1">
      <c r="A177" s="31" t="str">
        <f t="shared" si="23"/>
        <v>cd_imv_out_certifvlr_enrg_utl_agua_qt_snt</v>
      </c>
      <c r="B177" s="76" t="s">
        <v>28</v>
      </c>
      <c r="C177" s="77" t="s">
        <v>54</v>
      </c>
      <c r="D177" s="73" t="s">
        <v>40</v>
      </c>
      <c r="E177" s="75" t="s">
        <v>120</v>
      </c>
      <c r="F177" s="73" t="s">
        <v>158</v>
      </c>
      <c r="G177" s="73" t="str">
        <f>INDEX(Auxiliar!$B$16:$B$23,MATCH(Plano_V3!H177,Auxiliar!$C$16:$C$23,0),1)</f>
        <v>1. Concluído</v>
      </c>
      <c r="H177" s="73">
        <f>VLOOKUP(A177,'Aux - pivots1'!$A:$B,2,0)</f>
        <v>1</v>
      </c>
      <c r="I177" s="93">
        <f>SUMIFS(Table1[Estimação (horas)],Table1[Tabela],Plano_V3!E177,Table1[Campo],Plano_V3!F177)</f>
        <v>4.0999999999999996</v>
      </c>
      <c r="J177" s="93">
        <f t="shared" si="24"/>
        <v>0.51249999999999996</v>
      </c>
      <c r="K177" s="93">
        <f>SUMIFS(Table1[Horas efetivas],Table1[Tabela],Plano_V3!E177,Table1[Campo],Plano_V3!F177)</f>
        <v>4.0999999999999996</v>
      </c>
      <c r="L177" s="93">
        <f t="shared" si="25"/>
        <v>0.51249999999999996</v>
      </c>
      <c r="M177" s="93">
        <f t="shared" si="26"/>
        <v>1</v>
      </c>
      <c r="N177" s="96" t="s">
        <v>121</v>
      </c>
      <c r="O177" s="99">
        <f t="shared" si="22"/>
        <v>0.51249999999999996</v>
      </c>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87"/>
      <c r="AU177" s="87"/>
      <c r="AV177" s="87"/>
      <c r="AW177" s="100"/>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87"/>
      <c r="EJ177" s="87"/>
      <c r="EK177" s="87"/>
      <c r="EL177" s="100"/>
      <c r="EM177" s="100"/>
      <c r="EN177" s="100"/>
      <c r="EO177" s="100"/>
      <c r="EP177" s="100"/>
      <c r="EQ177" s="100"/>
    </row>
    <row r="178" spans="1:147" outlineLevel="1">
      <c r="A178" s="31" t="str">
        <f t="shared" si="23"/>
        <v>cd_imv_out_certifvlr_enrg_utl_arrfcmnt</v>
      </c>
      <c r="B178" s="76" t="s">
        <v>28</v>
      </c>
      <c r="C178" s="77" t="s">
        <v>54</v>
      </c>
      <c r="D178" s="73" t="s">
        <v>40</v>
      </c>
      <c r="E178" s="75" t="s">
        <v>120</v>
      </c>
      <c r="F178" s="73" t="s">
        <v>159</v>
      </c>
      <c r="G178" s="73" t="str">
        <f>INDEX(Auxiliar!$B$16:$B$23,MATCH(Plano_V3!H178,Auxiliar!$C$16:$C$23,0),1)</f>
        <v>1. Concluído</v>
      </c>
      <c r="H178" s="73">
        <f>VLOOKUP(A178,'Aux - pivots1'!$A:$B,2,0)</f>
        <v>1</v>
      </c>
      <c r="I178" s="93">
        <f>SUMIFS(Table1[Estimação (horas)],Table1[Tabela],Plano_V3!E178,Table1[Campo],Plano_V3!F178)</f>
        <v>4.0999999999999996</v>
      </c>
      <c r="J178" s="93">
        <f t="shared" si="24"/>
        <v>0.51249999999999996</v>
      </c>
      <c r="K178" s="93">
        <f>SUMIFS(Table1[Horas efetivas],Table1[Tabela],Plano_V3!E178,Table1[Campo],Plano_V3!F178)</f>
        <v>4.0999999999999996</v>
      </c>
      <c r="L178" s="93">
        <f t="shared" si="25"/>
        <v>0.51249999999999996</v>
      </c>
      <c r="M178" s="93">
        <f t="shared" si="26"/>
        <v>1</v>
      </c>
      <c r="N178" s="96" t="s">
        <v>121</v>
      </c>
      <c r="O178" s="99">
        <f t="shared" si="22"/>
        <v>0.51249999999999996</v>
      </c>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87"/>
      <c r="AU178" s="87"/>
      <c r="AV178" s="87"/>
      <c r="AW178" s="100"/>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87"/>
      <c r="EJ178" s="87"/>
      <c r="EK178" s="87"/>
      <c r="EL178" s="100"/>
      <c r="EM178" s="100"/>
      <c r="EN178" s="100"/>
      <c r="EO178" s="100"/>
      <c r="EP178" s="100"/>
      <c r="EQ178" s="100"/>
    </row>
    <row r="179" spans="1:147" outlineLevel="1">
      <c r="A179" s="31" t="str">
        <f t="shared" si="23"/>
        <v>cd_imv_out_certifvlr_grs_dia</v>
      </c>
      <c r="B179" s="76" t="s">
        <v>28</v>
      </c>
      <c r="C179" s="77" t="s">
        <v>54</v>
      </c>
      <c r="D179" s="73" t="s">
        <v>40</v>
      </c>
      <c r="E179" s="75" t="s">
        <v>120</v>
      </c>
      <c r="F179" s="73" t="s">
        <v>160</v>
      </c>
      <c r="G179" s="73" t="str">
        <f>INDEX(Auxiliar!$B$16:$B$23,MATCH(Plano_V3!H179,Auxiliar!$C$16:$C$23,0),1)</f>
        <v>1. Concluído</v>
      </c>
      <c r="H179" s="73">
        <f>VLOOKUP(A179,'Aux - pivots1'!$A:$B,2,0)</f>
        <v>1</v>
      </c>
      <c r="I179" s="93">
        <f>SUMIFS(Table1[Estimação (horas)],Table1[Tabela],Plano_V3!E179,Table1[Campo],Plano_V3!F179)</f>
        <v>4.0999999999999996</v>
      </c>
      <c r="J179" s="93">
        <f t="shared" si="24"/>
        <v>0.51249999999999996</v>
      </c>
      <c r="K179" s="93">
        <f>SUMIFS(Table1[Horas efetivas],Table1[Tabela],Plano_V3!E179,Table1[Campo],Plano_V3!F179)</f>
        <v>4.0999999999999996</v>
      </c>
      <c r="L179" s="93">
        <f t="shared" si="25"/>
        <v>0.51249999999999996</v>
      </c>
      <c r="M179" s="93">
        <f t="shared" si="26"/>
        <v>1</v>
      </c>
      <c r="N179" s="96" t="s">
        <v>121</v>
      </c>
      <c r="O179" s="99">
        <f t="shared" si="22"/>
        <v>0.51249999999999996</v>
      </c>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87"/>
      <c r="AU179" s="87"/>
      <c r="AV179" s="87"/>
      <c r="AW179" s="100"/>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87"/>
      <c r="EJ179" s="87"/>
      <c r="EK179" s="87"/>
      <c r="EL179" s="100"/>
      <c r="EM179" s="100"/>
      <c r="EN179" s="100"/>
      <c r="EO179" s="100"/>
      <c r="EP179" s="100"/>
      <c r="EQ179" s="100"/>
    </row>
    <row r="180" spans="1:147" outlineLevel="1">
      <c r="A180" s="31" t="str">
        <f t="shared" si="23"/>
        <v>cd_imv_out_certifvlr_ncssdd_enrg_prmr</v>
      </c>
      <c r="B180" s="76" t="s">
        <v>28</v>
      </c>
      <c r="C180" s="77" t="s">
        <v>54</v>
      </c>
      <c r="D180" s="73" t="s">
        <v>40</v>
      </c>
      <c r="E180" s="75" t="s">
        <v>120</v>
      </c>
      <c r="F180" s="73" t="s">
        <v>161</v>
      </c>
      <c r="G180" s="73" t="str">
        <f>INDEX(Auxiliar!$B$16:$B$23,MATCH(Plano_V3!H180,Auxiliar!$C$16:$C$23,0),1)</f>
        <v>6. Em implementação (re-especificação)</v>
      </c>
      <c r="H180" s="73">
        <f>VLOOKUP(A180,'Aux - pivots1'!$A:$B,2,0)</f>
        <v>6</v>
      </c>
      <c r="I180" s="93">
        <f>SUMIFS(Table1[Estimação (horas)],Table1[Tabela],Plano_V3!E180,Table1[Campo],Plano_V3!F180)</f>
        <v>4.0999999999999996</v>
      </c>
      <c r="J180" s="93">
        <f t="shared" si="24"/>
        <v>0.51249999999999996</v>
      </c>
      <c r="K180" s="93">
        <f>SUMIFS(Table1[Horas efetivas],Table1[Tabela],Plano_V3!E180,Table1[Campo],Plano_V3!F180)</f>
        <v>1.0249999999999999</v>
      </c>
      <c r="L180" s="93">
        <f t="shared" si="25"/>
        <v>0.12812499999999999</v>
      </c>
      <c r="M180" s="93">
        <f t="shared" si="26"/>
        <v>0.25</v>
      </c>
      <c r="N180" s="96" t="s">
        <v>121</v>
      </c>
      <c r="O180" s="99">
        <f t="shared" si="22"/>
        <v>0.51249999999999996</v>
      </c>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87"/>
      <c r="AU180" s="87"/>
      <c r="AV180" s="87"/>
      <c r="AW180" s="100"/>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87"/>
      <c r="EJ180" s="87"/>
      <c r="EK180" s="87"/>
      <c r="EL180" s="100"/>
      <c r="EM180" s="100"/>
      <c r="EN180" s="100"/>
      <c r="EO180" s="100"/>
      <c r="EP180" s="100"/>
      <c r="EQ180" s="100"/>
    </row>
    <row r="181" spans="1:147" outlineLevel="1">
      <c r="A181" s="31" t="str">
        <f t="shared" si="23"/>
        <v>cd_imv_out_certifvlr_ncssdd_enrg_utl_aqcd</v>
      </c>
      <c r="B181" s="76" t="s">
        <v>28</v>
      </c>
      <c r="C181" s="77" t="s">
        <v>54</v>
      </c>
      <c r="D181" s="73" t="s">
        <v>40</v>
      </c>
      <c r="E181" s="75" t="s">
        <v>120</v>
      </c>
      <c r="F181" s="73" t="s">
        <v>162</v>
      </c>
      <c r="G181" s="73" t="str">
        <f>INDEX(Auxiliar!$B$16:$B$23,MATCH(Plano_V3!H181,Auxiliar!$C$16:$C$23,0),1)</f>
        <v>1. Concluído</v>
      </c>
      <c r="H181" s="73">
        <f>VLOOKUP(A181,'Aux - pivots1'!$A:$B,2,0)</f>
        <v>1</v>
      </c>
      <c r="I181" s="93">
        <f>SUMIFS(Table1[Estimação (horas)],Table1[Tabela],Plano_V3!E181,Table1[Campo],Plano_V3!F181)</f>
        <v>4.0999999999999996</v>
      </c>
      <c r="J181" s="93">
        <f t="shared" si="24"/>
        <v>0.51249999999999996</v>
      </c>
      <c r="K181" s="93">
        <f>SUMIFS(Table1[Horas efetivas],Table1[Tabela],Plano_V3!E181,Table1[Campo],Plano_V3!F181)</f>
        <v>4.0999999999999996</v>
      </c>
      <c r="L181" s="93">
        <f t="shared" si="25"/>
        <v>0.51249999999999996</v>
      </c>
      <c r="M181" s="93">
        <f t="shared" si="26"/>
        <v>1</v>
      </c>
      <c r="N181" s="96" t="s">
        <v>121</v>
      </c>
      <c r="O181" s="99">
        <f t="shared" si="22"/>
        <v>0.51249999999999996</v>
      </c>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87"/>
      <c r="AU181" s="87"/>
      <c r="AV181" s="87"/>
      <c r="AW181" s="100"/>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87"/>
      <c r="EJ181" s="87"/>
      <c r="EK181" s="87"/>
      <c r="EL181" s="100"/>
      <c r="EM181" s="100"/>
      <c r="EN181" s="100"/>
      <c r="EO181" s="100"/>
      <c r="EP181" s="100"/>
      <c r="EQ181" s="100"/>
    </row>
    <row r="182" spans="1:147" outlineLevel="1">
      <c r="A182" s="31" t="str">
        <f t="shared" si="23"/>
        <v>cd_imv_out_certifvlr_prd_gnh_invrn_prd_prt</v>
      </c>
      <c r="B182" s="76" t="s">
        <v>28</v>
      </c>
      <c r="C182" s="77" t="s">
        <v>54</v>
      </c>
      <c r="D182" s="73" t="s">
        <v>40</v>
      </c>
      <c r="E182" s="75" t="s">
        <v>120</v>
      </c>
      <c r="F182" s="73" t="s">
        <v>163</v>
      </c>
      <c r="G182" s="73" t="str">
        <f>INDEX(Auxiliar!$B$16:$B$23,MATCH(Plano_V3!H182,Auxiliar!$C$16:$C$23,0),1)</f>
        <v>1. Concluído</v>
      </c>
      <c r="H182" s="73">
        <f>VLOOKUP(A182,'Aux - pivots1'!$A:$B,2,0)</f>
        <v>1</v>
      </c>
      <c r="I182" s="93">
        <f>SUMIFS(Table1[Estimação (horas)],Table1[Tabela],Plano_V3!E182,Table1[Campo],Plano_V3!F182)</f>
        <v>4.0999999999999996</v>
      </c>
      <c r="J182" s="93">
        <f t="shared" si="24"/>
        <v>0.51249999999999996</v>
      </c>
      <c r="K182" s="93">
        <f>SUMIFS(Table1[Horas efetivas],Table1[Tabela],Plano_V3!E182,Table1[Campo],Plano_V3!F182)</f>
        <v>4.0999999999999996</v>
      </c>
      <c r="L182" s="93">
        <f t="shared" si="25"/>
        <v>0.51249999999999996</v>
      </c>
      <c r="M182" s="93">
        <f t="shared" si="26"/>
        <v>1</v>
      </c>
      <c r="N182" s="96" t="s">
        <v>121</v>
      </c>
      <c r="O182" s="99">
        <f t="shared" si="22"/>
        <v>0.51249999999999996</v>
      </c>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87"/>
      <c r="AU182" s="87"/>
      <c r="AV182" s="87"/>
      <c r="AW182" s="100"/>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87"/>
      <c r="EJ182" s="87"/>
      <c r="EK182" s="87"/>
      <c r="EL182" s="100"/>
      <c r="EM182" s="100"/>
      <c r="EN182" s="100"/>
      <c r="EO182" s="100"/>
      <c r="EP182" s="100"/>
      <c r="EQ182" s="100"/>
    </row>
    <row r="183" spans="1:147" outlineLevel="1">
      <c r="A183" s="31" t="str">
        <f t="shared" si="23"/>
        <v>cd_imv_out_certifvlr_prd_gnh_invrn_pvmnt</v>
      </c>
      <c r="B183" s="76" t="s">
        <v>28</v>
      </c>
      <c r="C183" s="77" t="s">
        <v>54</v>
      </c>
      <c r="D183" s="73" t="s">
        <v>40</v>
      </c>
      <c r="E183" s="75" t="s">
        <v>120</v>
      </c>
      <c r="F183" s="73" t="s">
        <v>164</v>
      </c>
      <c r="G183" s="73" t="str">
        <f>INDEX(Auxiliar!$B$16:$B$23,MATCH(Plano_V3!H183,Auxiliar!$C$16:$C$23,0),1)</f>
        <v>1. Concluído</v>
      </c>
      <c r="H183" s="73">
        <f>VLOOKUP(A183,'Aux - pivots1'!$A:$B,2,0)</f>
        <v>1</v>
      </c>
      <c r="I183" s="93">
        <f>SUMIFS(Table1[Estimação (horas)],Table1[Tabela],Plano_V3!E183,Table1[Campo],Plano_V3!F183)</f>
        <v>4.0999999999999996</v>
      </c>
      <c r="J183" s="93">
        <f t="shared" si="24"/>
        <v>0.51249999999999996</v>
      </c>
      <c r="K183" s="93">
        <f>SUMIFS(Table1[Horas efetivas],Table1[Tabela],Plano_V3!E183,Table1[Campo],Plano_V3!F183)</f>
        <v>4.0999999999999996</v>
      </c>
      <c r="L183" s="93">
        <f t="shared" si="25"/>
        <v>0.51249999999999996</v>
      </c>
      <c r="M183" s="93">
        <f t="shared" si="26"/>
        <v>1</v>
      </c>
      <c r="N183" s="96" t="s">
        <v>121</v>
      </c>
      <c r="O183" s="99">
        <f t="shared" si="22"/>
        <v>0.51249999999999996</v>
      </c>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7"/>
      <c r="AU183" s="87"/>
      <c r="AV183" s="87"/>
      <c r="AW183" s="100"/>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87"/>
      <c r="EJ183" s="87"/>
      <c r="EK183" s="87"/>
      <c r="EL183" s="100"/>
      <c r="EM183" s="100"/>
      <c r="EN183" s="100"/>
      <c r="EO183" s="100"/>
      <c r="EP183" s="100"/>
      <c r="EQ183" s="100"/>
    </row>
    <row r="184" spans="1:147" outlineLevel="1">
      <c r="A184" s="31" t="str">
        <f t="shared" si="23"/>
        <v>cd_imv_out_certifvlr_prds_gnhs_invrn_cbrtr</v>
      </c>
      <c r="B184" s="76" t="s">
        <v>28</v>
      </c>
      <c r="C184" s="77" t="s">
        <v>54</v>
      </c>
      <c r="D184" s="73" t="s">
        <v>40</v>
      </c>
      <c r="E184" s="75" t="s">
        <v>120</v>
      </c>
      <c r="F184" s="73" t="s">
        <v>165</v>
      </c>
      <c r="G184" s="73" t="str">
        <f>INDEX(Auxiliar!$B$16:$B$23,MATCH(Plano_V3!H184,Auxiliar!$C$16:$C$23,0),1)</f>
        <v>1. Concluído</v>
      </c>
      <c r="H184" s="73">
        <f>VLOOKUP(A184,'Aux - pivots1'!$A:$B,2,0)</f>
        <v>1</v>
      </c>
      <c r="I184" s="93">
        <f>SUMIFS(Table1[Estimação (horas)],Table1[Tabela],Plano_V3!E184,Table1[Campo],Plano_V3!F184)</f>
        <v>4.0999999999999996</v>
      </c>
      <c r="J184" s="93">
        <f t="shared" si="24"/>
        <v>0.51249999999999996</v>
      </c>
      <c r="K184" s="93">
        <f>SUMIFS(Table1[Horas efetivas],Table1[Tabela],Plano_V3!E184,Table1[Campo],Plano_V3!F184)</f>
        <v>4.0999999999999996</v>
      </c>
      <c r="L184" s="93">
        <f t="shared" si="25"/>
        <v>0.51249999999999996</v>
      </c>
      <c r="M184" s="93">
        <f t="shared" si="26"/>
        <v>1</v>
      </c>
      <c r="N184" s="96" t="s">
        <v>121</v>
      </c>
      <c r="O184" s="99">
        <f t="shared" si="22"/>
        <v>0.51249999999999996</v>
      </c>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U184" s="87"/>
      <c r="AV184" s="87"/>
      <c r="AW184" s="100"/>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87"/>
      <c r="EJ184" s="87"/>
      <c r="EK184" s="87"/>
      <c r="EL184" s="100"/>
      <c r="EM184" s="100"/>
      <c r="EN184" s="100"/>
      <c r="EO184" s="100"/>
      <c r="EP184" s="100"/>
      <c r="EQ184" s="100"/>
    </row>
    <row r="185" spans="1:147" outlineLevel="1">
      <c r="A185" s="31" t="str">
        <f t="shared" si="23"/>
        <v>cd_imv_out_certifvlr_prds_gnhs_invrn_jnl</v>
      </c>
      <c r="B185" s="76" t="s">
        <v>28</v>
      </c>
      <c r="C185" s="77" t="s">
        <v>54</v>
      </c>
      <c r="D185" s="73" t="s">
        <v>40</v>
      </c>
      <c r="E185" s="75" t="s">
        <v>120</v>
      </c>
      <c r="F185" s="73" t="s">
        <v>166</v>
      </c>
      <c r="G185" s="73" t="str">
        <f>INDEX(Auxiliar!$B$16:$B$23,MATCH(Plano_V3!H185,Auxiliar!$C$16:$C$23,0),1)</f>
        <v>1. Concluído</v>
      </c>
      <c r="H185" s="73">
        <f>VLOOKUP(A185,'Aux - pivots1'!$A:$B,2,0)</f>
        <v>1</v>
      </c>
      <c r="I185" s="93">
        <f>SUMIFS(Table1[Estimação (horas)],Table1[Tabela],Plano_V3!E185,Table1[Campo],Plano_V3!F185)</f>
        <v>4.0999999999999996</v>
      </c>
      <c r="J185" s="93">
        <f t="shared" si="24"/>
        <v>0.51249999999999996</v>
      </c>
      <c r="K185" s="93">
        <f>SUMIFS(Table1[Horas efetivas],Table1[Tabela],Plano_V3!E185,Table1[Campo],Plano_V3!F185)</f>
        <v>4.0999999999999996</v>
      </c>
      <c r="L185" s="93">
        <f t="shared" si="25"/>
        <v>0.51249999999999996</v>
      </c>
      <c r="M185" s="93">
        <f t="shared" si="26"/>
        <v>1</v>
      </c>
      <c r="N185" s="96" t="s">
        <v>121</v>
      </c>
      <c r="O185" s="99">
        <f t="shared" si="22"/>
        <v>0.51249999999999996</v>
      </c>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c r="AW185" s="100"/>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87"/>
      <c r="EJ185" s="87"/>
      <c r="EK185" s="87"/>
      <c r="EL185" s="100"/>
      <c r="EM185" s="100"/>
      <c r="EN185" s="100"/>
      <c r="EO185" s="100"/>
      <c r="EP185" s="100"/>
      <c r="EQ185" s="100"/>
    </row>
    <row r="186" spans="1:147" outlineLevel="1">
      <c r="A186" s="31" t="str">
        <f t="shared" si="23"/>
        <v>cd_imv_out_certifvlr_prds_gnhs_invrn_rfc</v>
      </c>
      <c r="B186" s="76" t="s">
        <v>28</v>
      </c>
      <c r="C186" s="77" t="s">
        <v>54</v>
      </c>
      <c r="D186" s="73" t="s">
        <v>40</v>
      </c>
      <c r="E186" s="75" t="s">
        <v>120</v>
      </c>
      <c r="F186" s="73" t="s">
        <v>167</v>
      </c>
      <c r="G186" s="73" t="str">
        <f>INDEX(Auxiliar!$B$16:$B$23,MATCH(Plano_V3!H186,Auxiliar!$C$16:$C$23,0),1)</f>
        <v>1. Concluído</v>
      </c>
      <c r="H186" s="73">
        <f>VLOOKUP(A186,'Aux - pivots1'!$A:$B,2,0)</f>
        <v>1</v>
      </c>
      <c r="I186" s="93">
        <f>SUMIFS(Table1[Estimação (horas)],Table1[Tabela],Plano_V3!E186,Table1[Campo],Plano_V3!F186)</f>
        <v>4.0999999999999996</v>
      </c>
      <c r="J186" s="93">
        <f t="shared" si="24"/>
        <v>0.51249999999999996</v>
      </c>
      <c r="K186" s="93">
        <f>SUMIFS(Table1[Horas efetivas],Table1[Tabela],Plano_V3!E186,Table1[Campo],Plano_V3!F186)</f>
        <v>4.0999999999999996</v>
      </c>
      <c r="L186" s="93">
        <f t="shared" si="25"/>
        <v>0.51249999999999996</v>
      </c>
      <c r="M186" s="93">
        <f t="shared" si="26"/>
        <v>1</v>
      </c>
      <c r="N186" s="96" t="s">
        <v>121</v>
      </c>
      <c r="O186" s="99">
        <f t="shared" si="22"/>
        <v>0.51249999999999996</v>
      </c>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c r="AW186" s="100"/>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87"/>
      <c r="EJ186" s="87"/>
      <c r="EK186" s="87"/>
      <c r="EL186" s="100"/>
      <c r="EM186" s="100"/>
      <c r="EN186" s="100"/>
      <c r="EO186" s="100"/>
      <c r="EP186" s="100"/>
      <c r="EQ186" s="100"/>
    </row>
    <row r="187" spans="1:147" outlineLevel="1">
      <c r="A187" s="31" t="str">
        <f t="shared" si="23"/>
        <v>cd_imv_out_certifvlr_prds_gnhs_invrn_vntnh</v>
      </c>
      <c r="B187" s="76" t="s">
        <v>28</v>
      </c>
      <c r="C187" s="77" t="s">
        <v>54</v>
      </c>
      <c r="D187" s="73" t="s">
        <v>40</v>
      </c>
      <c r="E187" s="75" t="s">
        <v>120</v>
      </c>
      <c r="F187" s="73" t="s">
        <v>168</v>
      </c>
      <c r="G187" s="73" t="str">
        <f>INDEX(Auxiliar!$B$16:$B$23,MATCH(Plano_V3!H187,Auxiliar!$C$16:$C$23,0),1)</f>
        <v>1. Concluído</v>
      </c>
      <c r="H187" s="73">
        <f>VLOOKUP(A187,'Aux - pivots1'!$A:$B,2,0)</f>
        <v>1</v>
      </c>
      <c r="I187" s="93">
        <f>SUMIFS(Table1[Estimação (horas)],Table1[Tabela],Plano_V3!E187,Table1[Campo],Plano_V3!F187)</f>
        <v>4.0999999999999996</v>
      </c>
      <c r="J187" s="93">
        <f t="shared" si="24"/>
        <v>0.51249999999999996</v>
      </c>
      <c r="K187" s="93">
        <f>SUMIFS(Table1[Horas efetivas],Table1[Tabela],Plano_V3!E187,Table1[Campo],Plano_V3!F187)</f>
        <v>4.0999999999999996</v>
      </c>
      <c r="L187" s="93">
        <f t="shared" si="25"/>
        <v>0.51249999999999996</v>
      </c>
      <c r="M187" s="93">
        <f t="shared" si="26"/>
        <v>1</v>
      </c>
      <c r="N187" s="96" t="s">
        <v>121</v>
      </c>
      <c r="O187" s="99">
        <f t="shared" si="22"/>
        <v>0.51249999999999996</v>
      </c>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U187" s="87"/>
      <c r="AV187" s="87"/>
      <c r="AW187" s="100"/>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87"/>
      <c r="EJ187" s="87"/>
      <c r="EK187" s="87"/>
      <c r="EL187" s="100"/>
      <c r="EM187" s="100"/>
      <c r="EN187" s="100"/>
      <c r="EO187" s="100"/>
      <c r="EP187" s="100"/>
      <c r="EQ187" s="100"/>
    </row>
    <row r="188" spans="1:147" outlineLevel="1">
      <c r="A188" s="31" t="str">
        <f t="shared" si="23"/>
        <v>cd_imv_out_certifvlr_prds_gnhs_vr_cbrtr</v>
      </c>
      <c r="B188" s="76" t="s">
        <v>28</v>
      </c>
      <c r="C188" s="77" t="s">
        <v>54</v>
      </c>
      <c r="D188" s="73" t="s">
        <v>40</v>
      </c>
      <c r="E188" s="75" t="s">
        <v>120</v>
      </c>
      <c r="F188" s="73" t="s">
        <v>169</v>
      </c>
      <c r="G188" s="73" t="str">
        <f>INDEX(Auxiliar!$B$16:$B$23,MATCH(Plano_V3!H188,Auxiliar!$C$16:$C$23,0),1)</f>
        <v>1. Concluído</v>
      </c>
      <c r="H188" s="73">
        <f>VLOOKUP(A188,'Aux - pivots1'!$A:$B,2,0)</f>
        <v>1</v>
      </c>
      <c r="I188" s="93">
        <f>SUMIFS(Table1[Estimação (horas)],Table1[Tabela],Plano_V3!E188,Table1[Campo],Plano_V3!F188)</f>
        <v>4.0999999999999996</v>
      </c>
      <c r="J188" s="93">
        <f t="shared" si="24"/>
        <v>0.51249999999999996</v>
      </c>
      <c r="K188" s="93">
        <f>SUMIFS(Table1[Horas efetivas],Table1[Tabela],Plano_V3!E188,Table1[Campo],Plano_V3!F188)</f>
        <v>4.0999999999999996</v>
      </c>
      <c r="L188" s="93">
        <f t="shared" si="25"/>
        <v>0.51249999999999996</v>
      </c>
      <c r="M188" s="93">
        <f t="shared" si="26"/>
        <v>1</v>
      </c>
      <c r="N188" s="96" t="s">
        <v>121</v>
      </c>
      <c r="O188" s="99">
        <f t="shared" si="22"/>
        <v>0.51249999999999996</v>
      </c>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U188" s="87"/>
      <c r="AV188" s="87"/>
      <c r="AW188" s="100"/>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87"/>
      <c r="EJ188" s="87"/>
      <c r="EK188" s="87"/>
      <c r="EL188" s="100"/>
      <c r="EM188" s="100"/>
      <c r="EN188" s="100"/>
      <c r="EO188" s="100"/>
      <c r="EP188" s="100"/>
      <c r="EQ188" s="100"/>
    </row>
    <row r="189" spans="1:147" outlineLevel="1">
      <c r="A189" s="31" t="str">
        <f t="shared" si="23"/>
        <v>cd_imv_out_certifvlr_prds_gnhs_vr_jnl</v>
      </c>
      <c r="B189" s="76" t="s">
        <v>28</v>
      </c>
      <c r="C189" s="77" t="s">
        <v>54</v>
      </c>
      <c r="D189" s="73" t="s">
        <v>40</v>
      </c>
      <c r="E189" s="75" t="s">
        <v>120</v>
      </c>
      <c r="F189" s="73" t="s">
        <v>170</v>
      </c>
      <c r="G189" s="73" t="str">
        <f>INDEX(Auxiliar!$B$16:$B$23,MATCH(Plano_V3!H189,Auxiliar!$C$16:$C$23,0),1)</f>
        <v>1. Concluído</v>
      </c>
      <c r="H189" s="73">
        <f>VLOOKUP(A189,'Aux - pivots1'!$A:$B,2,0)</f>
        <v>1</v>
      </c>
      <c r="I189" s="93">
        <f>SUMIFS(Table1[Estimação (horas)],Table1[Tabela],Plano_V3!E189,Table1[Campo],Plano_V3!F189)</f>
        <v>4.0999999999999996</v>
      </c>
      <c r="J189" s="93">
        <f t="shared" si="24"/>
        <v>0.51249999999999996</v>
      </c>
      <c r="K189" s="93">
        <f>SUMIFS(Table1[Horas efetivas],Table1[Tabela],Plano_V3!E189,Table1[Campo],Plano_V3!F189)</f>
        <v>4.0999999999999996</v>
      </c>
      <c r="L189" s="93">
        <f t="shared" si="25"/>
        <v>0.51249999999999996</v>
      </c>
      <c r="M189" s="93">
        <f t="shared" si="26"/>
        <v>1</v>
      </c>
      <c r="N189" s="96" t="s">
        <v>121</v>
      </c>
      <c r="O189" s="99">
        <f t="shared" si="22"/>
        <v>0.51249999999999996</v>
      </c>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U189" s="87"/>
      <c r="AV189" s="87"/>
      <c r="AW189" s="100"/>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87"/>
      <c r="EJ189" s="87"/>
      <c r="EK189" s="87"/>
      <c r="EL189" s="100"/>
      <c r="EM189" s="100"/>
      <c r="EN189" s="100"/>
      <c r="EO189" s="100"/>
      <c r="EP189" s="100"/>
      <c r="EQ189" s="100"/>
    </row>
    <row r="190" spans="1:147" outlineLevel="1">
      <c r="A190" s="31" t="str">
        <f t="shared" si="23"/>
        <v>cd_imv_out_certifvlr_prds_gnhs_vr_prd_prt</v>
      </c>
      <c r="B190" s="76" t="s">
        <v>28</v>
      </c>
      <c r="C190" s="77" t="s">
        <v>54</v>
      </c>
      <c r="D190" s="73" t="s">
        <v>40</v>
      </c>
      <c r="E190" s="75" t="s">
        <v>120</v>
      </c>
      <c r="F190" s="73" t="s">
        <v>171</v>
      </c>
      <c r="G190" s="73" t="str">
        <f>INDEX(Auxiliar!$B$16:$B$23,MATCH(Plano_V3!H190,Auxiliar!$C$16:$C$23,0),1)</f>
        <v>1. Concluído</v>
      </c>
      <c r="H190" s="73">
        <f>VLOOKUP(A190,'Aux - pivots1'!$A:$B,2,0)</f>
        <v>1</v>
      </c>
      <c r="I190" s="93">
        <f>SUMIFS(Table1[Estimação (horas)],Table1[Tabela],Plano_V3!E190,Table1[Campo],Plano_V3!F190)</f>
        <v>4.0999999999999996</v>
      </c>
      <c r="J190" s="93">
        <f t="shared" si="24"/>
        <v>0.51249999999999996</v>
      </c>
      <c r="K190" s="93">
        <f>SUMIFS(Table1[Horas efetivas],Table1[Tabela],Plano_V3!E190,Table1[Campo],Plano_V3!F190)</f>
        <v>4.0999999999999996</v>
      </c>
      <c r="L190" s="93">
        <f t="shared" si="25"/>
        <v>0.51249999999999996</v>
      </c>
      <c r="M190" s="93">
        <f t="shared" si="26"/>
        <v>1</v>
      </c>
      <c r="N190" s="96" t="s">
        <v>121</v>
      </c>
      <c r="O190" s="99">
        <f t="shared" si="22"/>
        <v>0.51249999999999996</v>
      </c>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U190" s="87"/>
      <c r="AV190" s="87"/>
      <c r="AW190" s="100"/>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87"/>
      <c r="EJ190" s="87"/>
      <c r="EK190" s="87"/>
      <c r="EL190" s="100"/>
      <c r="EM190" s="100"/>
      <c r="EN190" s="100"/>
      <c r="EO190" s="100"/>
      <c r="EP190" s="100"/>
      <c r="EQ190" s="100"/>
    </row>
    <row r="191" spans="1:147" outlineLevel="1">
      <c r="A191" s="31" t="str">
        <f t="shared" si="23"/>
        <v>cd_imv_out_certifvlr_prds_gnhs_vr_rfrc</v>
      </c>
      <c r="B191" s="76" t="s">
        <v>28</v>
      </c>
      <c r="C191" s="77" t="s">
        <v>54</v>
      </c>
      <c r="D191" s="73" t="s">
        <v>40</v>
      </c>
      <c r="E191" s="75" t="s">
        <v>120</v>
      </c>
      <c r="F191" s="73" t="s">
        <v>172</v>
      </c>
      <c r="G191" s="73" t="str">
        <f>INDEX(Auxiliar!$B$16:$B$23,MATCH(Plano_V3!H191,Auxiliar!$C$16:$C$23,0),1)</f>
        <v>1. Concluído</v>
      </c>
      <c r="H191" s="73">
        <f>VLOOKUP(A191,'Aux - pivots1'!$A:$B,2,0)</f>
        <v>1</v>
      </c>
      <c r="I191" s="93">
        <f>SUMIFS(Table1[Estimação (horas)],Table1[Tabela],Plano_V3!E191,Table1[Campo],Plano_V3!F191)</f>
        <v>4.0999999999999996</v>
      </c>
      <c r="J191" s="93">
        <f t="shared" si="24"/>
        <v>0.51249999999999996</v>
      </c>
      <c r="K191" s="93">
        <f>SUMIFS(Table1[Horas efetivas],Table1[Tabela],Plano_V3!E191,Table1[Campo],Plano_V3!F191)</f>
        <v>4.0999999999999996</v>
      </c>
      <c r="L191" s="93">
        <f t="shared" si="25"/>
        <v>0.51249999999999996</v>
      </c>
      <c r="M191" s="93">
        <f t="shared" si="26"/>
        <v>1</v>
      </c>
      <c r="N191" s="96" t="s">
        <v>121</v>
      </c>
      <c r="O191" s="99">
        <f t="shared" si="22"/>
        <v>0.51249999999999996</v>
      </c>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U191" s="87"/>
      <c r="AV191" s="87"/>
      <c r="AW191" s="100"/>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87"/>
      <c r="EJ191" s="87"/>
      <c r="EK191" s="87"/>
      <c r="EL191" s="100"/>
      <c r="EM191" s="100"/>
      <c r="EN191" s="100"/>
      <c r="EO191" s="100"/>
      <c r="EP191" s="100"/>
      <c r="EQ191" s="100"/>
    </row>
    <row r="192" spans="1:147" outlineLevel="1">
      <c r="A192" s="31" t="str">
        <f t="shared" si="23"/>
        <v>cd_imv_out_certifvlr_rdc_anl_estmd_ftr</v>
      </c>
      <c r="B192" s="76" t="s">
        <v>28</v>
      </c>
      <c r="C192" s="77" t="s">
        <v>54</v>
      </c>
      <c r="D192" s="73" t="s">
        <v>40</v>
      </c>
      <c r="E192" s="75" t="s">
        <v>120</v>
      </c>
      <c r="F192" s="73" t="s">
        <v>173</v>
      </c>
      <c r="G192" s="73" t="str">
        <f>INDEX(Auxiliar!$B$16:$B$23,MATCH(Plano_V3!H192,Auxiliar!$C$16:$C$23,0),1)</f>
        <v>1. Concluído</v>
      </c>
      <c r="H192" s="73">
        <f>VLOOKUP(A192,'Aux - pivots1'!$A:$B,2,0)</f>
        <v>1</v>
      </c>
      <c r="I192" s="93">
        <f>SUMIFS(Table1[Estimação (horas)],Table1[Tabela],Plano_V3!E192,Table1[Campo],Plano_V3!F192)</f>
        <v>4.0999999999999996</v>
      </c>
      <c r="J192" s="93">
        <f t="shared" si="24"/>
        <v>0.51249999999999996</v>
      </c>
      <c r="K192" s="93">
        <f>SUMIFS(Table1[Horas efetivas],Table1[Tabela],Plano_V3!E192,Table1[Campo],Plano_V3!F192)</f>
        <v>4.0999999999999996</v>
      </c>
      <c r="L192" s="93">
        <f t="shared" si="25"/>
        <v>0.51249999999999996</v>
      </c>
      <c r="M192" s="93">
        <f t="shared" si="26"/>
        <v>1</v>
      </c>
      <c r="N192" s="96" t="s">
        <v>121</v>
      </c>
      <c r="O192" s="99">
        <f t="shared" si="22"/>
        <v>0.51249999999999996</v>
      </c>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87"/>
      <c r="AU192" s="87"/>
      <c r="AV192" s="87"/>
      <c r="AW192" s="100"/>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87"/>
      <c r="EJ192" s="87"/>
      <c r="EK192" s="87"/>
      <c r="EL192" s="100"/>
      <c r="EM192" s="100"/>
      <c r="EN192" s="100"/>
      <c r="EO192" s="100"/>
      <c r="EP192" s="100"/>
      <c r="EQ192" s="100"/>
    </row>
    <row r="193" spans="1:147" outlineLevel="1">
      <c r="A193" s="31" t="str">
        <f t="shared" si="23"/>
        <v>cd_imv_out_certifvlr_tmprtr_md_extrr</v>
      </c>
      <c r="B193" s="76" t="s">
        <v>28</v>
      </c>
      <c r="C193" s="77" t="s">
        <v>54</v>
      </c>
      <c r="D193" s="73" t="s">
        <v>40</v>
      </c>
      <c r="E193" s="75" t="s">
        <v>120</v>
      </c>
      <c r="F193" s="73" t="s">
        <v>174</v>
      </c>
      <c r="G193" s="73" t="str">
        <f>INDEX(Auxiliar!$B$16:$B$23,MATCH(Plano_V3!H193,Auxiliar!$C$16:$C$23,0),1)</f>
        <v>1. Concluído</v>
      </c>
      <c r="H193" s="73">
        <f>VLOOKUP(A193,'Aux - pivots1'!$A:$B,2,0)</f>
        <v>1</v>
      </c>
      <c r="I193" s="93">
        <f>SUMIFS(Table1[Estimação (horas)],Table1[Tabela],Plano_V3!E193,Table1[Campo],Plano_V3!F193)</f>
        <v>4.0999999999999996</v>
      </c>
      <c r="J193" s="93">
        <f t="shared" si="24"/>
        <v>0.51249999999999996</v>
      </c>
      <c r="K193" s="93">
        <f>SUMIFS(Table1[Horas efetivas],Table1[Tabela],Plano_V3!E193,Table1[Campo],Plano_V3!F193)</f>
        <v>4.0999999999999996</v>
      </c>
      <c r="L193" s="93">
        <f t="shared" si="25"/>
        <v>0.51249999999999996</v>
      </c>
      <c r="M193" s="93">
        <f t="shared" si="26"/>
        <v>1</v>
      </c>
      <c r="N193" s="96" t="s">
        <v>121</v>
      </c>
      <c r="O193" s="99">
        <f t="shared" si="22"/>
        <v>0.51249999999999996</v>
      </c>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87"/>
      <c r="AU193" s="87"/>
      <c r="AV193" s="87"/>
      <c r="AW193" s="100"/>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87"/>
      <c r="EJ193" s="87"/>
      <c r="EK193" s="87"/>
      <c r="EL193" s="100"/>
      <c r="EM193" s="100"/>
      <c r="EN193" s="100"/>
      <c r="EO193" s="100"/>
      <c r="EP193" s="100"/>
      <c r="EQ193" s="100"/>
    </row>
    <row r="194" spans="1:147" outlineLevel="1">
      <c r="A194" s="31" t="str">
        <f t="shared" si="23"/>
        <v>cd_imv_out_certifzn_clmtc_invrn</v>
      </c>
      <c r="B194" s="76" t="s">
        <v>28</v>
      </c>
      <c r="C194" s="77" t="s">
        <v>54</v>
      </c>
      <c r="D194" s="73" t="s">
        <v>40</v>
      </c>
      <c r="E194" s="75" t="s">
        <v>120</v>
      </c>
      <c r="F194" s="73" t="s">
        <v>175</v>
      </c>
      <c r="G194" s="73" t="str">
        <f>INDEX(Auxiliar!$B$16:$B$23,MATCH(Plano_V3!H194,Auxiliar!$C$16:$C$23,0),1)</f>
        <v>1. Concluído</v>
      </c>
      <c r="H194" s="73">
        <f>VLOOKUP(A194,'Aux - pivots1'!$A:$B,2,0)</f>
        <v>1</v>
      </c>
      <c r="I194" s="93">
        <f>SUMIFS(Table1[Estimação (horas)],Table1[Tabela],Plano_V3!E194,Table1[Campo],Plano_V3!F194)</f>
        <v>4.0999999999999996</v>
      </c>
      <c r="J194" s="93">
        <f t="shared" si="24"/>
        <v>0.51249999999999996</v>
      </c>
      <c r="K194" s="93">
        <f>SUMIFS(Table1[Horas efetivas],Table1[Tabela],Plano_V3!E194,Table1[Campo],Plano_V3!F194)</f>
        <v>4.0999999999999996</v>
      </c>
      <c r="L194" s="93">
        <f t="shared" si="25"/>
        <v>0.51249999999999996</v>
      </c>
      <c r="M194" s="93">
        <f t="shared" si="26"/>
        <v>1</v>
      </c>
      <c r="N194" s="96" t="s">
        <v>121</v>
      </c>
      <c r="O194" s="99">
        <f t="shared" si="22"/>
        <v>0.51249999999999996</v>
      </c>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87"/>
      <c r="AU194" s="87"/>
      <c r="AV194" s="87"/>
      <c r="AW194" s="100"/>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87"/>
      <c r="EJ194" s="87"/>
      <c r="EK194" s="87"/>
      <c r="EL194" s="100"/>
      <c r="EM194" s="100"/>
      <c r="EN194" s="100"/>
      <c r="EO194" s="100"/>
      <c r="EP194" s="100"/>
      <c r="EQ194" s="100"/>
    </row>
    <row r="195" spans="1:147" outlineLevel="1">
      <c r="A195" s="31" t="str">
        <f t="shared" ref="A195:A201" si="27">E195&amp;F195</f>
        <v>cd_imv_out_certifarea_util</v>
      </c>
      <c r="B195" s="76" t="s">
        <v>28</v>
      </c>
      <c r="C195" s="77" t="s">
        <v>54</v>
      </c>
      <c r="D195" s="73" t="s">
        <v>40</v>
      </c>
      <c r="E195" s="75" t="s">
        <v>120</v>
      </c>
      <c r="F195" s="73" t="s">
        <v>95</v>
      </c>
      <c r="G195" s="73" t="str">
        <f>INDEX(Auxiliar!$B$16:$B$23,MATCH(Plano_V3!H195,Auxiliar!$C$16:$C$23,0),1)</f>
        <v>6. Em implementação (re-especificação)</v>
      </c>
      <c r="H195" s="73">
        <f>VLOOKUP(A195,'Aux - pivots1'!$A:$B,2,0)</f>
        <v>6</v>
      </c>
      <c r="I195" s="93">
        <f>SUMIFS(Table1[Estimação (horas)],Table1[Tabela],Plano_V3!E195,Table1[Campo],Plano_V3!F195)</f>
        <v>4.0999999999999996</v>
      </c>
      <c r="J195" s="93">
        <f t="shared" ref="J195:J201" si="28">I195/8</f>
        <v>0.51249999999999996</v>
      </c>
      <c r="K195" s="93">
        <f>SUMIFS(Table1[Horas efetivas],Table1[Tabela],Plano_V3!E195,Table1[Campo],Plano_V3!F195)</f>
        <v>1.0249999999999999</v>
      </c>
      <c r="L195" s="93">
        <f t="shared" ref="L195:L201" si="29">K195/8</f>
        <v>0.12812499999999999</v>
      </c>
      <c r="M195" s="93">
        <f t="shared" ref="M195:M201" si="30">L195/J195</f>
        <v>0.25</v>
      </c>
      <c r="N195" s="96" t="s">
        <v>121</v>
      </c>
      <c r="O195" s="99">
        <f t="shared" ref="O195:O201" si="31">J195-SUM(P195:EQ195)</f>
        <v>0.51249999999999996</v>
      </c>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87"/>
      <c r="AU195" s="87"/>
      <c r="AV195" s="87"/>
      <c r="AW195" s="100"/>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87"/>
      <c r="EJ195" s="87"/>
      <c r="EK195" s="87"/>
      <c r="EL195" s="100"/>
      <c r="EM195" s="100"/>
      <c r="EN195" s="100"/>
      <c r="EO195" s="100"/>
      <c r="EP195" s="100"/>
      <c r="EQ195" s="100"/>
    </row>
    <row r="196" spans="1:147" outlineLevel="1">
      <c r="A196" s="31" t="str">
        <f t="shared" si="27"/>
        <v>cd_imv_out_certifcod_art_matr</v>
      </c>
      <c r="B196" s="76" t="s">
        <v>28</v>
      </c>
      <c r="C196" s="77" t="s">
        <v>54</v>
      </c>
      <c r="D196" s="73" t="s">
        <v>40</v>
      </c>
      <c r="E196" s="75" t="s">
        <v>120</v>
      </c>
      <c r="F196" s="73" t="s">
        <v>96</v>
      </c>
      <c r="G196" s="73" t="str">
        <f>INDEX(Auxiliar!$B$16:$B$23,MATCH(Plano_V3!H196,Auxiliar!$C$16:$C$23,0),1)</f>
        <v>6. Em implementação (re-especificação)</v>
      </c>
      <c r="H196" s="73">
        <f>VLOOKUP(A196,'Aux - pivots1'!$A:$B,2,0)</f>
        <v>6</v>
      </c>
      <c r="I196" s="93">
        <f>SUMIFS(Table1[Estimação (horas)],Table1[Tabela],Plano_V3!E196,Table1[Campo],Plano_V3!F196)</f>
        <v>4.0999999999999996</v>
      </c>
      <c r="J196" s="93">
        <f t="shared" si="28"/>
        <v>0.51249999999999996</v>
      </c>
      <c r="K196" s="93">
        <f>SUMIFS(Table1[Horas efetivas],Table1[Tabela],Plano_V3!E196,Table1[Campo],Plano_V3!F196)</f>
        <v>1.0249999999999999</v>
      </c>
      <c r="L196" s="93">
        <f t="shared" si="29"/>
        <v>0.12812499999999999</v>
      </c>
      <c r="M196" s="93">
        <f t="shared" si="30"/>
        <v>0.25</v>
      </c>
      <c r="N196" s="96" t="s">
        <v>121</v>
      </c>
      <c r="O196" s="99">
        <f t="shared" si="31"/>
        <v>0.51249999999999996</v>
      </c>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87"/>
      <c r="AU196" s="87"/>
      <c r="AV196" s="87"/>
      <c r="AW196" s="100"/>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87"/>
      <c r="EJ196" s="87"/>
      <c r="EK196" s="87"/>
      <c r="EL196" s="100"/>
      <c r="EM196" s="100"/>
      <c r="EN196" s="100"/>
      <c r="EO196" s="100"/>
      <c r="EP196" s="100"/>
      <c r="EQ196" s="100"/>
    </row>
    <row r="197" spans="1:147" outlineLevel="1">
      <c r="A197" s="31" t="str">
        <f t="shared" si="27"/>
        <v>cd_imv_out_certifcod_disconf</v>
      </c>
      <c r="B197" s="76" t="s">
        <v>28</v>
      </c>
      <c r="C197" s="77" t="s">
        <v>54</v>
      </c>
      <c r="D197" s="73" t="s">
        <v>40</v>
      </c>
      <c r="E197" s="75" t="s">
        <v>120</v>
      </c>
      <c r="F197" s="73" t="s">
        <v>99</v>
      </c>
      <c r="G197" s="73" t="str">
        <f>INDEX(Auxiliar!$B$16:$B$23,MATCH(Plano_V3!H197,Auxiliar!$C$16:$C$23,0),1)</f>
        <v>6. Em implementação (re-especificação)</v>
      </c>
      <c r="H197" s="73">
        <f>VLOOKUP(A197,'Aux - pivots1'!$A:$B,2,0)</f>
        <v>6</v>
      </c>
      <c r="I197" s="93">
        <f>SUMIFS(Table1[Estimação (horas)],Table1[Tabela],Plano_V3!E197,Table1[Campo],Plano_V3!F197)</f>
        <v>4.0999999999999996</v>
      </c>
      <c r="J197" s="93">
        <f t="shared" si="28"/>
        <v>0.51249999999999996</v>
      </c>
      <c r="K197" s="93">
        <f>SUMIFS(Table1[Horas efetivas],Table1[Tabela],Plano_V3!E197,Table1[Campo],Plano_V3!F197)</f>
        <v>1.0249999999999999</v>
      </c>
      <c r="L197" s="93">
        <f t="shared" si="29"/>
        <v>0.12812499999999999</v>
      </c>
      <c r="M197" s="93">
        <f t="shared" si="30"/>
        <v>0.25</v>
      </c>
      <c r="N197" s="96" t="s">
        <v>121</v>
      </c>
      <c r="O197" s="99">
        <f t="shared" si="31"/>
        <v>0.51249999999999996</v>
      </c>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87"/>
      <c r="AU197" s="87"/>
      <c r="AV197" s="87"/>
      <c r="AW197" s="100"/>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87"/>
      <c r="EJ197" s="87"/>
      <c r="EK197" s="87"/>
      <c r="EL197" s="100"/>
      <c r="EM197" s="100"/>
      <c r="EN197" s="100"/>
      <c r="EO197" s="100"/>
      <c r="EP197" s="100"/>
      <c r="EQ197" s="100"/>
    </row>
    <row r="198" spans="1:147" outlineLevel="1">
      <c r="A198" s="31" t="str">
        <f t="shared" si="27"/>
        <v>cd_imv_out_certifcod_fin_bem</v>
      </c>
      <c r="B198" s="76" t="s">
        <v>28</v>
      </c>
      <c r="C198" s="77" t="s">
        <v>54</v>
      </c>
      <c r="D198" s="73" t="s">
        <v>40</v>
      </c>
      <c r="E198" s="75" t="s">
        <v>120</v>
      </c>
      <c r="F198" s="73" t="s">
        <v>100</v>
      </c>
      <c r="G198" s="73" t="str">
        <f>INDEX(Auxiliar!$B$16:$B$23,MATCH(Plano_V3!H198,Auxiliar!$C$16:$C$23,0),1)</f>
        <v>6. Em implementação (re-especificação)</v>
      </c>
      <c r="H198" s="73">
        <f>VLOOKUP(A198,'Aux - pivots1'!$A:$B,2,0)</f>
        <v>6</v>
      </c>
      <c r="I198" s="93">
        <f>SUMIFS(Table1[Estimação (horas)],Table1[Tabela],Plano_V3!E198,Table1[Campo],Plano_V3!F198)</f>
        <v>4.0999999999999996</v>
      </c>
      <c r="J198" s="93">
        <f t="shared" si="28"/>
        <v>0.51249999999999996</v>
      </c>
      <c r="K198" s="93">
        <f>SUMIFS(Table1[Horas efetivas],Table1[Tabela],Plano_V3!E198,Table1[Campo],Plano_V3!F198)</f>
        <v>1.0249999999999999</v>
      </c>
      <c r="L198" s="93">
        <f t="shared" si="29"/>
        <v>0.12812499999999999</v>
      </c>
      <c r="M198" s="93">
        <f t="shared" si="30"/>
        <v>0.25</v>
      </c>
      <c r="N198" s="96" t="s">
        <v>121</v>
      </c>
      <c r="O198" s="99">
        <f t="shared" si="31"/>
        <v>0.51249999999999996</v>
      </c>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c r="AM198" s="87"/>
      <c r="AN198" s="87"/>
      <c r="AO198" s="87"/>
      <c r="AP198" s="87"/>
      <c r="AQ198" s="87"/>
      <c r="AR198" s="87"/>
      <c r="AS198" s="87"/>
      <c r="AT198" s="87"/>
      <c r="AU198" s="87"/>
      <c r="AV198" s="87"/>
      <c r="AW198" s="100"/>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87"/>
      <c r="EJ198" s="87"/>
      <c r="EK198" s="87"/>
      <c r="EL198" s="100"/>
      <c r="EM198" s="100"/>
      <c r="EN198" s="100"/>
      <c r="EO198" s="100"/>
      <c r="EP198" s="100"/>
      <c r="EQ198" s="100"/>
    </row>
    <row r="199" spans="1:147" outlineLevel="1">
      <c r="A199" s="31" t="str">
        <f t="shared" si="27"/>
        <v>cd_imv_out_certifcod_morada</v>
      </c>
      <c r="B199" s="76" t="s">
        <v>28</v>
      </c>
      <c r="C199" s="77" t="s">
        <v>54</v>
      </c>
      <c r="D199" s="73" t="s">
        <v>40</v>
      </c>
      <c r="E199" s="75" t="s">
        <v>120</v>
      </c>
      <c r="F199" s="73" t="s">
        <v>102</v>
      </c>
      <c r="G199" s="73" t="str">
        <f>INDEX(Auxiliar!$B$16:$B$23,MATCH(Plano_V3!H199,Auxiliar!$C$16:$C$23,0),1)</f>
        <v>6. Em implementação (re-especificação)</v>
      </c>
      <c r="H199" s="73">
        <f>VLOOKUP(A199,'Aux - pivots1'!$A:$B,2,0)</f>
        <v>6</v>
      </c>
      <c r="I199" s="93">
        <f>SUMIFS(Table1[Estimação (horas)],Table1[Tabela],Plano_V3!E199,Table1[Campo],Plano_V3!F199)</f>
        <v>4.0999999999999996</v>
      </c>
      <c r="J199" s="93">
        <f t="shared" si="28"/>
        <v>0.51249999999999996</v>
      </c>
      <c r="K199" s="93">
        <f>SUMIFS(Table1[Horas efetivas],Table1[Tabela],Plano_V3!E199,Table1[Campo],Plano_V3!F199)</f>
        <v>1.0249999999999999</v>
      </c>
      <c r="L199" s="93">
        <f t="shared" si="29"/>
        <v>0.12812499999999999</v>
      </c>
      <c r="M199" s="93">
        <f t="shared" si="30"/>
        <v>0.25</v>
      </c>
      <c r="N199" s="96" t="s">
        <v>121</v>
      </c>
      <c r="O199" s="99">
        <f t="shared" si="31"/>
        <v>0.51249999999999996</v>
      </c>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87"/>
      <c r="AU199" s="87"/>
      <c r="AV199" s="87"/>
      <c r="AW199" s="100"/>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87"/>
      <c r="EJ199" s="87"/>
      <c r="EK199" s="87"/>
      <c r="EL199" s="100"/>
      <c r="EM199" s="100"/>
      <c r="EN199" s="100"/>
      <c r="EO199" s="100"/>
      <c r="EP199" s="100"/>
      <c r="EQ199" s="100"/>
    </row>
    <row r="200" spans="1:147" outlineLevel="1">
      <c r="A200" s="31" t="str">
        <f t="shared" si="27"/>
        <v>cd_imv_out_certifid_frac</v>
      </c>
      <c r="B200" s="76" t="s">
        <v>28</v>
      </c>
      <c r="C200" s="77" t="s">
        <v>54</v>
      </c>
      <c r="D200" s="73" t="s">
        <v>40</v>
      </c>
      <c r="E200" s="75" t="s">
        <v>120</v>
      </c>
      <c r="F200" s="73" t="s">
        <v>109</v>
      </c>
      <c r="G200" s="73" t="str">
        <f>INDEX(Auxiliar!$B$16:$B$23,MATCH(Plano_V3!H200,Auxiliar!$C$16:$C$23,0),1)</f>
        <v>6. Em implementação (re-especificação)</v>
      </c>
      <c r="H200" s="73">
        <f>VLOOKUP(A200,'Aux - pivots1'!$A:$B,2,0)</f>
        <v>6</v>
      </c>
      <c r="I200" s="93">
        <f>SUMIFS(Table1[Estimação (horas)],Table1[Tabela],Plano_V3!E200,Table1[Campo],Plano_V3!F200)</f>
        <v>4.0999999999999996</v>
      </c>
      <c r="J200" s="93">
        <f t="shared" si="28"/>
        <v>0.51249999999999996</v>
      </c>
      <c r="K200" s="93">
        <f>SUMIFS(Table1[Horas efetivas],Table1[Tabela],Plano_V3!E200,Table1[Campo],Plano_V3!F200)</f>
        <v>1.0249999999999999</v>
      </c>
      <c r="L200" s="93">
        <f t="shared" si="29"/>
        <v>0.12812499999999999</v>
      </c>
      <c r="M200" s="93">
        <f t="shared" si="30"/>
        <v>0.25</v>
      </c>
      <c r="N200" s="96" t="s">
        <v>121</v>
      </c>
      <c r="O200" s="99">
        <f t="shared" si="31"/>
        <v>0.51249999999999996</v>
      </c>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87"/>
      <c r="AU200" s="87"/>
      <c r="AV200" s="87"/>
      <c r="AW200" s="100"/>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87"/>
      <c r="EJ200" s="87"/>
      <c r="EK200" s="87"/>
      <c r="EL200" s="100"/>
      <c r="EM200" s="100"/>
      <c r="EN200" s="100"/>
      <c r="EO200" s="100"/>
      <c r="EP200" s="100"/>
      <c r="EQ200" s="100"/>
    </row>
    <row r="201" spans="1:147" outlineLevel="1">
      <c r="A201" s="31" t="str">
        <f t="shared" si="27"/>
        <v>cd_imv_out_certiflocalid</v>
      </c>
      <c r="B201" s="76" t="s">
        <v>28</v>
      </c>
      <c r="C201" s="77" t="s">
        <v>54</v>
      </c>
      <c r="D201" s="73" t="s">
        <v>40</v>
      </c>
      <c r="E201" s="75" t="s">
        <v>120</v>
      </c>
      <c r="F201" s="73" t="s">
        <v>110</v>
      </c>
      <c r="G201" s="73" t="str">
        <f>INDEX(Auxiliar!$B$16:$B$23,MATCH(Plano_V3!H201,Auxiliar!$C$16:$C$23,0),1)</f>
        <v>6. Em implementação (re-especificação)</v>
      </c>
      <c r="H201" s="73">
        <f>VLOOKUP(A201,'Aux - pivots1'!$A:$B,2,0)</f>
        <v>6</v>
      </c>
      <c r="I201" s="93">
        <f>SUMIFS(Table1[Estimação (horas)],Table1[Tabela],Plano_V3!E201,Table1[Campo],Plano_V3!F201)</f>
        <v>4.0999999999999996</v>
      </c>
      <c r="J201" s="93">
        <f t="shared" si="28"/>
        <v>0.51249999999999996</v>
      </c>
      <c r="K201" s="93">
        <f>SUMIFS(Table1[Horas efetivas],Table1[Tabela],Plano_V3!E201,Table1[Campo],Plano_V3!F201)</f>
        <v>1.0249999999999999</v>
      </c>
      <c r="L201" s="93">
        <f t="shared" si="29"/>
        <v>0.12812499999999999</v>
      </c>
      <c r="M201" s="93">
        <f t="shared" si="30"/>
        <v>0.25</v>
      </c>
      <c r="N201" s="96" t="s">
        <v>121</v>
      </c>
      <c r="O201" s="99">
        <f t="shared" si="31"/>
        <v>0.51249999999999996</v>
      </c>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87"/>
      <c r="AU201" s="87"/>
      <c r="AV201" s="87"/>
      <c r="AW201" s="100"/>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87"/>
      <c r="EJ201" s="87"/>
      <c r="EK201" s="87"/>
      <c r="EL201" s="100"/>
      <c r="EM201" s="100"/>
      <c r="EN201" s="100"/>
      <c r="EO201" s="100"/>
      <c r="EP201" s="100"/>
      <c r="EQ201" s="100"/>
    </row>
    <row r="202" spans="1:147" outlineLevel="1">
      <c r="A202" s="31" t="str">
        <f t="shared" si="23"/>
        <v>cd_imv_out_certifzn_clmtc_vr</v>
      </c>
      <c r="B202" s="76" t="s">
        <v>28</v>
      </c>
      <c r="C202" s="77" t="s">
        <v>54</v>
      </c>
      <c r="D202" s="73" t="s">
        <v>40</v>
      </c>
      <c r="E202" s="75" t="s">
        <v>120</v>
      </c>
      <c r="F202" s="73" t="s">
        <v>176</v>
      </c>
      <c r="G202" s="73" t="str">
        <f>INDEX(Auxiliar!$B$16:$B$23,MATCH(Plano_V3!H202,Auxiliar!$C$16:$C$23,0),1)</f>
        <v>1. Concluído</v>
      </c>
      <c r="H202" s="73">
        <f>VLOOKUP(A202,'Aux - pivots1'!$A:$B,2,0)</f>
        <v>1</v>
      </c>
      <c r="I202" s="93">
        <f>SUMIFS(Table1[Estimação (horas)],Table1[Tabela],Plano_V3!E202,Table1[Campo],Plano_V3!F202)</f>
        <v>4.0999999999999996</v>
      </c>
      <c r="J202" s="93">
        <f t="shared" si="24"/>
        <v>0.51249999999999996</v>
      </c>
      <c r="K202" s="93">
        <f>SUMIFS(Table1[Horas efetivas],Table1[Tabela],Plano_V3!E202,Table1[Campo],Plano_V3!F202)</f>
        <v>4.0999999999999996</v>
      </c>
      <c r="L202" s="93">
        <f t="shared" si="25"/>
        <v>0.51249999999999996</v>
      </c>
      <c r="M202" s="93">
        <f t="shared" si="26"/>
        <v>1</v>
      </c>
      <c r="N202" s="96" t="s">
        <v>121</v>
      </c>
      <c r="O202" s="99">
        <f t="shared" si="22"/>
        <v>0.51249999999999996</v>
      </c>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87"/>
      <c r="AU202" s="87"/>
      <c r="AV202" s="87"/>
      <c r="AW202" s="100"/>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87"/>
      <c r="EJ202" s="87"/>
      <c r="EK202" s="87"/>
      <c r="EL202" s="100"/>
      <c r="EM202" s="100"/>
      <c r="EN202" s="100"/>
      <c r="EO202" s="100"/>
      <c r="EP202" s="100"/>
      <c r="EQ202" s="100"/>
    </row>
    <row r="203" spans="1:147" outlineLevel="1">
      <c r="A203" s="31" t="str">
        <f t="shared" si="23"/>
        <v>Re-testesn.a.</v>
      </c>
      <c r="B203" s="76" t="s">
        <v>28</v>
      </c>
      <c r="C203" s="77" t="s">
        <v>54</v>
      </c>
      <c r="D203" s="73" t="s">
        <v>40</v>
      </c>
      <c r="E203" s="75" t="s">
        <v>53</v>
      </c>
      <c r="F203" s="73" t="s">
        <v>38</v>
      </c>
      <c r="G203" s="73" t="s">
        <v>177</v>
      </c>
      <c r="H203" s="73"/>
      <c r="I203" s="93">
        <f>SUM(I42:I202)*$D$7</f>
        <v>92.33750000000029</v>
      </c>
      <c r="J203" s="93">
        <f>I203/8</f>
        <v>11.542187500000036</v>
      </c>
      <c r="K203" s="93">
        <f>SUM(K42:K202)*$D$7</f>
        <v>83.356250000000159</v>
      </c>
      <c r="L203" s="93">
        <f>K203/8</f>
        <v>10.41953125000002</v>
      </c>
      <c r="M203" s="93">
        <f t="shared" si="26"/>
        <v>0.90273453364017753</v>
      </c>
      <c r="N203" s="96"/>
      <c r="O203" s="99">
        <f t="shared" si="22"/>
        <v>11.542187500000036</v>
      </c>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c r="AW203" s="100"/>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87"/>
      <c r="EJ203" s="87"/>
      <c r="EK203" s="87"/>
      <c r="EL203" s="100"/>
      <c r="EM203" s="100"/>
      <c r="EN203" s="100"/>
      <c r="EO203" s="100"/>
      <c r="EP203" s="100"/>
      <c r="EQ203" s="100"/>
    </row>
    <row r="204" spans="1:147">
      <c r="A204" s="31" t="str">
        <f t="shared" si="23"/>
        <v/>
      </c>
      <c r="B204" s="72" t="s">
        <v>28</v>
      </c>
      <c r="C204" s="105" t="s">
        <v>178</v>
      </c>
      <c r="D204" s="105"/>
      <c r="E204" s="112"/>
      <c r="F204" s="105"/>
      <c r="G204" s="105"/>
      <c r="H204" s="105"/>
      <c r="I204" s="108">
        <f>SUM(I205:I370)</f>
        <v>181.0999999999996</v>
      </c>
      <c r="J204" s="108">
        <f>ROUNDUP(I204/8,0)</f>
        <v>23</v>
      </c>
      <c r="K204" s="108"/>
      <c r="L204" s="108"/>
      <c r="M204" s="108"/>
      <c r="N204" s="109"/>
      <c r="O204" s="99">
        <f t="shared" si="22"/>
        <v>0</v>
      </c>
      <c r="P204" s="87"/>
      <c r="Q204" s="87"/>
      <c r="R204" s="87"/>
      <c r="S204" s="87"/>
      <c r="T204" s="87"/>
      <c r="U204" s="87"/>
      <c r="V204" s="87"/>
      <c r="W204" s="87"/>
      <c r="X204" s="87"/>
      <c r="Y204" s="87"/>
      <c r="Z204" s="87"/>
      <c r="AA204" s="87">
        <v>0.5</v>
      </c>
      <c r="AB204" s="87">
        <v>0.5</v>
      </c>
      <c r="AC204" s="87">
        <v>1</v>
      </c>
      <c r="AD204" s="87">
        <v>1</v>
      </c>
      <c r="AE204" s="87"/>
      <c r="AF204" s="87">
        <v>0.5</v>
      </c>
      <c r="AG204" s="87"/>
      <c r="AH204" s="87"/>
      <c r="AI204" s="87">
        <v>0.5</v>
      </c>
      <c r="AJ204" s="87">
        <v>0.5</v>
      </c>
      <c r="AK204" s="87">
        <v>2</v>
      </c>
      <c r="AL204" s="87">
        <v>2</v>
      </c>
      <c r="AM204" s="87">
        <v>1.5</v>
      </c>
      <c r="AN204" s="87">
        <v>1.5</v>
      </c>
      <c r="AO204" s="87">
        <v>1.5</v>
      </c>
      <c r="AP204" s="87">
        <v>2</v>
      </c>
      <c r="AQ204" s="87">
        <v>2</v>
      </c>
      <c r="AR204" s="87">
        <v>2</v>
      </c>
      <c r="AS204" s="87">
        <v>2</v>
      </c>
      <c r="AT204" s="87">
        <v>1</v>
      </c>
      <c r="AU204" s="87">
        <v>1</v>
      </c>
      <c r="AV204" s="87"/>
      <c r="AW204" s="100"/>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87"/>
      <c r="EJ204" s="87"/>
      <c r="EK204" s="87"/>
      <c r="EL204" s="100"/>
      <c r="EM204" s="100"/>
      <c r="EN204" s="100"/>
      <c r="EO204" s="100"/>
      <c r="EP204" s="100"/>
      <c r="EQ204" s="100"/>
    </row>
    <row r="205" spans="1:147" outlineLevel="1">
      <c r="A205" s="31" t="str">
        <f t="shared" si="23"/>
        <v>modesg_param_sfcs_taxon_europeian.a.</v>
      </c>
      <c r="B205" s="76" t="s">
        <v>28</v>
      </c>
      <c r="C205" s="77" t="s">
        <v>178</v>
      </c>
      <c r="D205" s="73" t="s">
        <v>36</v>
      </c>
      <c r="E205" s="75" t="s">
        <v>179</v>
      </c>
      <c r="F205" s="73" t="s">
        <v>38</v>
      </c>
      <c r="G205" s="73" t="str">
        <f>INDEX(Auxiliar!$B$16:$B$23,MATCH(Plano_V3!H205,Auxiliar!$C$16:$C$23,0),1)</f>
        <v>6. Em implementação (re-especificação)</v>
      </c>
      <c r="H205" s="73">
        <f>VLOOKUP(A205,'Aux - pivots1'!$A:$B,2,0)</f>
        <v>6</v>
      </c>
      <c r="I205" s="93">
        <f>SUMIFS(Table1[Estimação (horas)],Table1[Tabela],Plano_V3!E205,Table1[Campo],Plano_V3!F205)</f>
        <v>8.5</v>
      </c>
      <c r="J205" s="93">
        <f t="shared" ref="J205:J270" si="32">I205/8</f>
        <v>1.0625</v>
      </c>
      <c r="K205" s="93">
        <f>SUMIFS(Table1[Horas efetivas],Table1[Tabela],Plano_V3!E205,Table1[Campo],Plano_V3!F205)</f>
        <v>2.125</v>
      </c>
      <c r="L205" s="93">
        <f>K205/8</f>
        <v>0.265625</v>
      </c>
      <c r="M205" s="93">
        <f>L205/J205</f>
        <v>0.25</v>
      </c>
      <c r="N205" s="98" t="s">
        <v>39</v>
      </c>
      <c r="O205" s="99">
        <f t="shared" si="22"/>
        <v>1.0625</v>
      </c>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U205" s="87"/>
      <c r="AV205" s="87"/>
      <c r="AW205" s="100"/>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87"/>
      <c r="EJ205" s="87"/>
      <c r="EK205" s="87"/>
      <c r="EL205" s="100"/>
      <c r="EM205" s="100"/>
      <c r="EN205" s="100"/>
      <c r="EO205" s="100"/>
      <c r="EP205" s="100"/>
      <c r="EQ205" s="100"/>
    </row>
    <row r="206" spans="1:147" outlineLevel="1">
      <c r="A206" s="31" t="str">
        <f t="shared" si="23"/>
        <v>modesg_param_sfcs_taxon_europeiacbalcao</v>
      </c>
      <c r="B206" s="76" t="s">
        <v>28</v>
      </c>
      <c r="C206" s="77" t="s">
        <v>178</v>
      </c>
      <c r="D206" s="73" t="s">
        <v>40</v>
      </c>
      <c r="E206" s="75" t="s">
        <v>179</v>
      </c>
      <c r="F206" s="73" t="s">
        <v>180</v>
      </c>
      <c r="G206" s="73" t="str">
        <f>INDEX(Auxiliar!$B$16:$B$23,MATCH(Plano_V3!H206,Auxiliar!$C$16:$C$23,0),1)</f>
        <v>1. Concluído</v>
      </c>
      <c r="H206" s="73">
        <f>VLOOKUP(A206,'Aux - pivots1'!$A:$B,2,0)</f>
        <v>1</v>
      </c>
      <c r="I206" s="93">
        <f>SUMIFS(Table1[Estimação (horas)],Table1[Tabela],Plano_V3!E206,Table1[Campo],Plano_V3!F206)</f>
        <v>0.6</v>
      </c>
      <c r="J206" s="93">
        <f t="shared" si="32"/>
        <v>7.4999999999999997E-2</v>
      </c>
      <c r="K206" s="93">
        <f>SUMIFS(Table1[Horas efetivas],Table1[Tabela],Plano_V3!E206,Table1[Campo],Plano_V3!F206)</f>
        <v>0.6</v>
      </c>
      <c r="L206" s="93">
        <f t="shared" ref="L206:L271" si="33">K206/8</f>
        <v>7.4999999999999997E-2</v>
      </c>
      <c r="M206" s="93">
        <f t="shared" ref="M206:M271" si="34">L206/J206</f>
        <v>1</v>
      </c>
      <c r="N206" s="98" t="s">
        <v>39</v>
      </c>
      <c r="O206" s="99">
        <f t="shared" si="22"/>
        <v>7.4999999999999997E-2</v>
      </c>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7"/>
      <c r="AU206" s="87"/>
      <c r="AV206" s="87"/>
      <c r="AW206" s="100"/>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87"/>
      <c r="EJ206" s="87"/>
      <c r="EK206" s="87"/>
      <c r="EL206" s="100"/>
      <c r="EM206" s="100"/>
      <c r="EN206" s="100"/>
      <c r="EO206" s="100"/>
      <c r="EP206" s="100"/>
      <c r="EQ206" s="100"/>
    </row>
    <row r="207" spans="1:147" outlineLevel="1">
      <c r="A207" s="31" t="str">
        <f t="shared" si="23"/>
        <v>modesg_param_sfcs_taxon_europeiacempresa</v>
      </c>
      <c r="B207" s="76" t="s">
        <v>28</v>
      </c>
      <c r="C207" s="77" t="s">
        <v>178</v>
      </c>
      <c r="D207" s="73" t="s">
        <v>40</v>
      </c>
      <c r="E207" s="75" t="s">
        <v>179</v>
      </c>
      <c r="F207" s="73" t="s">
        <v>57</v>
      </c>
      <c r="G207" s="73" t="str">
        <f>INDEX(Auxiliar!$B$16:$B$23,MATCH(Plano_V3!H207,Auxiliar!$C$16:$C$23,0),1)</f>
        <v>1. Concluído</v>
      </c>
      <c r="H207" s="73">
        <f>VLOOKUP(A207,'Aux - pivots1'!$A:$B,2,0)</f>
        <v>1</v>
      </c>
      <c r="I207" s="93">
        <f>SUMIFS(Table1[Estimação (horas)],Table1[Tabela],Plano_V3!E207,Table1[Campo],Plano_V3!F207)</f>
        <v>0.6</v>
      </c>
      <c r="J207" s="93">
        <f t="shared" si="32"/>
        <v>7.4999999999999997E-2</v>
      </c>
      <c r="K207" s="93">
        <f>SUMIFS(Table1[Horas efetivas],Table1[Tabela],Plano_V3!E207,Table1[Campo],Plano_V3!F207)</f>
        <v>0.6</v>
      </c>
      <c r="L207" s="93">
        <f t="shared" si="33"/>
        <v>7.4999999999999997E-2</v>
      </c>
      <c r="M207" s="93">
        <f t="shared" si="34"/>
        <v>1</v>
      </c>
      <c r="N207" s="98" t="s">
        <v>39</v>
      </c>
      <c r="O207" s="99">
        <f t="shared" si="22"/>
        <v>7.4999999999999997E-2</v>
      </c>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7"/>
      <c r="AU207" s="87"/>
      <c r="AV207" s="87"/>
      <c r="AW207" s="100"/>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87"/>
      <c r="EJ207" s="87"/>
      <c r="EK207" s="87"/>
      <c r="EL207" s="100"/>
      <c r="EM207" s="100"/>
      <c r="EN207" s="100"/>
      <c r="EO207" s="100"/>
      <c r="EP207" s="100"/>
      <c r="EQ207" s="100"/>
    </row>
    <row r="208" spans="1:147" outlineLevel="1">
      <c r="A208" s="31" t="str">
        <f t="shared" si="23"/>
        <v>modesg_param_sfcs_taxon_europeiackmetamis</v>
      </c>
      <c r="B208" s="76" t="s">
        <v>28</v>
      </c>
      <c r="C208" s="77" t="s">
        <v>178</v>
      </c>
      <c r="D208" s="73" t="s">
        <v>40</v>
      </c>
      <c r="E208" s="75" t="s">
        <v>179</v>
      </c>
      <c r="F208" s="73" t="s">
        <v>181</v>
      </c>
      <c r="G208" s="73" t="str">
        <f>INDEX(Auxiliar!$B$16:$B$23,MATCH(Plano_V3!H208,Auxiliar!$C$16:$C$23,0),1)</f>
        <v>1. Concluído</v>
      </c>
      <c r="H208" s="73">
        <f>VLOOKUP(A208,'Aux - pivots1'!$A:$B,2,0)</f>
        <v>1</v>
      </c>
      <c r="I208" s="93">
        <f>SUMIFS(Table1[Estimação (horas)],Table1[Tabela],Plano_V3!E208,Table1[Campo],Plano_V3!F208)</f>
        <v>0.6</v>
      </c>
      <c r="J208" s="93">
        <f t="shared" si="32"/>
        <v>7.4999999999999997E-2</v>
      </c>
      <c r="K208" s="93">
        <f>SUMIFS(Table1[Horas efetivas],Table1[Tabela],Plano_V3!E208,Table1[Campo],Plano_V3!F208)</f>
        <v>0.6</v>
      </c>
      <c r="L208" s="93">
        <f t="shared" si="33"/>
        <v>7.4999999999999997E-2</v>
      </c>
      <c r="M208" s="93">
        <f t="shared" si="34"/>
        <v>1</v>
      </c>
      <c r="N208" s="98" t="s">
        <v>39</v>
      </c>
      <c r="O208" s="99">
        <f t="shared" si="22"/>
        <v>7.4999999999999997E-2</v>
      </c>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7"/>
      <c r="AU208" s="87"/>
      <c r="AV208" s="87"/>
      <c r="AW208" s="100"/>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87"/>
      <c r="EJ208" s="87"/>
      <c r="EK208" s="87"/>
      <c r="EL208" s="100"/>
      <c r="EM208" s="100"/>
      <c r="EN208" s="100"/>
      <c r="EO208" s="100"/>
      <c r="EP208" s="100"/>
      <c r="EQ208" s="100"/>
    </row>
    <row r="209" spans="1:147" outlineLevel="1">
      <c r="A209" s="31" t="str">
        <f t="shared" si="23"/>
        <v>modesg_param_sfcs_taxon_europeiackprodmi</v>
      </c>
      <c r="B209" s="76" t="s">
        <v>28</v>
      </c>
      <c r="C209" s="77" t="s">
        <v>178</v>
      </c>
      <c r="D209" s="73" t="s">
        <v>40</v>
      </c>
      <c r="E209" s="75" t="s">
        <v>179</v>
      </c>
      <c r="F209" s="73" t="s">
        <v>182</v>
      </c>
      <c r="G209" s="73" t="str">
        <f>INDEX(Auxiliar!$B$16:$B$23,MATCH(Plano_V3!H209,Auxiliar!$C$16:$C$23,0),1)</f>
        <v>1. Concluído</v>
      </c>
      <c r="H209" s="73">
        <f>VLOOKUP(A209,'Aux - pivots1'!$A:$B,2,0)</f>
        <v>1</v>
      </c>
      <c r="I209" s="93">
        <f>SUMIFS(Table1[Estimação (horas)],Table1[Tabela],Plano_V3!E209,Table1[Campo],Plano_V3!F209)</f>
        <v>0.6</v>
      </c>
      <c r="J209" s="93">
        <f t="shared" si="32"/>
        <v>7.4999999999999997E-2</v>
      </c>
      <c r="K209" s="93">
        <f>SUMIFS(Table1[Horas efetivas],Table1[Tabela],Plano_V3!E209,Table1[Campo],Plano_V3!F209)</f>
        <v>0.6</v>
      </c>
      <c r="L209" s="93">
        <f t="shared" si="33"/>
        <v>7.4999999999999997E-2</v>
      </c>
      <c r="M209" s="93">
        <f t="shared" si="34"/>
        <v>1</v>
      </c>
      <c r="N209" s="98" t="s">
        <v>39</v>
      </c>
      <c r="O209" s="99">
        <f t="shared" si="22"/>
        <v>7.4999999999999997E-2</v>
      </c>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7"/>
      <c r="AU209" s="87"/>
      <c r="AV209" s="87"/>
      <c r="AW209" s="100"/>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87"/>
      <c r="EJ209" s="87"/>
      <c r="EK209" s="87"/>
      <c r="EL209" s="100"/>
      <c r="EM209" s="100"/>
      <c r="EN209" s="100"/>
      <c r="EO209" s="100"/>
      <c r="EP209" s="100"/>
      <c r="EQ209" s="100"/>
    </row>
    <row r="210" spans="1:147" outlineLevel="1">
      <c r="A210" s="31" t="str">
        <f t="shared" si="23"/>
        <v>modesg_param_sfcs_taxon_europeiacmetanseg</v>
      </c>
      <c r="B210" s="76" t="s">
        <v>28</v>
      </c>
      <c r="C210" s="77" t="s">
        <v>178</v>
      </c>
      <c r="D210" s="73" t="s">
        <v>40</v>
      </c>
      <c r="E210" s="75" t="s">
        <v>179</v>
      </c>
      <c r="F210" s="73" t="s">
        <v>183</v>
      </c>
      <c r="G210" s="73" t="str">
        <f>INDEX(Auxiliar!$B$16:$B$23,MATCH(Plano_V3!H210,Auxiliar!$C$16:$C$23,0),1)</f>
        <v>1. Concluído</v>
      </c>
      <c r="H210" s="73">
        <f>VLOOKUP(A210,'Aux - pivots1'!$A:$B,2,0)</f>
        <v>1</v>
      </c>
      <c r="I210" s="93">
        <f>SUMIFS(Table1[Estimação (horas)],Table1[Tabela],Plano_V3!E210,Table1[Campo],Plano_V3!F210)</f>
        <v>0.6</v>
      </c>
      <c r="J210" s="93">
        <f t="shared" si="32"/>
        <v>7.4999999999999997E-2</v>
      </c>
      <c r="K210" s="93">
        <f>SUMIFS(Table1[Horas efetivas],Table1[Tabela],Plano_V3!E210,Table1[Campo],Plano_V3!F210)</f>
        <v>0.6</v>
      </c>
      <c r="L210" s="93">
        <f t="shared" si="33"/>
        <v>7.4999999999999997E-2</v>
      </c>
      <c r="M210" s="93">
        <f t="shared" si="34"/>
        <v>1</v>
      </c>
      <c r="N210" s="98" t="s">
        <v>39</v>
      </c>
      <c r="O210" s="99">
        <f t="shared" si="22"/>
        <v>7.4999999999999997E-2</v>
      </c>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87"/>
      <c r="AU210" s="87"/>
      <c r="AV210" s="87"/>
      <c r="AW210" s="100"/>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87"/>
      <c r="EJ210" s="87"/>
      <c r="EK210" s="87"/>
      <c r="EL210" s="100"/>
      <c r="EM210" s="100"/>
      <c r="EN210" s="100"/>
      <c r="EO210" s="100"/>
      <c r="EP210" s="100"/>
      <c r="EQ210" s="100"/>
    </row>
    <row r="211" spans="1:147" outlineLevel="1">
      <c r="A211" s="31" t="str">
        <f t="shared" si="23"/>
        <v>modesg_param_sfcs_taxon_europeiacnsm_co2</v>
      </c>
      <c r="B211" s="76" t="s">
        <v>28</v>
      </c>
      <c r="C211" s="77" t="s">
        <v>178</v>
      </c>
      <c r="D211" s="73" t="s">
        <v>40</v>
      </c>
      <c r="E211" s="75" t="s">
        <v>179</v>
      </c>
      <c r="F211" s="73" t="s">
        <v>184</v>
      </c>
      <c r="G211" s="73" t="str">
        <f>INDEX(Auxiliar!$B$16:$B$23,MATCH(Plano_V3!H211,Auxiliar!$C$16:$C$23,0),1)</f>
        <v>1. Concluído</v>
      </c>
      <c r="H211" s="73">
        <f>VLOOKUP(A211,'Aux - pivots1'!$A:$B,2,0)</f>
        <v>1</v>
      </c>
      <c r="I211" s="93">
        <f>SUMIFS(Table1[Estimação (horas)],Table1[Tabela],Plano_V3!E211,Table1[Campo],Plano_V3!F211)</f>
        <v>0.6</v>
      </c>
      <c r="J211" s="93">
        <f t="shared" si="32"/>
        <v>7.4999999999999997E-2</v>
      </c>
      <c r="K211" s="93">
        <f>SUMIFS(Table1[Horas efetivas],Table1[Tabela],Plano_V3!E211,Table1[Campo],Plano_V3!F211)</f>
        <v>0.6</v>
      </c>
      <c r="L211" s="93">
        <f t="shared" si="33"/>
        <v>7.4999999999999997E-2</v>
      </c>
      <c r="M211" s="93">
        <f t="shared" si="34"/>
        <v>1</v>
      </c>
      <c r="N211" s="98" t="s">
        <v>39</v>
      </c>
      <c r="O211" s="99">
        <f t="shared" si="22"/>
        <v>7.4999999999999997E-2</v>
      </c>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87"/>
      <c r="AU211" s="87"/>
      <c r="AV211" s="87"/>
      <c r="AW211" s="100"/>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87"/>
      <c r="EJ211" s="87"/>
      <c r="EK211" s="87"/>
      <c r="EL211" s="100"/>
      <c r="EM211" s="100"/>
      <c r="EN211" s="100"/>
      <c r="EO211" s="100"/>
      <c r="EP211" s="100"/>
      <c r="EQ211" s="100"/>
    </row>
    <row r="212" spans="1:147" outlineLevel="1">
      <c r="A212" s="31" t="str">
        <f t="shared" si="23"/>
        <v>modesg_param_sfcs_taxon_europeiacnumecta</v>
      </c>
      <c r="B212" s="76" t="s">
        <v>28</v>
      </c>
      <c r="C212" s="77" t="s">
        <v>178</v>
      </c>
      <c r="D212" s="73" t="s">
        <v>40</v>
      </c>
      <c r="E212" s="75" t="s">
        <v>179</v>
      </c>
      <c r="F212" s="73" t="s">
        <v>185</v>
      </c>
      <c r="G212" s="73" t="str">
        <f>INDEX(Auxiliar!$B$16:$B$23,MATCH(Plano_V3!H212,Auxiliar!$C$16:$C$23,0),1)</f>
        <v>1. Concluído</v>
      </c>
      <c r="H212" s="73">
        <f>VLOOKUP(A212,'Aux - pivots1'!$A:$B,2,0)</f>
        <v>1</v>
      </c>
      <c r="I212" s="93">
        <f>SUMIFS(Table1[Estimação (horas)],Table1[Tabela],Plano_V3!E212,Table1[Campo],Plano_V3!F212)</f>
        <v>0.6</v>
      </c>
      <c r="J212" s="93">
        <f t="shared" si="32"/>
        <v>7.4999999999999997E-2</v>
      </c>
      <c r="K212" s="93">
        <f>SUMIFS(Table1[Horas efetivas],Table1[Tabela],Plano_V3!E212,Table1[Campo],Plano_V3!F212)</f>
        <v>0.6</v>
      </c>
      <c r="L212" s="93">
        <f t="shared" si="33"/>
        <v>7.4999999999999997E-2</v>
      </c>
      <c r="M212" s="93">
        <f t="shared" si="34"/>
        <v>1</v>
      </c>
      <c r="N212" s="98" t="s">
        <v>39</v>
      </c>
      <c r="O212" s="99">
        <f t="shared" si="22"/>
        <v>7.4999999999999997E-2</v>
      </c>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7"/>
      <c r="AU212" s="87"/>
      <c r="AV212" s="87"/>
      <c r="AW212" s="100"/>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87"/>
      <c r="EJ212" s="87"/>
      <c r="EK212" s="87"/>
      <c r="EL212" s="100"/>
      <c r="EM212" s="100"/>
      <c r="EN212" s="100"/>
      <c r="EO212" s="100"/>
      <c r="EP212" s="100"/>
      <c r="EQ212" s="100"/>
    </row>
    <row r="213" spans="1:147" outlineLevel="1">
      <c r="A213" s="31" t="str">
        <f t="shared" si="23"/>
        <v>modesg_param_sfcs_taxon_europeiacod_lease</v>
      </c>
      <c r="B213" s="76" t="s">
        <v>28</v>
      </c>
      <c r="C213" s="77" t="s">
        <v>178</v>
      </c>
      <c r="D213" s="73" t="s">
        <v>40</v>
      </c>
      <c r="E213" s="75" t="s">
        <v>179</v>
      </c>
      <c r="F213" s="73" t="s">
        <v>186</v>
      </c>
      <c r="G213" s="73" t="str">
        <f>INDEX(Auxiliar!$B$16:$B$23,MATCH(Plano_V3!H213,Auxiliar!$C$16:$C$23,0),1)</f>
        <v>1. Concluído</v>
      </c>
      <c r="H213" s="73">
        <f>VLOOKUP(A213,'Aux - pivots1'!$A:$B,2,0)</f>
        <v>1</v>
      </c>
      <c r="I213" s="93">
        <f>SUMIFS(Table1[Estimação (horas)],Table1[Tabela],Plano_V3!E213,Table1[Campo],Plano_V3!F213)</f>
        <v>0.6</v>
      </c>
      <c r="J213" s="93">
        <f t="shared" si="32"/>
        <v>7.4999999999999997E-2</v>
      </c>
      <c r="K213" s="93">
        <f>SUMIFS(Table1[Horas efetivas],Table1[Tabela],Plano_V3!E213,Table1[Campo],Plano_V3!F213)</f>
        <v>0.6</v>
      </c>
      <c r="L213" s="93">
        <f t="shared" si="33"/>
        <v>7.4999999999999997E-2</v>
      </c>
      <c r="M213" s="93">
        <f t="shared" si="34"/>
        <v>1</v>
      </c>
      <c r="N213" s="98" t="s">
        <v>39</v>
      </c>
      <c r="O213" s="99">
        <f t="shared" si="22"/>
        <v>7.4999999999999997E-2</v>
      </c>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87"/>
      <c r="AU213" s="87"/>
      <c r="AV213" s="87"/>
      <c r="AW213" s="100"/>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87"/>
      <c r="EJ213" s="87"/>
      <c r="EK213" s="87"/>
      <c r="EL213" s="100"/>
      <c r="EM213" s="100"/>
      <c r="EN213" s="100"/>
      <c r="EO213" s="100"/>
      <c r="EP213" s="100"/>
      <c r="EQ213" s="100"/>
    </row>
    <row r="214" spans="1:147" outlineLevel="1">
      <c r="A214" s="31" t="str">
        <f t="shared" si="23"/>
        <v>modesg_param_sfcs_taxon_europeiacod_regra</v>
      </c>
      <c r="B214" s="76" t="s">
        <v>28</v>
      </c>
      <c r="C214" s="77" t="s">
        <v>178</v>
      </c>
      <c r="D214" s="73" t="s">
        <v>40</v>
      </c>
      <c r="E214" s="75" t="s">
        <v>179</v>
      </c>
      <c r="F214" s="73" t="s">
        <v>187</v>
      </c>
      <c r="G214" s="73" t="str">
        <f>INDEX(Auxiliar!$B$16:$B$23,MATCH(Plano_V3!H214,Auxiliar!$C$16:$C$23,0),1)</f>
        <v>6. Em implementação (re-especificação)</v>
      </c>
      <c r="H214" s="73">
        <f>VLOOKUP(A214,'Aux - pivots1'!$A:$B,2,0)</f>
        <v>6</v>
      </c>
      <c r="I214" s="93">
        <f>SUMIFS(Table1[Estimação (horas)],Table1[Tabela],Plano_V3!E214,Table1[Campo],Plano_V3!F214)</f>
        <v>0.6</v>
      </c>
      <c r="J214" s="93">
        <f t="shared" si="32"/>
        <v>7.4999999999999997E-2</v>
      </c>
      <c r="K214" s="93">
        <f>SUMIFS(Table1[Horas efetivas],Table1[Tabela],Plano_V3!E214,Table1[Campo],Plano_V3!F214)</f>
        <v>0.15</v>
      </c>
      <c r="L214" s="93">
        <f t="shared" si="33"/>
        <v>1.8749999999999999E-2</v>
      </c>
      <c r="M214" s="93">
        <f t="shared" si="34"/>
        <v>0.25</v>
      </c>
      <c r="N214" s="98" t="s">
        <v>39</v>
      </c>
      <c r="O214" s="99">
        <f t="shared" si="22"/>
        <v>7.4999999999999997E-2</v>
      </c>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87"/>
      <c r="AU214" s="87"/>
      <c r="AV214" s="87"/>
      <c r="AW214" s="100"/>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87"/>
      <c r="EJ214" s="87"/>
      <c r="EK214" s="87"/>
      <c r="EL214" s="100"/>
      <c r="EM214" s="100"/>
      <c r="EN214" s="100"/>
      <c r="EO214" s="100"/>
      <c r="EP214" s="100"/>
      <c r="EQ214" s="100"/>
    </row>
    <row r="215" spans="1:147" outlineLevel="1">
      <c r="A215" s="31" t="str">
        <f t="shared" si="23"/>
        <v>modesg_param_sfcs_taxon_europeiacomite</v>
      </c>
      <c r="B215" s="76" t="s">
        <v>28</v>
      </c>
      <c r="C215" s="77" t="s">
        <v>178</v>
      </c>
      <c r="D215" s="73" t="s">
        <v>40</v>
      </c>
      <c r="E215" s="75" t="s">
        <v>179</v>
      </c>
      <c r="F215" s="73" t="s">
        <v>188</v>
      </c>
      <c r="G215" s="73" t="str">
        <f>INDEX(Auxiliar!$B$16:$B$23,MATCH(Plano_V3!H215,Auxiliar!$C$16:$C$23,0),1)</f>
        <v>6. Em implementação (re-especificação)</v>
      </c>
      <c r="H215" s="73">
        <f>VLOOKUP(A215,'Aux - pivots1'!$A:$B,2,0)</f>
        <v>6</v>
      </c>
      <c r="I215" s="93">
        <f>SUMIFS(Table1[Estimação (horas)],Table1[Tabela],Plano_V3!E215,Table1[Campo],Plano_V3!F215)</f>
        <v>0.6</v>
      </c>
      <c r="J215" s="93">
        <f t="shared" si="32"/>
        <v>7.4999999999999997E-2</v>
      </c>
      <c r="K215" s="93">
        <f>SUMIFS(Table1[Horas efetivas],Table1[Tabela],Plano_V3!E215,Table1[Campo],Plano_V3!F215)</f>
        <v>0.15</v>
      </c>
      <c r="L215" s="93">
        <f t="shared" si="33"/>
        <v>1.8749999999999999E-2</v>
      </c>
      <c r="M215" s="93">
        <f t="shared" si="34"/>
        <v>0.25</v>
      </c>
      <c r="N215" s="98" t="s">
        <v>39</v>
      </c>
      <c r="O215" s="99">
        <f t="shared" si="22"/>
        <v>7.4999999999999997E-2</v>
      </c>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87"/>
      <c r="AU215" s="87"/>
      <c r="AV215" s="87"/>
      <c r="AW215" s="100"/>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87"/>
      <c r="EJ215" s="87"/>
      <c r="EK215" s="87"/>
      <c r="EL215" s="100"/>
      <c r="EM215" s="100"/>
      <c r="EN215" s="100"/>
      <c r="EO215" s="100"/>
      <c r="EP215" s="100"/>
      <c r="EQ215" s="100"/>
    </row>
    <row r="216" spans="1:147" outlineLevel="1">
      <c r="A216" s="31" t="str">
        <f t="shared" si="23"/>
        <v>modesg_param_sfcs_taxon_europeiadata_aprvc</v>
      </c>
      <c r="B216" s="76" t="s">
        <v>28</v>
      </c>
      <c r="C216" s="77" t="s">
        <v>178</v>
      </c>
      <c r="D216" s="73" t="s">
        <v>40</v>
      </c>
      <c r="E216" s="75" t="s">
        <v>179</v>
      </c>
      <c r="F216" s="73" t="s">
        <v>189</v>
      </c>
      <c r="G216" s="73" t="str">
        <f>INDEX(Auxiliar!$B$16:$B$23,MATCH(Plano_V3!H216,Auxiliar!$C$16:$C$23,0),1)</f>
        <v>6. Em implementação (re-especificação)</v>
      </c>
      <c r="H216" s="73">
        <f>VLOOKUP(A216,'Aux - pivots1'!$A:$B,2,0)</f>
        <v>6</v>
      </c>
      <c r="I216" s="93">
        <f>SUMIFS(Table1[Estimação (horas)],Table1[Tabela],Plano_V3!E216,Table1[Campo],Plano_V3!F216)</f>
        <v>0.6</v>
      </c>
      <c r="J216" s="93">
        <f t="shared" si="32"/>
        <v>7.4999999999999997E-2</v>
      </c>
      <c r="K216" s="93">
        <f>SUMIFS(Table1[Horas efetivas],Table1[Tabela],Plano_V3!E216,Table1[Campo],Plano_V3!F216)</f>
        <v>0.15</v>
      </c>
      <c r="L216" s="93">
        <f t="shared" si="33"/>
        <v>1.8749999999999999E-2</v>
      </c>
      <c r="M216" s="93">
        <f t="shared" si="34"/>
        <v>0.25</v>
      </c>
      <c r="N216" s="98" t="s">
        <v>39</v>
      </c>
      <c r="O216" s="99">
        <f t="shared" si="22"/>
        <v>7.4999999999999997E-2</v>
      </c>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87"/>
      <c r="AU216" s="87"/>
      <c r="AV216" s="87"/>
      <c r="AW216" s="100"/>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87"/>
      <c r="EJ216" s="87"/>
      <c r="EK216" s="87"/>
      <c r="EL216" s="100"/>
      <c r="EM216" s="100"/>
      <c r="EN216" s="100"/>
      <c r="EO216" s="100"/>
      <c r="EP216" s="100"/>
      <c r="EQ216" s="100"/>
    </row>
    <row r="217" spans="1:147" outlineLevel="1">
      <c r="A217" s="31" t="str">
        <f t="shared" si="23"/>
        <v>modesg_param_sfcs_taxon_europeiadata_final</v>
      </c>
      <c r="B217" s="76" t="s">
        <v>28</v>
      </c>
      <c r="C217" s="77" t="s">
        <v>178</v>
      </c>
      <c r="D217" s="73" t="s">
        <v>40</v>
      </c>
      <c r="E217" s="75" t="s">
        <v>179</v>
      </c>
      <c r="F217" s="73" t="s">
        <v>190</v>
      </c>
      <c r="G217" s="73" t="str">
        <f>INDEX(Auxiliar!$B$16:$B$23,MATCH(Plano_V3!H217,Auxiliar!$C$16:$C$23,0),1)</f>
        <v>5. Em Correção</v>
      </c>
      <c r="H217" s="73">
        <f>VLOOKUP(A217,'Aux - pivots1'!$A:$B,2,0)</f>
        <v>5</v>
      </c>
      <c r="I217" s="93">
        <f>SUMIFS(Table1[Estimação (horas)],Table1[Tabela],Plano_V3!E217,Table1[Campo],Plano_V3!F217)</f>
        <v>0.6</v>
      </c>
      <c r="J217" s="93">
        <f t="shared" si="32"/>
        <v>7.4999999999999997E-2</v>
      </c>
      <c r="K217" s="93">
        <f>SUMIFS(Table1[Horas efetivas],Table1[Tabela],Plano_V3!E217,Table1[Campo],Plano_V3!F217)</f>
        <v>0.15</v>
      </c>
      <c r="L217" s="93">
        <f t="shared" si="33"/>
        <v>1.8749999999999999E-2</v>
      </c>
      <c r="M217" s="93">
        <f t="shared" si="34"/>
        <v>0.25</v>
      </c>
      <c r="N217" s="98" t="s">
        <v>39</v>
      </c>
      <c r="O217" s="99">
        <f t="shared" si="22"/>
        <v>7.4999999999999997E-2</v>
      </c>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87"/>
      <c r="AU217" s="87"/>
      <c r="AV217" s="87"/>
      <c r="AW217" s="100"/>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87"/>
      <c r="EJ217" s="87"/>
      <c r="EK217" s="87"/>
      <c r="EL217" s="100"/>
      <c r="EM217" s="100"/>
      <c r="EN217" s="100"/>
      <c r="EO217" s="100"/>
      <c r="EP217" s="100"/>
      <c r="EQ217" s="100"/>
    </row>
    <row r="218" spans="1:147" outlineLevel="1">
      <c r="A218" s="31" t="str">
        <f t="shared" si="23"/>
        <v>modesg_param_sfcs_taxon_europeiadata_inicial</v>
      </c>
      <c r="B218" s="76" t="s">
        <v>28</v>
      </c>
      <c r="C218" s="77" t="s">
        <v>178</v>
      </c>
      <c r="D218" s="73" t="s">
        <v>40</v>
      </c>
      <c r="E218" s="75" t="s">
        <v>179</v>
      </c>
      <c r="F218" s="73" t="s">
        <v>191</v>
      </c>
      <c r="G218" s="73" t="str">
        <f>INDEX(Auxiliar!$B$16:$B$23,MATCH(Plano_V3!H218,Auxiliar!$C$16:$C$23,0),1)</f>
        <v>5. Em Correção</v>
      </c>
      <c r="H218" s="73">
        <f>VLOOKUP(A218,'Aux - pivots1'!$A:$B,2,0)</f>
        <v>5</v>
      </c>
      <c r="I218" s="93">
        <f>SUMIFS(Table1[Estimação (horas)],Table1[Tabela],Plano_V3!E218,Table1[Campo],Plano_V3!F218)</f>
        <v>0.6</v>
      </c>
      <c r="J218" s="93">
        <f t="shared" si="32"/>
        <v>7.4999999999999997E-2</v>
      </c>
      <c r="K218" s="93">
        <f>SUMIFS(Table1[Horas efetivas],Table1[Tabela],Plano_V3!E218,Table1[Campo],Plano_V3!F218)</f>
        <v>0.15</v>
      </c>
      <c r="L218" s="93">
        <f t="shared" si="33"/>
        <v>1.8749999999999999E-2</v>
      </c>
      <c r="M218" s="93">
        <f t="shared" si="34"/>
        <v>0.25</v>
      </c>
      <c r="N218" s="98" t="s">
        <v>39</v>
      </c>
      <c r="O218" s="99">
        <f t="shared" si="22"/>
        <v>7.4999999999999997E-2</v>
      </c>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87"/>
      <c r="AU218" s="87"/>
      <c r="AV218" s="87"/>
      <c r="AW218" s="100"/>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87"/>
      <c r="EJ218" s="87"/>
      <c r="EK218" s="87"/>
      <c r="EL218" s="100"/>
      <c r="EM218" s="100"/>
      <c r="EN218" s="100"/>
      <c r="EO218" s="100"/>
      <c r="EP218" s="100"/>
      <c r="EQ218" s="100"/>
    </row>
    <row r="219" spans="1:147" outlineLevel="1">
      <c r="A219" s="31" t="str">
        <f t="shared" si="23"/>
        <v>modesg_param_sfcs_taxon_europeiadominio</v>
      </c>
      <c r="B219" s="76" t="s">
        <v>28</v>
      </c>
      <c r="C219" s="77" t="s">
        <v>178</v>
      </c>
      <c r="D219" s="73" t="s">
        <v>40</v>
      </c>
      <c r="E219" s="75" t="s">
        <v>179</v>
      </c>
      <c r="F219" s="73" t="s">
        <v>192</v>
      </c>
      <c r="G219" s="73" t="str">
        <f>INDEX(Auxiliar!$B$16:$B$23,MATCH(Plano_V3!H219,Auxiliar!$C$16:$C$23,0),1)</f>
        <v>1. Concluído</v>
      </c>
      <c r="H219" s="73">
        <f>VLOOKUP(A219,'Aux - pivots1'!$A:$B,2,0)</f>
        <v>1</v>
      </c>
      <c r="I219" s="93">
        <f>SUMIFS(Table1[Estimação (horas)],Table1[Tabela],Plano_V3!E219,Table1[Campo],Plano_V3!F219)</f>
        <v>0.6</v>
      </c>
      <c r="J219" s="93">
        <f t="shared" si="32"/>
        <v>7.4999999999999997E-2</v>
      </c>
      <c r="K219" s="93">
        <f>SUMIFS(Table1[Horas efetivas],Table1[Tabela],Plano_V3!E219,Table1[Campo],Plano_V3!F219)</f>
        <v>0.6</v>
      </c>
      <c r="L219" s="93">
        <f t="shared" si="33"/>
        <v>7.4999999999999997E-2</v>
      </c>
      <c r="M219" s="93">
        <f t="shared" si="34"/>
        <v>1</v>
      </c>
      <c r="N219" s="98" t="s">
        <v>39</v>
      </c>
      <c r="O219" s="99">
        <f t="shared" si="22"/>
        <v>7.4999999999999997E-2</v>
      </c>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87"/>
      <c r="AU219" s="87"/>
      <c r="AV219" s="87"/>
      <c r="AW219" s="100"/>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87"/>
      <c r="EJ219" s="87"/>
      <c r="EK219" s="87"/>
      <c r="EL219" s="100"/>
      <c r="EM219" s="100"/>
      <c r="EN219" s="100"/>
      <c r="EO219" s="100"/>
      <c r="EP219" s="100"/>
      <c r="EQ219" s="100"/>
    </row>
    <row r="220" spans="1:147" outlineLevel="1">
      <c r="A220" s="31" t="str">
        <f t="shared" si="23"/>
        <v>modesg_param_sfcs_taxon_europeiadscrc</v>
      </c>
      <c r="B220" s="76" t="s">
        <v>28</v>
      </c>
      <c r="C220" s="77" t="s">
        <v>178</v>
      </c>
      <c r="D220" s="73" t="s">
        <v>40</v>
      </c>
      <c r="E220" s="75" t="s">
        <v>179</v>
      </c>
      <c r="F220" s="73" t="s">
        <v>193</v>
      </c>
      <c r="G220" s="73" t="str">
        <f>INDEX(Auxiliar!$B$16:$B$23,MATCH(Plano_V3!H220,Auxiliar!$C$16:$C$23,0),1)</f>
        <v>1. Concluído</v>
      </c>
      <c r="H220" s="73">
        <f>VLOOKUP(A220,'Aux - pivots1'!$A:$B,2,0)</f>
        <v>1</v>
      </c>
      <c r="I220" s="93">
        <f>SUMIFS(Table1[Estimação (horas)],Table1[Tabela],Plano_V3!E220,Table1[Campo],Plano_V3!F220)</f>
        <v>0.6</v>
      </c>
      <c r="J220" s="93">
        <f t="shared" si="32"/>
        <v>7.4999999999999997E-2</v>
      </c>
      <c r="K220" s="93">
        <f>SUMIFS(Table1[Horas efetivas],Table1[Tabela],Plano_V3!E220,Table1[Campo],Plano_V3!F220)</f>
        <v>0.6</v>
      </c>
      <c r="L220" s="93">
        <f t="shared" si="33"/>
        <v>7.4999999999999997E-2</v>
      </c>
      <c r="M220" s="93">
        <f t="shared" si="34"/>
        <v>1</v>
      </c>
      <c r="N220" s="98" t="s">
        <v>39</v>
      </c>
      <c r="O220" s="99">
        <f t="shared" si="22"/>
        <v>7.4999999999999997E-2</v>
      </c>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87"/>
      <c r="AU220" s="87"/>
      <c r="AV220" s="87"/>
      <c r="AW220" s="100"/>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87"/>
      <c r="EJ220" s="87"/>
      <c r="EK220" s="87"/>
      <c r="EL220" s="100"/>
      <c r="EM220" s="100"/>
      <c r="EN220" s="100"/>
      <c r="EO220" s="100"/>
      <c r="EP220" s="100"/>
      <c r="EQ220" s="100"/>
    </row>
    <row r="221" spans="1:147" outlineLevel="1">
      <c r="A221" s="31" t="str">
        <f t="shared" si="23"/>
        <v>modesg_param_sfcs_taxon_europeiaepc</v>
      </c>
      <c r="B221" s="76" t="s">
        <v>28</v>
      </c>
      <c r="C221" s="77" t="s">
        <v>178</v>
      </c>
      <c r="D221" s="73" t="s">
        <v>40</v>
      </c>
      <c r="E221" s="75" t="s">
        <v>179</v>
      </c>
      <c r="F221" s="73" t="s">
        <v>47</v>
      </c>
      <c r="G221" s="73" t="str">
        <f>INDEX(Auxiliar!$B$16:$B$23,MATCH(Plano_V3!H221,Auxiliar!$C$16:$C$23,0),1)</f>
        <v>1. Concluído</v>
      </c>
      <c r="H221" s="73">
        <f>VLOOKUP(A221,'Aux - pivots1'!$A:$B,2,0)</f>
        <v>1</v>
      </c>
      <c r="I221" s="93">
        <f>SUMIFS(Table1[Estimação (horas)],Table1[Tabela],Plano_V3!E221,Table1[Campo],Plano_V3!F221)</f>
        <v>0.6</v>
      </c>
      <c r="J221" s="93">
        <f t="shared" si="32"/>
        <v>7.4999999999999997E-2</v>
      </c>
      <c r="K221" s="93">
        <f>SUMIFS(Table1[Horas efetivas],Table1[Tabela],Plano_V3!E221,Table1[Campo],Plano_V3!F221)</f>
        <v>0.6</v>
      </c>
      <c r="L221" s="93">
        <f t="shared" si="33"/>
        <v>7.4999999999999997E-2</v>
      </c>
      <c r="M221" s="93">
        <f t="shared" si="34"/>
        <v>1</v>
      </c>
      <c r="N221" s="98" t="s">
        <v>39</v>
      </c>
      <c r="O221" s="99">
        <f t="shared" si="22"/>
        <v>7.4999999999999997E-2</v>
      </c>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87"/>
      <c r="AU221" s="87"/>
      <c r="AV221" s="87"/>
      <c r="AW221" s="100"/>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87"/>
      <c r="EJ221" s="87"/>
      <c r="EK221" s="87"/>
      <c r="EL221" s="100"/>
      <c r="EM221" s="100"/>
      <c r="EN221" s="100"/>
      <c r="EO221" s="100"/>
      <c r="EP221" s="100"/>
      <c r="EQ221" s="100"/>
    </row>
    <row r="222" spans="1:147" outlineLevel="1">
      <c r="A222" s="31" t="str">
        <f t="shared" si="23"/>
        <v>modesg_param_sfcs_taxon_europeiaflag_project_finance</v>
      </c>
      <c r="B222" s="76" t="s">
        <v>28</v>
      </c>
      <c r="C222" s="77" t="s">
        <v>178</v>
      </c>
      <c r="D222" s="73" t="s">
        <v>40</v>
      </c>
      <c r="E222" s="75" t="s">
        <v>179</v>
      </c>
      <c r="F222" s="73" t="s">
        <v>194</v>
      </c>
      <c r="G222" s="73" t="str">
        <f>INDEX(Auxiliar!$B$16:$B$23,MATCH(Plano_V3!H222,Auxiliar!$C$16:$C$23,0),1)</f>
        <v>6. Em implementação (re-especificação)</v>
      </c>
      <c r="H222" s="73">
        <f>VLOOKUP(A222,'Aux - pivots1'!$A:$B,2,0)</f>
        <v>6</v>
      </c>
      <c r="I222" s="93">
        <f>SUMIFS(Table1[Estimação (horas)],Table1[Tabela],Plano_V3!E222,Table1[Campo],Plano_V3!F222)</f>
        <v>0.6</v>
      </c>
      <c r="J222" s="93">
        <f t="shared" si="32"/>
        <v>7.4999999999999997E-2</v>
      </c>
      <c r="K222" s="93">
        <f>SUMIFS(Table1[Horas efetivas],Table1[Tabela],Plano_V3!E222,Table1[Campo],Plano_V3!F222)</f>
        <v>0.15</v>
      </c>
      <c r="L222" s="93">
        <f t="shared" si="33"/>
        <v>1.8749999999999999E-2</v>
      </c>
      <c r="M222" s="93">
        <f t="shared" si="34"/>
        <v>0.25</v>
      </c>
      <c r="N222" s="98" t="s">
        <v>39</v>
      </c>
      <c r="O222" s="99">
        <f t="shared" si="22"/>
        <v>7.4999999999999997E-2</v>
      </c>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87"/>
      <c r="AU222" s="87"/>
      <c r="AV222" s="87"/>
      <c r="AW222" s="100"/>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87"/>
      <c r="EJ222" s="87"/>
      <c r="EK222" s="87"/>
      <c r="EL222" s="100"/>
      <c r="EM222" s="100"/>
      <c r="EN222" s="100"/>
      <c r="EO222" s="100"/>
      <c r="EP222" s="100"/>
      <c r="EQ222" s="100"/>
    </row>
    <row r="223" spans="1:147" outlineLevel="1">
      <c r="A223" s="31" t="str">
        <f t="shared" si="23"/>
        <v>modesg_param_sfcs_taxon_europeiacfinalidad</v>
      </c>
      <c r="B223" s="76" t="s">
        <v>28</v>
      </c>
      <c r="C223" s="77" t="s">
        <v>178</v>
      </c>
      <c r="D223" s="73" t="s">
        <v>40</v>
      </c>
      <c r="E223" s="75" t="s">
        <v>179</v>
      </c>
      <c r="F223" s="73" t="s">
        <v>195</v>
      </c>
      <c r="G223" s="73" t="str">
        <f>INDEX(Auxiliar!$B$16:$B$23,MATCH(Plano_V3!H223,Auxiliar!$C$16:$C$23,0),1)</f>
        <v>6. Em implementação (re-especificação)</v>
      </c>
      <c r="H223" s="73">
        <f>VLOOKUP(A223,'Aux - pivots1'!$A:$B,2,0)</f>
        <v>6</v>
      </c>
      <c r="I223" s="93">
        <f>SUMIFS(Table1[Estimação (horas)],Table1[Tabela],Plano_V3!E223,Table1[Campo],Plano_V3!F223)</f>
        <v>0.6</v>
      </c>
      <c r="J223" s="93">
        <f t="shared" si="32"/>
        <v>7.4999999999999997E-2</v>
      </c>
      <c r="K223" s="93">
        <f>SUMIFS(Table1[Horas efetivas],Table1[Tabela],Plano_V3!E223,Table1[Campo],Plano_V3!F223)</f>
        <v>0.15</v>
      </c>
      <c r="L223" s="93">
        <f t="shared" si="33"/>
        <v>1.8749999999999999E-2</v>
      </c>
      <c r="M223" s="93">
        <f t="shared" si="34"/>
        <v>0.25</v>
      </c>
      <c r="N223" s="98" t="s">
        <v>39</v>
      </c>
      <c r="O223" s="99">
        <f t="shared" si="22"/>
        <v>7.4999999999999997E-2</v>
      </c>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87"/>
      <c r="AU223" s="87"/>
      <c r="AV223" s="87"/>
      <c r="AW223" s="100"/>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87"/>
      <c r="EJ223" s="87"/>
      <c r="EK223" s="87"/>
      <c r="EL223" s="100"/>
      <c r="EM223" s="100"/>
      <c r="EN223" s="100"/>
      <c r="EO223" s="100"/>
      <c r="EP223" s="100"/>
      <c r="EQ223" s="100"/>
    </row>
    <row r="224" spans="1:147" outlineLevel="1">
      <c r="A224" s="31" t="str">
        <f t="shared" si="23"/>
        <v>modesg_param_sfcs_taxon_europeiatipo_combust</v>
      </c>
      <c r="B224" s="76" t="s">
        <v>28</v>
      </c>
      <c r="C224" s="77" t="s">
        <v>178</v>
      </c>
      <c r="D224" s="73" t="s">
        <v>40</v>
      </c>
      <c r="E224" s="75" t="s">
        <v>179</v>
      </c>
      <c r="F224" s="73" t="s">
        <v>196</v>
      </c>
      <c r="G224" s="73" t="str">
        <f>INDEX(Auxiliar!$B$16:$B$23,MATCH(Plano_V3!H224,Auxiliar!$C$16:$C$23,0),1)</f>
        <v>6. Em implementação (re-especificação)</v>
      </c>
      <c r="H224" s="73">
        <f>VLOOKUP(A224,'Aux - pivots1'!$A:$B,2,0)</f>
        <v>6</v>
      </c>
      <c r="I224" s="93">
        <f>SUMIFS(Table1[Estimação (horas)],Table1[Tabela],Plano_V3!E224,Table1[Campo],Plano_V3!F224)</f>
        <v>0.6</v>
      </c>
      <c r="J224" s="93">
        <f t="shared" si="32"/>
        <v>7.4999999999999997E-2</v>
      </c>
      <c r="K224" s="93">
        <f>SUMIFS(Table1[Horas efetivas],Table1[Tabela],Plano_V3!E224,Table1[Campo],Plano_V3!F224)</f>
        <v>0.15</v>
      </c>
      <c r="L224" s="93">
        <f t="shared" si="33"/>
        <v>1.8749999999999999E-2</v>
      </c>
      <c r="M224" s="93">
        <f t="shared" si="34"/>
        <v>0.25</v>
      </c>
      <c r="N224" s="98" t="s">
        <v>39</v>
      </c>
      <c r="O224" s="99">
        <f t="shared" si="22"/>
        <v>7.4999999999999997E-2</v>
      </c>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87"/>
      <c r="AU224" s="87"/>
      <c r="AV224" s="87"/>
      <c r="AW224" s="100"/>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87"/>
      <c r="EJ224" s="87"/>
      <c r="EK224" s="87"/>
      <c r="EL224" s="100"/>
      <c r="EM224" s="100"/>
      <c r="EN224" s="100"/>
      <c r="EO224" s="100"/>
      <c r="EP224" s="100"/>
      <c r="EQ224" s="100"/>
    </row>
    <row r="225" spans="1:147" outlineLevel="1">
      <c r="A225" s="31" t="str">
        <f t="shared" si="23"/>
        <v>modesg_param_sfcs_taxon_europeiamontante_pndrc</v>
      </c>
      <c r="B225" s="76" t="s">
        <v>28</v>
      </c>
      <c r="C225" s="77" t="s">
        <v>178</v>
      </c>
      <c r="D225" s="73" t="s">
        <v>40</v>
      </c>
      <c r="E225" s="75" t="s">
        <v>179</v>
      </c>
      <c r="F225" s="73" t="s">
        <v>197</v>
      </c>
      <c r="G225" s="73" t="str">
        <f>INDEX(Auxiliar!$B$16:$B$23,MATCH(Plano_V3!H225,Auxiliar!$C$16:$C$23,0),1)</f>
        <v>6. Em implementação (re-especificação)</v>
      </c>
      <c r="H225" s="73">
        <f>VLOOKUP(A225,'Aux - pivots1'!$A:$B,2,0)</f>
        <v>6</v>
      </c>
      <c r="I225" s="93">
        <f>SUMIFS(Table1[Estimação (horas)],Table1[Tabela],Plano_V3!E225,Table1[Campo],Plano_V3!F225)</f>
        <v>0.6</v>
      </c>
      <c r="J225" s="93">
        <f t="shared" si="32"/>
        <v>7.4999999999999997E-2</v>
      </c>
      <c r="K225" s="93">
        <f>SUMIFS(Table1[Horas efetivas],Table1[Tabela],Plano_V3!E225,Table1[Campo],Plano_V3!F225)</f>
        <v>0.15</v>
      </c>
      <c r="L225" s="93">
        <f t="shared" si="33"/>
        <v>1.8749999999999999E-2</v>
      </c>
      <c r="M225" s="93">
        <f t="shared" si="34"/>
        <v>0.25</v>
      </c>
      <c r="N225" s="98" t="s">
        <v>39</v>
      </c>
      <c r="O225" s="99">
        <f t="shared" ref="O225:O291" si="35">J225-SUM(P225:EQ225)</f>
        <v>7.4999999999999997E-2</v>
      </c>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87"/>
      <c r="AU225" s="87"/>
      <c r="AV225" s="87"/>
      <c r="AW225" s="100"/>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87"/>
      <c r="EJ225" s="87"/>
      <c r="EK225" s="87"/>
      <c r="EL225" s="100"/>
      <c r="EM225" s="100"/>
      <c r="EN225" s="100"/>
      <c r="EO225" s="100"/>
      <c r="EP225" s="100"/>
      <c r="EQ225" s="100"/>
    </row>
    <row r="226" spans="1:147" outlineLevel="1">
      <c r="A226" s="31" t="str">
        <f t="shared" si="23"/>
        <v>modesg_param_sfcs_taxon_europeianome_ctgr_sfcs</v>
      </c>
      <c r="B226" s="76" t="s">
        <v>28</v>
      </c>
      <c r="C226" s="77" t="s">
        <v>178</v>
      </c>
      <c r="D226" s="73" t="s">
        <v>40</v>
      </c>
      <c r="E226" s="75" t="s">
        <v>179</v>
      </c>
      <c r="F226" s="73" t="s">
        <v>198</v>
      </c>
      <c r="G226" s="73" t="str">
        <f>INDEX(Auxiliar!$B$16:$B$23,MATCH(Plano_V3!H226,Auxiliar!$C$16:$C$23,0),1)</f>
        <v>4. Validação EF</v>
      </c>
      <c r="H226" s="73">
        <f>VLOOKUP(A226,'Aux - pivots1'!$A:$B,2,0)</f>
        <v>4</v>
      </c>
      <c r="I226" s="93">
        <f>SUMIFS(Table1[Estimação (horas)],Table1[Tabela],Plano_V3!E226,Table1[Campo],Plano_V3!F226)</f>
        <v>0.6</v>
      </c>
      <c r="J226" s="93">
        <f t="shared" si="32"/>
        <v>7.4999999999999997E-2</v>
      </c>
      <c r="K226" s="93">
        <f>SUMIFS(Table1[Horas efetivas],Table1[Tabela],Plano_V3!E226,Table1[Campo],Plano_V3!F226)</f>
        <v>0.15</v>
      </c>
      <c r="L226" s="93">
        <f t="shared" si="33"/>
        <v>1.8749999999999999E-2</v>
      </c>
      <c r="M226" s="93">
        <f t="shared" si="34"/>
        <v>0.25</v>
      </c>
      <c r="N226" s="98" t="s">
        <v>39</v>
      </c>
      <c r="O226" s="99">
        <f t="shared" si="35"/>
        <v>7.4999999999999997E-2</v>
      </c>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87"/>
      <c r="AU226" s="87"/>
      <c r="AV226" s="87"/>
      <c r="AW226" s="100"/>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87"/>
      <c r="EJ226" s="87"/>
      <c r="EK226" s="87"/>
      <c r="EL226" s="100"/>
      <c r="EM226" s="100"/>
      <c r="EN226" s="100"/>
      <c r="EO226" s="100"/>
      <c r="EP226" s="100"/>
      <c r="EQ226" s="100"/>
    </row>
    <row r="227" spans="1:147" outlineLevel="1">
      <c r="A227" s="31" t="str">
        <f t="shared" ref="A227:A293" si="36">E227&amp;F227</f>
        <v>modesg_param_sfcs_taxon_europeianome_general_specific_purpose</v>
      </c>
      <c r="B227" s="76" t="s">
        <v>28</v>
      </c>
      <c r="C227" s="77" t="s">
        <v>178</v>
      </c>
      <c r="D227" s="73" t="s">
        <v>40</v>
      </c>
      <c r="E227" s="75" t="s">
        <v>179</v>
      </c>
      <c r="F227" s="73" t="s">
        <v>199</v>
      </c>
      <c r="G227" s="73" t="str">
        <f>INDEX(Auxiliar!$B$16:$B$23,MATCH(Plano_V3!H227,Auxiliar!$C$16:$C$23,0),1)</f>
        <v>6. Em implementação (re-especificação)</v>
      </c>
      <c r="H227" s="73">
        <f>VLOOKUP(A227,'Aux - pivots1'!$A:$B,2,0)</f>
        <v>6</v>
      </c>
      <c r="I227" s="93">
        <f>SUMIFS(Table1[Estimação (horas)],Table1[Tabela],Plano_V3!E227,Table1[Campo],Plano_V3!F227)</f>
        <v>0.6</v>
      </c>
      <c r="J227" s="93">
        <f t="shared" si="32"/>
        <v>7.4999999999999997E-2</v>
      </c>
      <c r="K227" s="93">
        <f>SUMIFS(Table1[Horas efetivas],Table1[Tabela],Plano_V3!E227,Table1[Campo],Plano_V3!F227)</f>
        <v>0.15</v>
      </c>
      <c r="L227" s="93">
        <f t="shared" si="33"/>
        <v>1.8749999999999999E-2</v>
      </c>
      <c r="M227" s="93">
        <f t="shared" si="34"/>
        <v>0.25</v>
      </c>
      <c r="N227" s="98" t="s">
        <v>39</v>
      </c>
      <c r="O227" s="99">
        <f t="shared" si="35"/>
        <v>7.4999999999999997E-2</v>
      </c>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87"/>
      <c r="AU227" s="87"/>
      <c r="AV227" s="87"/>
      <c r="AW227" s="100"/>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87"/>
      <c r="EJ227" s="87"/>
      <c r="EK227" s="87"/>
      <c r="EL227" s="100"/>
      <c r="EM227" s="100"/>
      <c r="EN227" s="100"/>
      <c r="EO227" s="100"/>
      <c r="EP227" s="100"/>
      <c r="EQ227" s="100"/>
    </row>
    <row r="228" spans="1:147" outlineLevel="1">
      <c r="A228" s="31" t="str">
        <f t="shared" si="36"/>
        <v>modesg_param_sfcs_taxon_europeianome_purpose_esg</v>
      </c>
      <c r="B228" s="76" t="s">
        <v>28</v>
      </c>
      <c r="C228" s="77" t="s">
        <v>178</v>
      </c>
      <c r="D228" s="73" t="s">
        <v>40</v>
      </c>
      <c r="E228" s="75" t="s">
        <v>179</v>
      </c>
      <c r="F228" s="73" t="s">
        <v>200</v>
      </c>
      <c r="G228" s="73" t="str">
        <f>INDEX(Auxiliar!$B$16:$B$23,MATCH(Plano_V3!H228,Auxiliar!$C$16:$C$23,0),1)</f>
        <v>6. Em implementação (re-especificação)</v>
      </c>
      <c r="H228" s="73">
        <f>VLOOKUP(A228,'Aux - pivots1'!$A:$B,2,0)</f>
        <v>6</v>
      </c>
      <c r="I228" s="93">
        <f>SUMIFS(Table1[Estimação (horas)],Table1[Tabela],Plano_V3!E228,Table1[Campo],Plano_V3!F228)</f>
        <v>0.6</v>
      </c>
      <c r="J228" s="93">
        <f t="shared" si="32"/>
        <v>7.4999999999999997E-2</v>
      </c>
      <c r="K228" s="93">
        <f>SUMIFS(Table1[Horas efetivas],Table1[Tabela],Plano_V3!E228,Table1[Campo],Plano_V3!F228)</f>
        <v>0.15</v>
      </c>
      <c r="L228" s="93">
        <f t="shared" si="33"/>
        <v>1.8749999999999999E-2</v>
      </c>
      <c r="M228" s="93">
        <f t="shared" si="34"/>
        <v>0.25</v>
      </c>
      <c r="N228" s="98" t="s">
        <v>39</v>
      </c>
      <c r="O228" s="99">
        <f t="shared" si="35"/>
        <v>7.4999999999999997E-2</v>
      </c>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100"/>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100"/>
      <c r="EM228" s="100"/>
      <c r="EN228" s="100"/>
      <c r="EO228" s="100"/>
      <c r="EP228" s="100"/>
      <c r="EQ228" s="100"/>
    </row>
    <row r="229" spans="1:147" outlineLevel="1">
      <c r="A229" s="31" t="str">
        <f t="shared" si="36"/>
        <v>modesg_param_sfcs_taxon_europeianome_specific_eligible</v>
      </c>
      <c r="B229" s="76" t="s">
        <v>28</v>
      </c>
      <c r="C229" s="77" t="s">
        <v>178</v>
      </c>
      <c r="D229" s="73" t="s">
        <v>40</v>
      </c>
      <c r="E229" s="75" t="s">
        <v>179</v>
      </c>
      <c r="F229" s="73" t="s">
        <v>201</v>
      </c>
      <c r="G229" s="73" t="str">
        <f>INDEX(Auxiliar!$B$16:$B$23,MATCH(Plano_V3!H229,Auxiliar!$C$16:$C$23,0),1)</f>
        <v>6. Em implementação (re-especificação)</v>
      </c>
      <c r="H229" s="73">
        <f>VLOOKUP(A229,'Aux - pivots1'!$A:$B,2,0)</f>
        <v>6</v>
      </c>
      <c r="I229" s="93">
        <f>SUMIFS(Table1[Estimação (horas)],Table1[Tabela],Plano_V3!E229,Table1[Campo],Plano_V3!F229)</f>
        <v>0.6</v>
      </c>
      <c r="J229" s="93">
        <f t="shared" si="32"/>
        <v>7.4999999999999997E-2</v>
      </c>
      <c r="K229" s="93">
        <f>SUMIFS(Table1[Horas efetivas],Table1[Tabela],Plano_V3!E229,Table1[Campo],Plano_V3!F229)</f>
        <v>0.15</v>
      </c>
      <c r="L229" s="93">
        <f t="shared" si="33"/>
        <v>1.8749999999999999E-2</v>
      </c>
      <c r="M229" s="93">
        <f t="shared" si="34"/>
        <v>0.25</v>
      </c>
      <c r="N229" s="98" t="s">
        <v>39</v>
      </c>
      <c r="O229" s="99">
        <f t="shared" si="35"/>
        <v>7.4999999999999997E-2</v>
      </c>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87"/>
      <c r="AU229" s="87"/>
      <c r="AV229" s="87"/>
      <c r="AW229" s="100"/>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87"/>
      <c r="EJ229" s="87"/>
      <c r="EK229" s="87"/>
      <c r="EL229" s="100"/>
      <c r="EM229" s="100"/>
      <c r="EN229" s="100"/>
      <c r="EO229" s="100"/>
      <c r="EP229" s="100"/>
      <c r="EQ229" s="100"/>
    </row>
    <row r="230" spans="1:147" outlineLevel="1">
      <c r="A230" s="31" t="str">
        <f t="shared" si="36"/>
        <v>modesg_param_sfcs_taxon_europeianome_specific_sustainable</v>
      </c>
      <c r="B230" s="76" t="s">
        <v>28</v>
      </c>
      <c r="C230" s="77" t="s">
        <v>178</v>
      </c>
      <c r="D230" s="73" t="s">
        <v>40</v>
      </c>
      <c r="E230" s="75" t="s">
        <v>179</v>
      </c>
      <c r="F230" s="73" t="s">
        <v>202</v>
      </c>
      <c r="G230" s="73" t="str">
        <f>INDEX(Auxiliar!$B$16:$B$23,MATCH(Plano_V3!H230,Auxiliar!$C$16:$C$23,0),1)</f>
        <v>6. Em implementação (re-especificação)</v>
      </c>
      <c r="H230" s="73">
        <f>VLOOKUP(A230,'Aux - pivots1'!$A:$B,2,0)</f>
        <v>6</v>
      </c>
      <c r="I230" s="93">
        <f>SUMIFS(Table1[Estimação (horas)],Table1[Tabela],Plano_V3!E230,Table1[Campo],Plano_V3!F230)</f>
        <v>0.6</v>
      </c>
      <c r="J230" s="93">
        <f t="shared" si="32"/>
        <v>7.4999999999999997E-2</v>
      </c>
      <c r="K230" s="93">
        <f>SUMIFS(Table1[Horas efetivas],Table1[Tabela],Plano_V3!E230,Table1[Campo],Plano_V3!F230)</f>
        <v>0.15</v>
      </c>
      <c r="L230" s="93">
        <f t="shared" si="33"/>
        <v>1.8749999999999999E-2</v>
      </c>
      <c r="M230" s="93">
        <f t="shared" si="34"/>
        <v>0.25</v>
      </c>
      <c r="N230" s="98" t="s">
        <v>39</v>
      </c>
      <c r="O230" s="99">
        <f t="shared" si="35"/>
        <v>7.4999999999999997E-2</v>
      </c>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87"/>
      <c r="AU230" s="87"/>
      <c r="AV230" s="87"/>
      <c r="AW230" s="100"/>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87"/>
      <c r="EJ230" s="87"/>
      <c r="EK230" s="87"/>
      <c r="EL230" s="100"/>
      <c r="EM230" s="100"/>
      <c r="EN230" s="100"/>
      <c r="EO230" s="100"/>
      <c r="EP230" s="100"/>
      <c r="EQ230" s="100"/>
    </row>
    <row r="231" spans="1:147" outlineLevel="1">
      <c r="A231" s="31" t="str">
        <f t="shared" si="36"/>
        <v>modesg_param_sfcs_taxon_europeiaref_date</v>
      </c>
      <c r="B231" s="76" t="s">
        <v>28</v>
      </c>
      <c r="C231" s="77" t="s">
        <v>178</v>
      </c>
      <c r="D231" s="73" t="s">
        <v>40</v>
      </c>
      <c r="E231" s="75" t="s">
        <v>179</v>
      </c>
      <c r="F231" s="73" t="s">
        <v>73</v>
      </c>
      <c r="G231" s="73" t="str">
        <f>INDEX(Auxiliar!$B$16:$B$23,MATCH(Plano_V3!H231,Auxiliar!$C$16:$C$23,0),1)</f>
        <v>1. Concluído</v>
      </c>
      <c r="H231" s="73">
        <f>VLOOKUP(A231,'Aux - pivots1'!$A:$B,2,0)</f>
        <v>1</v>
      </c>
      <c r="I231" s="93">
        <f>SUMIFS(Table1[Estimação (horas)],Table1[Tabela],Plano_V3!E231,Table1[Campo],Plano_V3!F231)</f>
        <v>0.6</v>
      </c>
      <c r="J231" s="93">
        <f t="shared" si="32"/>
        <v>7.4999999999999997E-2</v>
      </c>
      <c r="K231" s="93">
        <f>SUMIFS(Table1[Horas efetivas],Table1[Tabela],Plano_V3!E231,Table1[Campo],Plano_V3!F231)</f>
        <v>0.6</v>
      </c>
      <c r="L231" s="93">
        <f t="shared" si="33"/>
        <v>7.4999999999999997E-2</v>
      </c>
      <c r="M231" s="93">
        <f t="shared" si="34"/>
        <v>1</v>
      </c>
      <c r="N231" s="98" t="s">
        <v>39</v>
      </c>
      <c r="O231" s="99">
        <f t="shared" si="35"/>
        <v>7.4999999999999997E-2</v>
      </c>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87"/>
      <c r="AU231" s="87"/>
      <c r="AV231" s="87"/>
      <c r="AW231" s="100"/>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87"/>
      <c r="EJ231" s="87"/>
      <c r="EK231" s="87"/>
      <c r="EL231" s="100"/>
      <c r="EM231" s="100"/>
      <c r="EN231" s="100"/>
      <c r="EO231" s="100"/>
      <c r="EP231" s="100"/>
      <c r="EQ231" s="100"/>
    </row>
    <row r="232" spans="1:147" outlineLevel="1">
      <c r="A232" s="31" t="str">
        <f t="shared" si="36"/>
        <v>modesg_param_sfcs_taxon_europeiazcliente</v>
      </c>
      <c r="B232" s="76" t="s">
        <v>28</v>
      </c>
      <c r="C232" s="77" t="s">
        <v>178</v>
      </c>
      <c r="D232" s="73" t="s">
        <v>40</v>
      </c>
      <c r="E232" s="75" t="s">
        <v>179</v>
      </c>
      <c r="F232" s="73" t="s">
        <v>203</v>
      </c>
      <c r="G232" s="73" t="str">
        <f>INDEX(Auxiliar!$B$16:$B$23,MATCH(Plano_V3!H232,Auxiliar!$C$16:$C$23,0),1)</f>
        <v>6. Em implementação (re-especificação)</v>
      </c>
      <c r="H232" s="73">
        <f>VLOOKUP(A232,'Aux - pivots1'!$A:$B,2,0)</f>
        <v>6</v>
      </c>
      <c r="I232" s="93">
        <f>SUMIFS(Table1[Estimação (horas)],Table1[Tabela],Plano_V3!E232,Table1[Campo],Plano_V3!F232)</f>
        <v>0.6</v>
      </c>
      <c r="J232" s="93">
        <f t="shared" si="32"/>
        <v>7.4999999999999997E-2</v>
      </c>
      <c r="K232" s="93">
        <f>SUMIFS(Table1[Horas efetivas],Table1[Tabela],Plano_V3!E232,Table1[Campo],Plano_V3!F232)</f>
        <v>0.15</v>
      </c>
      <c r="L232" s="93">
        <f t="shared" si="33"/>
        <v>1.8749999999999999E-2</v>
      </c>
      <c r="M232" s="93">
        <f t="shared" si="34"/>
        <v>0.25</v>
      </c>
      <c r="N232" s="98" t="s">
        <v>39</v>
      </c>
      <c r="O232" s="99">
        <f t="shared" si="35"/>
        <v>7.4999999999999997E-2</v>
      </c>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87"/>
      <c r="AU232" s="87"/>
      <c r="AV232" s="87"/>
      <c r="AW232" s="100"/>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87"/>
      <c r="EJ232" s="87"/>
      <c r="EK232" s="87"/>
      <c r="EL232" s="100"/>
      <c r="EM232" s="100"/>
      <c r="EN232" s="100"/>
      <c r="EO232" s="100"/>
      <c r="EP232" s="100"/>
      <c r="EQ232" s="100"/>
    </row>
    <row r="233" spans="1:147" outlineLevel="1">
      <c r="A233" s="31" t="str">
        <f t="shared" si="36"/>
        <v>modesg_param_sfcs_taxon_europeiazdeposit</v>
      </c>
      <c r="B233" s="76" t="s">
        <v>28</v>
      </c>
      <c r="C233" s="77" t="s">
        <v>178</v>
      </c>
      <c r="D233" s="73" t="s">
        <v>40</v>
      </c>
      <c r="E233" s="75" t="s">
        <v>179</v>
      </c>
      <c r="F233" s="73" t="s">
        <v>204</v>
      </c>
      <c r="G233" s="73" t="str">
        <f>INDEX(Auxiliar!$B$16:$B$23,MATCH(Plano_V3!H233,Auxiliar!$C$16:$C$23,0),1)</f>
        <v>6. Em implementação (re-especificação)</v>
      </c>
      <c r="H233" s="73">
        <f>VLOOKUP(A233,'Aux - pivots1'!$A:$B,2,0)</f>
        <v>6</v>
      </c>
      <c r="I233" s="93">
        <f>SUMIFS(Table1[Estimação (horas)],Table1[Tabela],Plano_V3!E233,Table1[Campo],Plano_V3!F233)</f>
        <v>0.6</v>
      </c>
      <c r="J233" s="93">
        <f t="shared" si="32"/>
        <v>7.4999999999999997E-2</v>
      </c>
      <c r="K233" s="93">
        <f>SUMIFS(Table1[Horas efetivas],Table1[Tabela],Plano_V3!E233,Table1[Campo],Plano_V3!F233)</f>
        <v>0.15</v>
      </c>
      <c r="L233" s="93">
        <f t="shared" si="33"/>
        <v>1.8749999999999999E-2</v>
      </c>
      <c r="M233" s="93">
        <f t="shared" si="34"/>
        <v>0.25</v>
      </c>
      <c r="N233" s="98" t="s">
        <v>39</v>
      </c>
      <c r="O233" s="99">
        <f t="shared" si="35"/>
        <v>7.4999999999999997E-2</v>
      </c>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87"/>
      <c r="AU233" s="87"/>
      <c r="AV233" s="87"/>
      <c r="AW233" s="100"/>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87"/>
      <c r="EJ233" s="87"/>
      <c r="EK233" s="87"/>
      <c r="EL233" s="100"/>
      <c r="EM233" s="100"/>
      <c r="EN233" s="100"/>
      <c r="EO233" s="100"/>
      <c r="EP233" s="100"/>
      <c r="EQ233" s="100"/>
    </row>
    <row r="234" spans="1:147" outlineLevel="1">
      <c r="A234" s="31" t="str">
        <f t="shared" ref="A234:A235" si="37">E234&amp;F234</f>
        <v>modesg_param_sfcs_taxon_europeiaordem</v>
      </c>
      <c r="B234" s="76" t="s">
        <v>28</v>
      </c>
      <c r="C234" s="77" t="s">
        <v>178</v>
      </c>
      <c r="D234" s="73" t="s">
        <v>40</v>
      </c>
      <c r="E234" s="75" t="s">
        <v>179</v>
      </c>
      <c r="F234" s="73" t="s">
        <v>322</v>
      </c>
      <c r="G234" s="73" t="str">
        <f>INDEX(Auxiliar!$B$16:$B$23,MATCH(Plano_V3!H234,Auxiliar!$C$16:$C$23,0),1)</f>
        <v>0. Cancelado</v>
      </c>
      <c r="H234" s="73">
        <f>VLOOKUP(A234,'Aux - pivots1'!$A:$B,2,0)</f>
        <v>0</v>
      </c>
      <c r="I234" s="93">
        <f>SUMIFS(Table1[Estimação (horas)],Table1[Tabela],Plano_V3!E234,Table1[Campo],Plano_V3!F234)</f>
        <v>0.6</v>
      </c>
      <c r="J234" s="93">
        <f t="shared" ref="J234:J235" si="38">I234/8</f>
        <v>7.4999999999999997E-2</v>
      </c>
      <c r="K234" s="93">
        <f>SUMIFS(Table1[Horas efetivas],Table1[Tabela],Plano_V3!E234,Table1[Campo],Plano_V3!F234)</f>
        <v>0</v>
      </c>
      <c r="L234" s="93">
        <f t="shared" ref="L234:L235" si="39">K234/8</f>
        <v>0</v>
      </c>
      <c r="M234" s="93">
        <f t="shared" ref="M234:M235" si="40">L234/J234</f>
        <v>0</v>
      </c>
      <c r="N234" s="98" t="s">
        <v>39</v>
      </c>
      <c r="O234" s="99"/>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87"/>
      <c r="AU234" s="87"/>
      <c r="AV234" s="87"/>
      <c r="AW234" s="100"/>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87"/>
      <c r="EJ234" s="87"/>
      <c r="EK234" s="87"/>
      <c r="EL234" s="100"/>
      <c r="EM234" s="100"/>
      <c r="EN234" s="100"/>
      <c r="EO234" s="100"/>
      <c r="EP234" s="100"/>
      <c r="EQ234" s="100"/>
    </row>
    <row r="235" spans="1:147" outlineLevel="1">
      <c r="A235" s="31" t="str">
        <f t="shared" si="37"/>
        <v>modesg_param_sfcs_taxon_europeianivel_mrc</v>
      </c>
      <c r="B235" s="76" t="s">
        <v>28</v>
      </c>
      <c r="C235" s="77" t="s">
        <v>178</v>
      </c>
      <c r="D235" s="73" t="s">
        <v>40</v>
      </c>
      <c r="E235" s="75" t="s">
        <v>179</v>
      </c>
      <c r="F235" s="73" t="s">
        <v>1860</v>
      </c>
      <c r="G235" s="73" t="str">
        <f>INDEX(Auxiliar!$B$16:$B$23,MATCH(Plano_V3!H235,Auxiliar!$C$16:$C$23,0),1)</f>
        <v>0. Cancelado</v>
      </c>
      <c r="H235" s="73">
        <f>VLOOKUP(A235,'Aux - pivots1'!$A:$B,2,0)</f>
        <v>0</v>
      </c>
      <c r="I235" s="93">
        <f>SUMIFS(Table1[Estimação (horas)],Table1[Tabela],Plano_V3!E235,Table1[Campo],Plano_V3!F235)</f>
        <v>0.6</v>
      </c>
      <c r="J235" s="93">
        <f t="shared" si="38"/>
        <v>7.4999999999999997E-2</v>
      </c>
      <c r="K235" s="93">
        <f>SUMIFS(Table1[Horas efetivas],Table1[Tabela],Plano_V3!E235,Table1[Campo],Plano_V3!F235)</f>
        <v>0</v>
      </c>
      <c r="L235" s="93">
        <f t="shared" si="39"/>
        <v>0</v>
      </c>
      <c r="M235" s="93">
        <f t="shared" si="40"/>
        <v>0</v>
      </c>
      <c r="N235" s="98" t="s">
        <v>39</v>
      </c>
      <c r="O235" s="99"/>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87"/>
      <c r="AU235" s="87"/>
      <c r="AV235" s="87"/>
      <c r="AW235" s="100"/>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87"/>
      <c r="EJ235" s="87"/>
      <c r="EK235" s="87"/>
      <c r="EL235" s="100"/>
      <c r="EM235" s="100"/>
      <c r="EN235" s="100"/>
      <c r="EO235" s="100"/>
      <c r="EP235" s="100"/>
      <c r="EQ235" s="100"/>
    </row>
    <row r="236" spans="1:147" outlineLevel="1">
      <c r="A236" s="31" t="str">
        <f t="shared" si="36"/>
        <v>modesg_inp_emss_vclsn.a.</v>
      </c>
      <c r="B236" s="76" t="s">
        <v>28</v>
      </c>
      <c r="C236" s="77" t="s">
        <v>178</v>
      </c>
      <c r="D236" s="73" t="s">
        <v>36</v>
      </c>
      <c r="E236" s="75" t="s">
        <v>205</v>
      </c>
      <c r="F236" s="73" t="s">
        <v>38</v>
      </c>
      <c r="G236" s="73" t="str">
        <f>INDEX(Auxiliar!$B$16:$B$23,MATCH(Plano_V3!H236,Auxiliar!$C$16:$C$23,0),1)</f>
        <v>1. Concluído</v>
      </c>
      <c r="H236" s="73">
        <f>VLOOKUP(A236,'Aux - pivots1'!$A:$B,2,0)</f>
        <v>1</v>
      </c>
      <c r="I236" s="93">
        <f>SUMIFS(Table1[Estimação (horas)],Table1[Tabela],Plano_V3!E236,Table1[Campo],Plano_V3!F236)</f>
        <v>8.5</v>
      </c>
      <c r="J236" s="93">
        <f t="shared" si="32"/>
        <v>1.0625</v>
      </c>
      <c r="K236" s="93">
        <f>SUMIFS(Table1[Horas efetivas],Table1[Tabela],Plano_V3!E236,Table1[Campo],Plano_V3!F236)</f>
        <v>8.5</v>
      </c>
      <c r="L236" s="93">
        <f t="shared" si="33"/>
        <v>1.0625</v>
      </c>
      <c r="M236" s="93">
        <f t="shared" si="34"/>
        <v>1</v>
      </c>
      <c r="N236" s="98" t="s">
        <v>39</v>
      </c>
      <c r="O236" s="99">
        <f t="shared" si="35"/>
        <v>1.0625</v>
      </c>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87"/>
      <c r="AU236" s="87"/>
      <c r="AV236" s="87"/>
      <c r="AW236" s="100"/>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87"/>
      <c r="EJ236" s="87"/>
      <c r="EK236" s="87"/>
      <c r="EL236" s="100"/>
      <c r="EM236" s="100"/>
      <c r="EN236" s="100"/>
      <c r="EO236" s="100"/>
      <c r="EP236" s="100"/>
      <c r="EQ236" s="100"/>
    </row>
    <row r="237" spans="1:147" outlineLevel="1">
      <c r="A237" s="31" t="str">
        <f t="shared" si="36"/>
        <v>modesg_inp_km_medios_emss_vclsn.a.</v>
      </c>
      <c r="B237" s="76" t="s">
        <v>28</v>
      </c>
      <c r="C237" s="77" t="s">
        <v>178</v>
      </c>
      <c r="D237" s="73" t="s">
        <v>36</v>
      </c>
      <c r="E237" s="75" t="s">
        <v>206</v>
      </c>
      <c r="F237" s="73" t="s">
        <v>38</v>
      </c>
      <c r="G237" s="73" t="str">
        <f>INDEX(Auxiliar!$B$16:$B$23,MATCH(Plano_V3!H237,Auxiliar!$C$16:$C$23,0),1)</f>
        <v>1. Concluído</v>
      </c>
      <c r="H237" s="73">
        <f>VLOOKUP(A237,'Aux - pivots1'!$A:$B,2,0)</f>
        <v>1</v>
      </c>
      <c r="I237" s="93">
        <f>SUMIFS(Table1[Estimação (horas)],Table1[Tabela],Plano_V3!E237,Table1[Campo],Plano_V3!F237)</f>
        <v>8.5</v>
      </c>
      <c r="J237" s="93">
        <f t="shared" si="32"/>
        <v>1.0625</v>
      </c>
      <c r="K237" s="93">
        <f>SUMIFS(Table1[Horas efetivas],Table1[Tabela],Plano_V3!E237,Table1[Campo],Plano_V3!F237)</f>
        <v>8.5</v>
      </c>
      <c r="L237" s="93">
        <f t="shared" si="33"/>
        <v>1.0625</v>
      </c>
      <c r="M237" s="93">
        <f t="shared" si="34"/>
        <v>1</v>
      </c>
      <c r="N237" s="98" t="s">
        <v>39</v>
      </c>
      <c r="O237" s="99">
        <f t="shared" si="35"/>
        <v>1.0625</v>
      </c>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87"/>
      <c r="AU237" s="87"/>
      <c r="AV237" s="87"/>
      <c r="AW237" s="100"/>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87"/>
      <c r="EJ237" s="87"/>
      <c r="EK237" s="87"/>
      <c r="EL237" s="100"/>
      <c r="EM237" s="100"/>
      <c r="EN237" s="100"/>
      <c r="EO237" s="100"/>
      <c r="EP237" s="100"/>
      <c r="EQ237" s="100"/>
    </row>
    <row r="238" spans="1:147" outlineLevel="1">
      <c r="A238" s="31" t="str">
        <f t="shared" si="36"/>
        <v>modesg_inp_empr_excl_parisn.a.</v>
      </c>
      <c r="B238" s="76" t="s">
        <v>28</v>
      </c>
      <c r="C238" s="77" t="s">
        <v>178</v>
      </c>
      <c r="D238" s="73" t="s">
        <v>36</v>
      </c>
      <c r="E238" s="75" t="s">
        <v>207</v>
      </c>
      <c r="F238" s="73" t="s">
        <v>38</v>
      </c>
      <c r="G238" s="73" t="str">
        <f>INDEX(Auxiliar!$B$16:$B$23,MATCH(Plano_V3!H238,Auxiliar!$C$16:$C$23,0),1)</f>
        <v>1. Concluído</v>
      </c>
      <c r="H238" s="73">
        <f>VLOOKUP(A238,'Aux - pivots1'!$A:$B,2,0)</f>
        <v>1</v>
      </c>
      <c r="I238" s="93">
        <f>SUMIFS(Table1[Estimação (horas)],Table1[Tabela],Plano_V3!E238,Table1[Campo],Plano_V3!F238)</f>
        <v>8.5</v>
      </c>
      <c r="J238" s="93">
        <f t="shared" si="32"/>
        <v>1.0625</v>
      </c>
      <c r="K238" s="93">
        <f>SUMIFS(Table1[Horas efetivas],Table1[Tabela],Plano_V3!E238,Table1[Campo],Plano_V3!F238)</f>
        <v>8.5</v>
      </c>
      <c r="L238" s="93">
        <f t="shared" si="33"/>
        <v>1.0625</v>
      </c>
      <c r="M238" s="93">
        <f t="shared" si="34"/>
        <v>1</v>
      </c>
      <c r="N238" s="98" t="s">
        <v>39</v>
      </c>
      <c r="O238" s="99">
        <f t="shared" si="35"/>
        <v>1.0625</v>
      </c>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87"/>
      <c r="AU238" s="87"/>
      <c r="AV238" s="87"/>
      <c r="AW238" s="100"/>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87"/>
      <c r="EJ238" s="87"/>
      <c r="EK238" s="87"/>
      <c r="EL238" s="100"/>
      <c r="EM238" s="100"/>
      <c r="EN238" s="100"/>
      <c r="EO238" s="100"/>
      <c r="EP238" s="100"/>
      <c r="EQ238" s="100"/>
    </row>
    <row r="239" spans="1:147" outlineLevel="1">
      <c r="A239" s="31" t="str">
        <f t="shared" si="36"/>
        <v>modesg_inp_nfrd_alinhamento_taxn.a.</v>
      </c>
      <c r="B239" s="76" t="s">
        <v>28</v>
      </c>
      <c r="C239" s="77" t="s">
        <v>178</v>
      </c>
      <c r="D239" s="73" t="s">
        <v>36</v>
      </c>
      <c r="E239" s="75" t="s">
        <v>208</v>
      </c>
      <c r="F239" s="73" t="s">
        <v>38</v>
      </c>
      <c r="G239" s="73" t="str">
        <f>INDEX(Auxiliar!$B$16:$B$23,MATCH(Plano_V3!H239,Auxiliar!$C$16:$C$23,0),1)</f>
        <v>1. Concluído</v>
      </c>
      <c r="H239" s="73">
        <f>VLOOKUP(A239,'Aux - pivots1'!$A:$B,2,0)</f>
        <v>1</v>
      </c>
      <c r="I239" s="93">
        <f>SUMIFS(Table1[Estimação (horas)],Table1[Tabela],Plano_V3!E239,Table1[Campo],Plano_V3!F239)</f>
        <v>8.5</v>
      </c>
      <c r="J239" s="93">
        <f t="shared" si="32"/>
        <v>1.0625</v>
      </c>
      <c r="K239" s="93">
        <f>SUMIFS(Table1[Horas efetivas],Table1[Tabela],Plano_V3!E239,Table1[Campo],Plano_V3!F239)</f>
        <v>8.5</v>
      </c>
      <c r="L239" s="93">
        <f t="shared" si="33"/>
        <v>1.0625</v>
      </c>
      <c r="M239" s="93">
        <f t="shared" si="34"/>
        <v>1</v>
      </c>
      <c r="N239" s="98" t="s">
        <v>39</v>
      </c>
      <c r="O239" s="99">
        <f t="shared" si="35"/>
        <v>1.0625</v>
      </c>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87"/>
      <c r="AU239" s="87"/>
      <c r="AV239" s="87"/>
      <c r="AW239" s="100"/>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87"/>
      <c r="EJ239" s="87"/>
      <c r="EK239" s="87"/>
      <c r="EL239" s="100"/>
      <c r="EM239" s="100"/>
      <c r="EN239" s="100"/>
      <c r="EO239" s="100"/>
      <c r="EP239" s="100"/>
      <c r="EQ239" s="100"/>
    </row>
    <row r="240" spans="1:147" outlineLevel="1">
      <c r="A240" s="31" t="str">
        <f t="shared" si="36"/>
        <v>modesg_inp_risco_fisicon.a.</v>
      </c>
      <c r="B240" s="76" t="s">
        <v>28</v>
      </c>
      <c r="C240" s="77" t="s">
        <v>178</v>
      </c>
      <c r="D240" s="73" t="s">
        <v>36</v>
      </c>
      <c r="E240" s="75" t="s">
        <v>209</v>
      </c>
      <c r="F240" s="73" t="s">
        <v>38</v>
      </c>
      <c r="G240" s="73" t="str">
        <f>INDEX(Auxiliar!$B$16:$B$23,MATCH(Plano_V3!H240,Auxiliar!$C$16:$C$23,0),1)</f>
        <v>1. Concluído</v>
      </c>
      <c r="H240" s="73">
        <f>VLOOKUP(A240,'Aux - pivots1'!$A:$B,2,0)</f>
        <v>1</v>
      </c>
      <c r="I240" s="93">
        <f>SUMIFS(Table1[Estimação (horas)],Table1[Tabela],Plano_V3!E240,Table1[Campo],Plano_V3!F240)</f>
        <v>8.5</v>
      </c>
      <c r="J240" s="93">
        <f t="shared" si="32"/>
        <v>1.0625</v>
      </c>
      <c r="K240" s="93">
        <f>SUMIFS(Table1[Horas efetivas],Table1[Tabela],Plano_V3!E240,Table1[Campo],Plano_V3!F240)</f>
        <v>8.5</v>
      </c>
      <c r="L240" s="93">
        <f t="shared" si="33"/>
        <v>1.0625</v>
      </c>
      <c r="M240" s="93">
        <f t="shared" si="34"/>
        <v>1</v>
      </c>
      <c r="N240" s="98" t="s">
        <v>39</v>
      </c>
      <c r="O240" s="99">
        <f t="shared" si="35"/>
        <v>1.0625</v>
      </c>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87"/>
      <c r="AU240" s="87"/>
      <c r="AV240" s="87"/>
      <c r="AW240" s="100"/>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87"/>
      <c r="EJ240" s="87"/>
      <c r="EK240" s="87"/>
      <c r="EL240" s="100"/>
      <c r="EM240" s="100"/>
      <c r="EN240" s="100"/>
      <c r="EO240" s="100"/>
      <c r="EP240" s="100"/>
      <c r="EQ240" s="100"/>
    </row>
    <row r="241" spans="1:147" outlineLevel="1">
      <c r="A241" s="31" t="str">
        <f t="shared" si="36"/>
        <v>modesg_inp_emss_scibn.a.</v>
      </c>
      <c r="B241" s="76" t="s">
        <v>28</v>
      </c>
      <c r="C241" s="77" t="s">
        <v>178</v>
      </c>
      <c r="D241" s="73" t="s">
        <v>36</v>
      </c>
      <c r="E241" s="75" t="s">
        <v>210</v>
      </c>
      <c r="F241" s="73" t="s">
        <v>38</v>
      </c>
      <c r="G241" s="73" t="str">
        <f>INDEX(Auxiliar!$B$16:$B$23,MATCH(Plano_V3!H241,Auxiliar!$C$16:$C$23,0),1)</f>
        <v>1. Concluído</v>
      </c>
      <c r="H241" s="73">
        <f>VLOOKUP(A241,'Aux - pivots1'!$A:$B,2,0)</f>
        <v>1</v>
      </c>
      <c r="I241" s="93">
        <f>SUMIFS(Table1[Estimação (horas)],Table1[Tabela],Plano_V3!E241,Table1[Campo],Plano_V3!F241)</f>
        <v>8.5</v>
      </c>
      <c r="J241" s="93">
        <f t="shared" si="32"/>
        <v>1.0625</v>
      </c>
      <c r="K241" s="93">
        <f>SUMIFS(Table1[Horas efetivas],Table1[Tabela],Plano_V3!E241,Table1[Campo],Plano_V3!F241)</f>
        <v>8.5</v>
      </c>
      <c r="L241" s="93">
        <f t="shared" si="33"/>
        <v>1.0625</v>
      </c>
      <c r="M241" s="93">
        <f t="shared" si="34"/>
        <v>1</v>
      </c>
      <c r="N241" s="98" t="s">
        <v>39</v>
      </c>
      <c r="O241" s="99">
        <f t="shared" si="35"/>
        <v>1.0625</v>
      </c>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87"/>
      <c r="AU241" s="87"/>
      <c r="AV241" s="87"/>
      <c r="AW241" s="100"/>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87"/>
      <c r="EJ241" s="87"/>
      <c r="EK241" s="87"/>
      <c r="EL241" s="100"/>
      <c r="EM241" s="100"/>
      <c r="EN241" s="100"/>
      <c r="EO241" s="100"/>
      <c r="EP241" s="100"/>
      <c r="EQ241" s="100"/>
    </row>
    <row r="242" spans="1:147" outlineLevel="1">
      <c r="A242" s="31" t="str">
        <f t="shared" si="36"/>
        <v>modesg_inp_emss_nacen.a.</v>
      </c>
      <c r="B242" s="76" t="s">
        <v>28</v>
      </c>
      <c r="C242" s="77" t="s">
        <v>178</v>
      </c>
      <c r="D242" s="73" t="s">
        <v>36</v>
      </c>
      <c r="E242" s="75" t="s">
        <v>211</v>
      </c>
      <c r="F242" s="73" t="s">
        <v>38</v>
      </c>
      <c r="G242" s="73" t="str">
        <f>INDEX(Auxiliar!$B$16:$B$23,MATCH(Plano_V3!H242,Auxiliar!$C$16:$C$23,0),1)</f>
        <v>1. Concluído</v>
      </c>
      <c r="H242" s="73">
        <f>VLOOKUP(A242,'Aux - pivots1'!$A:$B,2,0)</f>
        <v>1</v>
      </c>
      <c r="I242" s="93">
        <f>SUMIFS(Table1[Estimação (horas)],Table1[Tabela],Plano_V3!E242,Table1[Campo],Plano_V3!F242)</f>
        <v>8.5</v>
      </c>
      <c r="J242" s="93">
        <f t="shared" si="32"/>
        <v>1.0625</v>
      </c>
      <c r="K242" s="93">
        <f>SUMIFS(Table1[Horas efetivas],Table1[Tabela],Plano_V3!E242,Table1[Campo],Plano_V3!F242)</f>
        <v>8.5</v>
      </c>
      <c r="L242" s="93">
        <f t="shared" si="33"/>
        <v>1.0625</v>
      </c>
      <c r="M242" s="93">
        <f t="shared" si="34"/>
        <v>1</v>
      </c>
      <c r="N242" s="98" t="s">
        <v>39</v>
      </c>
      <c r="O242" s="99">
        <f t="shared" si="35"/>
        <v>1.0625</v>
      </c>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87"/>
      <c r="AU242" s="87"/>
      <c r="AV242" s="87"/>
      <c r="AW242" s="100"/>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87"/>
      <c r="EJ242" s="87"/>
      <c r="EK242" s="87"/>
      <c r="EL242" s="100"/>
      <c r="EM242" s="100"/>
      <c r="EN242" s="100"/>
      <c r="EO242" s="100"/>
      <c r="EP242" s="100"/>
      <c r="EQ242" s="100"/>
    </row>
    <row r="243" spans="1:147" outlineLevel="1">
      <c r="A243" s="31" t="str">
        <f t="shared" si="36"/>
        <v>modesg_inp_emss_bens_imoveisn.a.</v>
      </c>
      <c r="B243" s="76" t="s">
        <v>28</v>
      </c>
      <c r="C243" s="77" t="s">
        <v>178</v>
      </c>
      <c r="D243" s="73" t="s">
        <v>36</v>
      </c>
      <c r="E243" s="75" t="s">
        <v>212</v>
      </c>
      <c r="F243" s="73" t="s">
        <v>38</v>
      </c>
      <c r="G243" s="73" t="str">
        <f>INDEX(Auxiliar!$B$16:$B$23,MATCH(Plano_V3!H243,Auxiliar!$C$16:$C$23,0),1)</f>
        <v>1. Concluído</v>
      </c>
      <c r="H243" s="73">
        <f>VLOOKUP(A243,'Aux - pivots1'!$A:$B,2,0)</f>
        <v>1</v>
      </c>
      <c r="I243" s="93">
        <f>SUMIFS(Table1[Estimação (horas)],Table1[Tabela],Plano_V3!E243,Table1[Campo],Plano_V3!F243)</f>
        <v>8.5</v>
      </c>
      <c r="J243" s="93">
        <f t="shared" si="32"/>
        <v>1.0625</v>
      </c>
      <c r="K243" s="93">
        <f>SUMIFS(Table1[Horas efetivas],Table1[Tabela],Plano_V3!E243,Table1[Campo],Plano_V3!F243)</f>
        <v>8.5</v>
      </c>
      <c r="L243" s="93">
        <f t="shared" si="33"/>
        <v>1.0625</v>
      </c>
      <c r="M243" s="93">
        <f t="shared" si="34"/>
        <v>1</v>
      </c>
      <c r="N243" s="98" t="s">
        <v>39</v>
      </c>
      <c r="O243" s="99">
        <f t="shared" si="35"/>
        <v>1.0625</v>
      </c>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87"/>
      <c r="AU243" s="87"/>
      <c r="AV243" s="87"/>
      <c r="AW243" s="100"/>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87"/>
      <c r="EJ243" s="87"/>
      <c r="EK243" s="87"/>
      <c r="EL243" s="100"/>
      <c r="EM243" s="100"/>
      <c r="EN243" s="100"/>
      <c r="EO243" s="100"/>
      <c r="EP243" s="100"/>
      <c r="EQ243" s="100"/>
    </row>
    <row r="244" spans="1:147" outlineLevel="1">
      <c r="A244" s="31" t="str">
        <f t="shared" si="36"/>
        <v>modesg_inp_emss_vclsref_date</v>
      </c>
      <c r="B244" s="76" t="s">
        <v>28</v>
      </c>
      <c r="C244" s="77" t="s">
        <v>178</v>
      </c>
      <c r="D244" s="73" t="s">
        <v>40</v>
      </c>
      <c r="E244" s="75" t="s">
        <v>205</v>
      </c>
      <c r="F244" s="73" t="s">
        <v>73</v>
      </c>
      <c r="G244" s="73" t="str">
        <f>INDEX(Auxiliar!$B$16:$B$23,MATCH(Plano_V3!H244,Auxiliar!$C$16:$C$23,0),1)</f>
        <v>1. Concluído</v>
      </c>
      <c r="H244" s="73">
        <f>VLOOKUP(A244,'Aux - pivots1'!$A:$B,2,0)</f>
        <v>1</v>
      </c>
      <c r="I244" s="93">
        <f>SUMIFS(Table1[Estimação (horas)],Table1[Tabela],Plano_V3!E244,Table1[Campo],Plano_V3!F244)</f>
        <v>0.5</v>
      </c>
      <c r="J244" s="93">
        <f t="shared" si="32"/>
        <v>6.25E-2</v>
      </c>
      <c r="K244" s="93">
        <f>SUMIFS(Table1[Horas efetivas],Table1[Tabela],Plano_V3!E244,Table1[Campo],Plano_V3!F244)</f>
        <v>0.5</v>
      </c>
      <c r="L244" s="93">
        <f t="shared" si="33"/>
        <v>6.25E-2</v>
      </c>
      <c r="M244" s="93">
        <f t="shared" si="34"/>
        <v>1</v>
      </c>
      <c r="N244" s="98" t="s">
        <v>39</v>
      </c>
      <c r="O244" s="99">
        <f t="shared" si="35"/>
        <v>6.25E-2</v>
      </c>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87"/>
      <c r="AU244" s="87"/>
      <c r="AV244" s="87"/>
      <c r="AW244" s="100"/>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87"/>
      <c r="EJ244" s="87"/>
      <c r="EK244" s="87"/>
      <c r="EL244" s="100"/>
      <c r="EM244" s="100"/>
      <c r="EN244" s="100"/>
      <c r="EO244" s="100"/>
      <c r="EP244" s="100"/>
      <c r="EQ244" s="100"/>
    </row>
    <row r="245" spans="1:147" outlineLevel="1">
      <c r="A245" s="31" t="str">
        <f t="shared" si="36"/>
        <v>modesg_inp_emss_vclsnome_regiao</v>
      </c>
      <c r="B245" s="76" t="s">
        <v>28</v>
      </c>
      <c r="C245" s="77" t="s">
        <v>178</v>
      </c>
      <c r="D245" s="73" t="s">
        <v>40</v>
      </c>
      <c r="E245" s="75" t="s">
        <v>205</v>
      </c>
      <c r="F245" s="73" t="s">
        <v>213</v>
      </c>
      <c r="G245" s="73" t="str">
        <f>INDEX(Auxiliar!$B$16:$B$23,MATCH(Plano_V3!H245,Auxiliar!$C$16:$C$23,0),1)</f>
        <v>1. Concluído</v>
      </c>
      <c r="H245" s="73">
        <f>VLOOKUP(A245,'Aux - pivots1'!$A:$B,2,0)</f>
        <v>1</v>
      </c>
      <c r="I245" s="93">
        <f>SUMIFS(Table1[Estimação (horas)],Table1[Tabela],Plano_V3!E245,Table1[Campo],Plano_V3!F245)</f>
        <v>0.6</v>
      </c>
      <c r="J245" s="93">
        <f t="shared" si="32"/>
        <v>7.4999999999999997E-2</v>
      </c>
      <c r="K245" s="93">
        <f>SUMIFS(Table1[Horas efetivas],Table1[Tabela],Plano_V3!E245,Table1[Campo],Plano_V3!F245)</f>
        <v>0.6</v>
      </c>
      <c r="L245" s="93">
        <f t="shared" si="33"/>
        <v>7.4999999999999997E-2</v>
      </c>
      <c r="M245" s="93">
        <f t="shared" si="34"/>
        <v>1</v>
      </c>
      <c r="N245" s="98" t="s">
        <v>39</v>
      </c>
      <c r="O245" s="99">
        <f t="shared" si="35"/>
        <v>7.4999999999999997E-2</v>
      </c>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87"/>
      <c r="AU245" s="87"/>
      <c r="AV245" s="87"/>
      <c r="AW245" s="100"/>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87"/>
      <c r="EJ245" s="87"/>
      <c r="EK245" s="87"/>
      <c r="EL245" s="100"/>
      <c r="EM245" s="100"/>
      <c r="EN245" s="100"/>
      <c r="EO245" s="100"/>
      <c r="EP245" s="100"/>
      <c r="EQ245" s="100"/>
    </row>
    <row r="246" spans="1:147" outlineLevel="1">
      <c r="A246" s="31" t="str">
        <f t="shared" si="36"/>
        <v>modesg_inp_emss_vclsnome_pais</v>
      </c>
      <c r="B246" s="76" t="s">
        <v>28</v>
      </c>
      <c r="C246" s="77" t="s">
        <v>178</v>
      </c>
      <c r="D246" s="73" t="s">
        <v>40</v>
      </c>
      <c r="E246" s="75" t="s">
        <v>205</v>
      </c>
      <c r="F246" s="73" t="s">
        <v>214</v>
      </c>
      <c r="G246" s="73" t="str">
        <f>INDEX(Auxiliar!$B$16:$B$23,MATCH(Plano_V3!H246,Auxiliar!$C$16:$C$23,0),1)</f>
        <v>1. Concluído</v>
      </c>
      <c r="H246" s="73">
        <f>VLOOKUP(A246,'Aux - pivots1'!$A:$B,2,0)</f>
        <v>1</v>
      </c>
      <c r="I246" s="93">
        <f>SUMIFS(Table1[Estimação (horas)],Table1[Tabela],Plano_V3!E246,Table1[Campo],Plano_V3!F246)</f>
        <v>0.6</v>
      </c>
      <c r="J246" s="93">
        <f t="shared" si="32"/>
        <v>7.4999999999999997E-2</v>
      </c>
      <c r="K246" s="93">
        <f>SUMIFS(Table1[Horas efetivas],Table1[Tabela],Plano_V3!E246,Table1[Campo],Plano_V3!F246)</f>
        <v>0.6</v>
      </c>
      <c r="L246" s="93">
        <f t="shared" si="33"/>
        <v>7.4999999999999997E-2</v>
      </c>
      <c r="M246" s="93">
        <f t="shared" si="34"/>
        <v>1</v>
      </c>
      <c r="N246" s="98" t="s">
        <v>39</v>
      </c>
      <c r="O246" s="99">
        <f t="shared" si="35"/>
        <v>7.4999999999999997E-2</v>
      </c>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87"/>
      <c r="AU246" s="87"/>
      <c r="AV246" s="87"/>
      <c r="AW246" s="100"/>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87"/>
      <c r="EJ246" s="87"/>
      <c r="EK246" s="87"/>
      <c r="EL246" s="100"/>
      <c r="EM246" s="100"/>
      <c r="EN246" s="100"/>
      <c r="EO246" s="100"/>
      <c r="EP246" s="100"/>
      <c r="EQ246" s="100"/>
    </row>
    <row r="247" spans="1:147" outlineLevel="1">
      <c r="A247" s="31" t="str">
        <f t="shared" si="36"/>
        <v>modesg_inp_emss_vclsnome_estado</v>
      </c>
      <c r="B247" s="76" t="s">
        <v>28</v>
      </c>
      <c r="C247" s="77" t="s">
        <v>178</v>
      </c>
      <c r="D247" s="73" t="s">
        <v>40</v>
      </c>
      <c r="E247" s="75" t="s">
        <v>205</v>
      </c>
      <c r="F247" s="73" t="s">
        <v>215</v>
      </c>
      <c r="G247" s="73" t="str">
        <f>INDEX(Auxiliar!$B$16:$B$23,MATCH(Plano_V3!H247,Auxiliar!$C$16:$C$23,0),1)</f>
        <v>1. Concluído</v>
      </c>
      <c r="H247" s="73">
        <f>VLOOKUP(A247,'Aux - pivots1'!$A:$B,2,0)</f>
        <v>1</v>
      </c>
      <c r="I247" s="93">
        <f>SUMIFS(Table1[Estimação (horas)],Table1[Tabela],Plano_V3!E247,Table1[Campo],Plano_V3!F247)</f>
        <v>0.5</v>
      </c>
      <c r="J247" s="93">
        <f t="shared" si="32"/>
        <v>6.25E-2</v>
      </c>
      <c r="K247" s="93">
        <f>SUMIFS(Table1[Horas efetivas],Table1[Tabela],Plano_V3!E247,Table1[Campo],Plano_V3!F247)</f>
        <v>0.5</v>
      </c>
      <c r="L247" s="93">
        <f t="shared" si="33"/>
        <v>6.25E-2</v>
      </c>
      <c r="M247" s="93">
        <f t="shared" si="34"/>
        <v>1</v>
      </c>
      <c r="N247" s="98" t="s">
        <v>39</v>
      </c>
      <c r="O247" s="99">
        <f t="shared" si="35"/>
        <v>6.25E-2</v>
      </c>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87"/>
      <c r="AU247" s="87"/>
      <c r="AV247" s="87"/>
      <c r="AW247" s="100"/>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87"/>
      <c r="EJ247" s="87"/>
      <c r="EK247" s="87"/>
      <c r="EL247" s="100"/>
      <c r="EM247" s="100"/>
      <c r="EN247" s="100"/>
      <c r="EO247" s="100"/>
      <c r="EP247" s="100"/>
      <c r="EQ247" s="100"/>
    </row>
    <row r="248" spans="1:147" outlineLevel="1">
      <c r="A248" s="31" t="str">
        <f t="shared" si="36"/>
        <v>modesg_inp_emss_vclstipo_veiculo</v>
      </c>
      <c r="B248" s="76" t="s">
        <v>28</v>
      </c>
      <c r="C248" s="77" t="s">
        <v>178</v>
      </c>
      <c r="D248" s="73" t="s">
        <v>40</v>
      </c>
      <c r="E248" s="75" t="s">
        <v>205</v>
      </c>
      <c r="F248" s="73" t="s">
        <v>216</v>
      </c>
      <c r="G248" s="73" t="str">
        <f>INDEX(Auxiliar!$B$16:$B$23,MATCH(Plano_V3!H248,Auxiliar!$C$16:$C$23,0),1)</f>
        <v>1. Concluído</v>
      </c>
      <c r="H248" s="73">
        <f>VLOOKUP(A248,'Aux - pivots1'!$A:$B,2,0)</f>
        <v>1</v>
      </c>
      <c r="I248" s="93">
        <f>SUMIFS(Table1[Estimação (horas)],Table1[Tabela],Plano_V3!E248,Table1[Campo],Plano_V3!F248)</f>
        <v>0.6</v>
      </c>
      <c r="J248" s="93">
        <f t="shared" si="32"/>
        <v>7.4999999999999997E-2</v>
      </c>
      <c r="K248" s="93">
        <f>SUMIFS(Table1[Horas efetivas],Table1[Tabela],Plano_V3!E248,Table1[Campo],Plano_V3!F248)</f>
        <v>0.6</v>
      </c>
      <c r="L248" s="93">
        <f t="shared" si="33"/>
        <v>7.4999999999999997E-2</v>
      </c>
      <c r="M248" s="93">
        <f t="shared" si="34"/>
        <v>1</v>
      </c>
      <c r="N248" s="98" t="s">
        <v>39</v>
      </c>
      <c r="O248" s="99">
        <f t="shared" si="35"/>
        <v>7.4999999999999997E-2</v>
      </c>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87"/>
      <c r="AU248" s="87"/>
      <c r="AV248" s="87"/>
      <c r="AW248" s="100"/>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87"/>
      <c r="EJ248" s="87"/>
      <c r="EK248" s="87"/>
      <c r="EL248" s="100"/>
      <c r="EM248" s="100"/>
      <c r="EN248" s="100"/>
      <c r="EO248" s="100"/>
      <c r="EP248" s="100"/>
      <c r="EQ248" s="100"/>
    </row>
    <row r="249" spans="1:147" outlineLevel="1">
      <c r="A249" s="31" t="str">
        <f t="shared" si="36"/>
        <v>modesg_inp_emss_vclstipo_motor</v>
      </c>
      <c r="B249" s="76" t="s">
        <v>28</v>
      </c>
      <c r="C249" s="77" t="s">
        <v>178</v>
      </c>
      <c r="D249" s="73" t="s">
        <v>40</v>
      </c>
      <c r="E249" s="75" t="s">
        <v>205</v>
      </c>
      <c r="F249" s="73" t="s">
        <v>217</v>
      </c>
      <c r="G249" s="73" t="str">
        <f>INDEX(Auxiliar!$B$16:$B$23,MATCH(Plano_V3!H249,Auxiliar!$C$16:$C$23,0),1)</f>
        <v>1. Concluído</v>
      </c>
      <c r="H249" s="73">
        <f>VLOOKUP(A249,'Aux - pivots1'!$A:$B,2,0)</f>
        <v>1</v>
      </c>
      <c r="I249" s="93">
        <f>SUMIFS(Table1[Estimação (horas)],Table1[Tabela],Plano_V3!E249,Table1[Campo],Plano_V3!F249)</f>
        <v>0.6</v>
      </c>
      <c r="J249" s="93">
        <f t="shared" si="32"/>
        <v>7.4999999999999997E-2</v>
      </c>
      <c r="K249" s="93">
        <f>SUMIFS(Table1[Horas efetivas],Table1[Tabela],Plano_V3!E249,Table1[Campo],Plano_V3!F249)</f>
        <v>0.6</v>
      </c>
      <c r="L249" s="93">
        <f t="shared" si="33"/>
        <v>7.4999999999999997E-2</v>
      </c>
      <c r="M249" s="93">
        <f t="shared" si="34"/>
        <v>1</v>
      </c>
      <c r="N249" s="98" t="s">
        <v>39</v>
      </c>
      <c r="O249" s="99">
        <f t="shared" si="35"/>
        <v>7.4999999999999997E-2</v>
      </c>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87"/>
      <c r="AU249" s="87"/>
      <c r="AV249" s="87"/>
      <c r="AW249" s="100"/>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87"/>
      <c r="EJ249" s="87"/>
      <c r="EK249" s="87"/>
      <c r="EL249" s="100"/>
      <c r="EM249" s="100"/>
      <c r="EN249" s="100"/>
      <c r="EO249" s="100"/>
      <c r="EP249" s="100"/>
      <c r="EQ249" s="100"/>
    </row>
    <row r="250" spans="1:147" outlineLevel="1">
      <c r="A250" s="31" t="str">
        <f t="shared" si="36"/>
        <v>modesg_inp_emss_vclsmarca</v>
      </c>
      <c r="B250" s="76" t="s">
        <v>28</v>
      </c>
      <c r="C250" s="77" t="s">
        <v>178</v>
      </c>
      <c r="D250" s="73" t="s">
        <v>40</v>
      </c>
      <c r="E250" s="75" t="s">
        <v>205</v>
      </c>
      <c r="F250" s="73" t="s">
        <v>218</v>
      </c>
      <c r="G250" s="73" t="str">
        <f>INDEX(Auxiliar!$B$16:$B$23,MATCH(Plano_V3!H250,Auxiliar!$C$16:$C$23,0),1)</f>
        <v>1. Concluído</v>
      </c>
      <c r="H250" s="73">
        <f>VLOOKUP(A250,'Aux - pivots1'!$A:$B,2,0)</f>
        <v>1</v>
      </c>
      <c r="I250" s="93">
        <f>SUMIFS(Table1[Estimação (horas)],Table1[Tabela],Plano_V3!E250,Table1[Campo],Plano_V3!F250)</f>
        <v>0.6</v>
      </c>
      <c r="J250" s="93">
        <f t="shared" si="32"/>
        <v>7.4999999999999997E-2</v>
      </c>
      <c r="K250" s="93">
        <f>SUMIFS(Table1[Horas efetivas],Table1[Tabela],Plano_V3!E250,Table1[Campo],Plano_V3!F250)</f>
        <v>0.6</v>
      </c>
      <c r="L250" s="93">
        <f t="shared" si="33"/>
        <v>7.4999999999999997E-2</v>
      </c>
      <c r="M250" s="93">
        <f t="shared" si="34"/>
        <v>1</v>
      </c>
      <c r="N250" s="98" t="s">
        <v>39</v>
      </c>
      <c r="O250" s="99">
        <f t="shared" si="35"/>
        <v>7.4999999999999997E-2</v>
      </c>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87"/>
      <c r="AU250" s="87"/>
      <c r="AV250" s="87"/>
      <c r="AW250" s="100"/>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87"/>
      <c r="EJ250" s="87"/>
      <c r="EK250" s="87"/>
      <c r="EL250" s="100"/>
      <c r="EM250" s="100"/>
      <c r="EN250" s="100"/>
      <c r="EO250" s="100"/>
      <c r="EP250" s="100"/>
      <c r="EQ250" s="100"/>
    </row>
    <row r="251" spans="1:147" outlineLevel="1">
      <c r="A251" s="31" t="str">
        <f t="shared" si="36"/>
        <v>modesg_inp_emss_vclsmodelo</v>
      </c>
      <c r="B251" s="76" t="s">
        <v>28</v>
      </c>
      <c r="C251" s="77" t="s">
        <v>178</v>
      </c>
      <c r="D251" s="73" t="s">
        <v>40</v>
      </c>
      <c r="E251" s="75" t="s">
        <v>205</v>
      </c>
      <c r="F251" s="73" t="s">
        <v>219</v>
      </c>
      <c r="G251" s="73" t="str">
        <f>INDEX(Auxiliar!$B$16:$B$23,MATCH(Plano_V3!H251,Auxiliar!$C$16:$C$23,0),1)</f>
        <v>1. Concluído</v>
      </c>
      <c r="H251" s="73">
        <f>VLOOKUP(A251,'Aux - pivots1'!$A:$B,2,0)</f>
        <v>1</v>
      </c>
      <c r="I251" s="93">
        <f>SUMIFS(Table1[Estimação (horas)],Table1[Tabela],Plano_V3!E251,Table1[Campo],Plano_V3!F251)</f>
        <v>0.6</v>
      </c>
      <c r="J251" s="93">
        <f t="shared" si="32"/>
        <v>7.4999999999999997E-2</v>
      </c>
      <c r="K251" s="93">
        <f>SUMIFS(Table1[Horas efetivas],Table1[Tabela],Plano_V3!E251,Table1[Campo],Plano_V3!F251)</f>
        <v>0.6</v>
      </c>
      <c r="L251" s="93">
        <f t="shared" si="33"/>
        <v>7.4999999999999997E-2</v>
      </c>
      <c r="M251" s="93">
        <f t="shared" si="34"/>
        <v>1</v>
      </c>
      <c r="N251" s="98" t="s">
        <v>39</v>
      </c>
      <c r="O251" s="99">
        <f t="shared" si="35"/>
        <v>7.4999999999999997E-2</v>
      </c>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87"/>
      <c r="AU251" s="87"/>
      <c r="AV251" s="87"/>
      <c r="AW251" s="100"/>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87"/>
      <c r="EJ251" s="87"/>
      <c r="EK251" s="87"/>
      <c r="EL251" s="100"/>
      <c r="EM251" s="100"/>
      <c r="EN251" s="100"/>
      <c r="EO251" s="100"/>
      <c r="EP251" s="100"/>
      <c r="EQ251" s="100"/>
    </row>
    <row r="252" spans="1:147" outlineLevel="1">
      <c r="A252" s="31" t="str">
        <f t="shared" si="36"/>
        <v>modesg_inp_emss_vclssubgrupo</v>
      </c>
      <c r="B252" s="76" t="s">
        <v>28</v>
      </c>
      <c r="C252" s="77" t="s">
        <v>178</v>
      </c>
      <c r="D252" s="73" t="s">
        <v>40</v>
      </c>
      <c r="E252" s="75" t="s">
        <v>205</v>
      </c>
      <c r="F252" s="73" t="s">
        <v>1839</v>
      </c>
      <c r="G252" s="73" t="str">
        <f>INDEX(Auxiliar!$B$16:$B$23,MATCH(Plano_V3!H252,Auxiliar!$C$16:$C$23,0),1)</f>
        <v>1. Concluído</v>
      </c>
      <c r="H252" s="73">
        <f>VLOOKUP(A252,'Aux - pivots1'!$A:$B,2,0)</f>
        <v>1</v>
      </c>
      <c r="I252" s="93">
        <f>SUMIFS(Table1[Estimação (horas)],Table1[Tabela],Plano_V3!E252,Table1[Campo],Plano_V3!F252)</f>
        <v>0.6</v>
      </c>
      <c r="J252" s="93">
        <f t="shared" si="32"/>
        <v>7.4999999999999997E-2</v>
      </c>
      <c r="K252" s="93">
        <f>SUMIFS(Table1[Horas efetivas],Table1[Tabela],Plano_V3!E252,Table1[Campo],Plano_V3!F252)</f>
        <v>0.6</v>
      </c>
      <c r="L252" s="93">
        <f t="shared" si="33"/>
        <v>7.4999999999999997E-2</v>
      </c>
      <c r="M252" s="93">
        <f t="shared" si="34"/>
        <v>1</v>
      </c>
      <c r="N252" s="98" t="s">
        <v>39</v>
      </c>
      <c r="O252" s="99">
        <f t="shared" si="35"/>
        <v>7.4999999999999997E-2</v>
      </c>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87"/>
      <c r="AU252" s="87"/>
      <c r="AV252" s="87"/>
      <c r="AW252" s="100"/>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87"/>
      <c r="EJ252" s="87"/>
      <c r="EK252" s="87"/>
      <c r="EL252" s="100"/>
      <c r="EM252" s="100"/>
      <c r="EN252" s="100"/>
      <c r="EO252" s="100"/>
      <c r="EP252" s="100"/>
      <c r="EQ252" s="100"/>
    </row>
    <row r="253" spans="1:147" outlineLevel="1">
      <c r="A253" s="31" t="str">
        <f t="shared" si="36"/>
        <v>modesg_inp_emss_vclsnome_unidade_funcional</v>
      </c>
      <c r="B253" s="76" t="s">
        <v>28</v>
      </c>
      <c r="C253" s="77" t="s">
        <v>178</v>
      </c>
      <c r="D253" s="73" t="s">
        <v>40</v>
      </c>
      <c r="E253" s="75" t="s">
        <v>205</v>
      </c>
      <c r="F253" s="73" t="s">
        <v>221</v>
      </c>
      <c r="G253" s="73" t="str">
        <f>INDEX(Auxiliar!$B$16:$B$23,MATCH(Plano_V3!H253,Auxiliar!$C$16:$C$23,0),1)</f>
        <v>1. Concluído</v>
      </c>
      <c r="H253" s="73">
        <f>VLOOKUP(A253,'Aux - pivots1'!$A:$B,2,0)</f>
        <v>1</v>
      </c>
      <c r="I253" s="93">
        <f>SUMIFS(Table1[Estimação (horas)],Table1[Tabela],Plano_V3!E253,Table1[Campo],Plano_V3!F253)</f>
        <v>0.6</v>
      </c>
      <c r="J253" s="93">
        <f t="shared" si="32"/>
        <v>7.4999999999999997E-2</v>
      </c>
      <c r="K253" s="93">
        <f>SUMIFS(Table1[Horas efetivas],Table1[Tabela],Plano_V3!E253,Table1[Campo],Plano_V3!F253)</f>
        <v>0.6</v>
      </c>
      <c r="L253" s="93">
        <f t="shared" si="33"/>
        <v>7.4999999999999997E-2</v>
      </c>
      <c r="M253" s="93">
        <f t="shared" si="34"/>
        <v>1</v>
      </c>
      <c r="N253" s="98" t="s">
        <v>39</v>
      </c>
      <c r="O253" s="99">
        <f t="shared" si="35"/>
        <v>7.4999999999999997E-2</v>
      </c>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87"/>
      <c r="AU253" s="87"/>
      <c r="AV253" s="87"/>
      <c r="AW253" s="100"/>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87"/>
      <c r="EJ253" s="87"/>
      <c r="EK253" s="87"/>
      <c r="EL253" s="100"/>
      <c r="EM253" s="100"/>
      <c r="EN253" s="100"/>
      <c r="EO253" s="100"/>
      <c r="EP253" s="100"/>
      <c r="EQ253" s="100"/>
    </row>
    <row r="254" spans="1:147" outlineLevel="1">
      <c r="A254" s="31" t="str">
        <f t="shared" si="36"/>
        <v>modesg_inp_emss_vclsunidade_funcional</v>
      </c>
      <c r="B254" s="76" t="s">
        <v>28</v>
      </c>
      <c r="C254" s="77" t="s">
        <v>178</v>
      </c>
      <c r="D254" s="73" t="s">
        <v>40</v>
      </c>
      <c r="E254" s="75" t="s">
        <v>205</v>
      </c>
      <c r="F254" s="73" t="s">
        <v>222</v>
      </c>
      <c r="G254" s="73" t="str">
        <f>INDEX(Auxiliar!$B$16:$B$23,MATCH(Plano_V3!H254,Auxiliar!$C$16:$C$23,0),1)</f>
        <v>1. Concluído</v>
      </c>
      <c r="H254" s="73">
        <f>VLOOKUP(A254,'Aux - pivots1'!$A:$B,2,0)</f>
        <v>1</v>
      </c>
      <c r="I254" s="93">
        <f>SUMIFS(Table1[Estimação (horas)],Table1[Tabela],Plano_V3!E254,Table1[Campo],Plano_V3!F254)</f>
        <v>0.6</v>
      </c>
      <c r="J254" s="93">
        <f t="shared" si="32"/>
        <v>7.4999999999999997E-2</v>
      </c>
      <c r="K254" s="93">
        <f>SUMIFS(Table1[Horas efetivas],Table1[Tabela],Plano_V3!E254,Table1[Campo],Plano_V3!F254)</f>
        <v>0.6</v>
      </c>
      <c r="L254" s="93">
        <f t="shared" si="33"/>
        <v>7.4999999999999997E-2</v>
      </c>
      <c r="M254" s="93">
        <f t="shared" si="34"/>
        <v>1</v>
      </c>
      <c r="N254" s="98" t="s">
        <v>39</v>
      </c>
      <c r="O254" s="99">
        <f t="shared" si="35"/>
        <v>7.4999999999999997E-2</v>
      </c>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87"/>
      <c r="AU254" s="87"/>
      <c r="AV254" s="87"/>
      <c r="AW254" s="100"/>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87"/>
      <c r="EJ254" s="87"/>
      <c r="EK254" s="87"/>
      <c r="EL254" s="100"/>
      <c r="EM254" s="100"/>
      <c r="EN254" s="100"/>
      <c r="EO254" s="100"/>
      <c r="EP254" s="100"/>
      <c r="EQ254" s="100"/>
    </row>
    <row r="255" spans="1:147" outlineLevel="1">
      <c r="A255" s="31" t="str">
        <f t="shared" si="36"/>
        <v>modesg_inp_emss_vclsnome_fator_emissao</v>
      </c>
      <c r="B255" s="76" t="s">
        <v>28</v>
      </c>
      <c r="C255" s="77" t="s">
        <v>178</v>
      </c>
      <c r="D255" s="73" t="s">
        <v>40</v>
      </c>
      <c r="E255" s="75" t="s">
        <v>205</v>
      </c>
      <c r="F255" s="73" t="s">
        <v>223</v>
      </c>
      <c r="G255" s="73" t="str">
        <f>INDEX(Auxiliar!$B$16:$B$23,MATCH(Plano_V3!H255,Auxiliar!$C$16:$C$23,0),1)</f>
        <v>1. Concluído</v>
      </c>
      <c r="H255" s="73">
        <f>VLOOKUP(A255,'Aux - pivots1'!$A:$B,2,0)</f>
        <v>1</v>
      </c>
      <c r="I255" s="93">
        <f>SUMIFS(Table1[Estimação (horas)],Table1[Tabela],Plano_V3!E255,Table1[Campo],Plano_V3!F255)</f>
        <v>0.6</v>
      </c>
      <c r="J255" s="93">
        <f t="shared" si="32"/>
        <v>7.4999999999999997E-2</v>
      </c>
      <c r="K255" s="93">
        <f>SUMIFS(Table1[Horas efetivas],Table1[Tabela],Plano_V3!E255,Table1[Campo],Plano_V3!F255)</f>
        <v>0.6</v>
      </c>
      <c r="L255" s="93">
        <f t="shared" si="33"/>
        <v>7.4999999999999997E-2</v>
      </c>
      <c r="M255" s="93">
        <f t="shared" si="34"/>
        <v>1</v>
      </c>
      <c r="N255" s="98" t="s">
        <v>39</v>
      </c>
      <c r="O255" s="99">
        <f t="shared" si="35"/>
        <v>7.4999999999999997E-2</v>
      </c>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87"/>
      <c r="AU255" s="87"/>
      <c r="AV255" s="87"/>
      <c r="AW255" s="100"/>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87"/>
      <c r="EJ255" s="87"/>
      <c r="EK255" s="87"/>
      <c r="EL255" s="100"/>
      <c r="EM255" s="100"/>
      <c r="EN255" s="100"/>
      <c r="EO255" s="100"/>
      <c r="EP255" s="100"/>
      <c r="EQ255" s="100"/>
    </row>
    <row r="256" spans="1:147" outlineLevel="1">
      <c r="A256" s="31" t="str">
        <f t="shared" si="36"/>
        <v>modesg_inp_emss_vclsunidade_fator_de_emissao</v>
      </c>
      <c r="B256" s="76" t="s">
        <v>28</v>
      </c>
      <c r="C256" s="77" t="s">
        <v>178</v>
      </c>
      <c r="D256" s="73" t="s">
        <v>40</v>
      </c>
      <c r="E256" s="75" t="s">
        <v>205</v>
      </c>
      <c r="F256" s="73" t="s">
        <v>224</v>
      </c>
      <c r="G256" s="73" t="str">
        <f>INDEX(Auxiliar!$B$16:$B$23,MATCH(Plano_V3!H256,Auxiliar!$C$16:$C$23,0),1)</f>
        <v>1. Concluído</v>
      </c>
      <c r="H256" s="73">
        <f>VLOOKUP(A256,'Aux - pivots1'!$A:$B,2,0)</f>
        <v>1</v>
      </c>
      <c r="I256" s="93">
        <f>SUMIFS(Table1[Estimação (horas)],Table1[Tabela],Plano_V3!E256,Table1[Campo],Plano_V3!F256)</f>
        <v>0.6</v>
      </c>
      <c r="J256" s="93">
        <f t="shared" si="32"/>
        <v>7.4999999999999997E-2</v>
      </c>
      <c r="K256" s="93">
        <f>SUMIFS(Table1[Horas efetivas],Table1[Tabela],Plano_V3!E256,Table1[Campo],Plano_V3!F256)</f>
        <v>0.6</v>
      </c>
      <c r="L256" s="93">
        <f t="shared" si="33"/>
        <v>7.4999999999999997E-2</v>
      </c>
      <c r="M256" s="93">
        <f t="shared" si="34"/>
        <v>1</v>
      </c>
      <c r="N256" s="98" t="s">
        <v>39</v>
      </c>
      <c r="O256" s="99">
        <f t="shared" si="35"/>
        <v>7.4999999999999997E-2</v>
      </c>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87"/>
      <c r="AU256" s="87"/>
      <c r="AV256" s="87"/>
      <c r="AW256" s="100"/>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87"/>
      <c r="EJ256" s="87"/>
      <c r="EK256" s="87"/>
      <c r="EL256" s="100"/>
      <c r="EM256" s="100"/>
      <c r="EN256" s="100"/>
      <c r="EO256" s="100"/>
      <c r="EP256" s="100"/>
      <c r="EQ256" s="100"/>
    </row>
    <row r="257" spans="1:147" outlineLevel="1">
      <c r="A257" s="31" t="str">
        <f t="shared" si="36"/>
        <v>modesg_inp_emss_vclsscore_qualidade</v>
      </c>
      <c r="B257" s="76" t="s">
        <v>28</v>
      </c>
      <c r="C257" s="77" t="s">
        <v>178</v>
      </c>
      <c r="D257" s="73" t="s">
        <v>40</v>
      </c>
      <c r="E257" s="75" t="s">
        <v>205</v>
      </c>
      <c r="F257" s="73" t="s">
        <v>50</v>
      </c>
      <c r="G257" s="73" t="str">
        <f>INDEX(Auxiliar!$B$16:$B$23,MATCH(Plano_V3!H257,Auxiliar!$C$16:$C$23,0),1)</f>
        <v>1. Concluído</v>
      </c>
      <c r="H257" s="73">
        <f>VLOOKUP(A257,'Aux - pivots1'!$A:$B,2,0)</f>
        <v>1</v>
      </c>
      <c r="I257" s="93">
        <f>SUMIFS(Table1[Estimação (horas)],Table1[Tabela],Plano_V3!E257,Table1[Campo],Plano_V3!F257)</f>
        <v>0.6</v>
      </c>
      <c r="J257" s="93">
        <f t="shared" si="32"/>
        <v>7.4999999999999997E-2</v>
      </c>
      <c r="K257" s="93">
        <f>SUMIFS(Table1[Horas efetivas],Table1[Tabela],Plano_V3!E257,Table1[Campo],Plano_V3!F257)</f>
        <v>0.6</v>
      </c>
      <c r="L257" s="93">
        <f t="shared" si="33"/>
        <v>7.4999999999999997E-2</v>
      </c>
      <c r="M257" s="93">
        <f t="shared" si="34"/>
        <v>1</v>
      </c>
      <c r="N257" s="98" t="s">
        <v>39</v>
      </c>
      <c r="O257" s="99">
        <f t="shared" si="35"/>
        <v>7.4999999999999997E-2</v>
      </c>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87"/>
      <c r="AU257" s="87"/>
      <c r="AV257" s="87"/>
      <c r="AW257" s="100"/>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87"/>
      <c r="EJ257" s="87"/>
      <c r="EK257" s="87"/>
      <c r="EL257" s="100"/>
      <c r="EM257" s="100"/>
      <c r="EN257" s="100"/>
      <c r="EO257" s="100"/>
      <c r="EP257" s="100"/>
      <c r="EQ257" s="100"/>
    </row>
    <row r="258" spans="1:147" outlineLevel="1">
      <c r="A258" s="31" t="str">
        <f t="shared" si="36"/>
        <v>modesg_inp_emss_vclsscp1_ftr_emss</v>
      </c>
      <c r="B258" s="76" t="s">
        <v>28</v>
      </c>
      <c r="C258" s="77" t="s">
        <v>178</v>
      </c>
      <c r="D258" s="73" t="s">
        <v>40</v>
      </c>
      <c r="E258" s="75" t="s">
        <v>205</v>
      </c>
      <c r="F258" s="73" t="s">
        <v>225</v>
      </c>
      <c r="G258" s="73" t="str">
        <f>INDEX(Auxiliar!$B$16:$B$23,MATCH(Plano_V3!H258,Auxiliar!$C$16:$C$23,0),1)</f>
        <v>1. Concluído</v>
      </c>
      <c r="H258" s="73">
        <f>VLOOKUP(A258,'Aux - pivots1'!$A:$B,2,0)</f>
        <v>1</v>
      </c>
      <c r="I258" s="93">
        <f>SUMIFS(Table1[Estimação (horas)],Table1[Tabela],Plano_V3!E258,Table1[Campo],Plano_V3!F258)</f>
        <v>0.6</v>
      </c>
      <c r="J258" s="93">
        <f t="shared" si="32"/>
        <v>7.4999999999999997E-2</v>
      </c>
      <c r="K258" s="93">
        <f>SUMIFS(Table1[Horas efetivas],Table1[Tabela],Plano_V3!E258,Table1[Campo],Plano_V3!F258)</f>
        <v>0.6</v>
      </c>
      <c r="L258" s="93">
        <f t="shared" si="33"/>
        <v>7.4999999999999997E-2</v>
      </c>
      <c r="M258" s="93">
        <f t="shared" si="34"/>
        <v>1</v>
      </c>
      <c r="N258" s="98" t="s">
        <v>39</v>
      </c>
      <c r="O258" s="99">
        <f t="shared" si="35"/>
        <v>7.4999999999999997E-2</v>
      </c>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87"/>
      <c r="AU258" s="87"/>
      <c r="AV258" s="87"/>
      <c r="AW258" s="100"/>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87"/>
      <c r="EJ258" s="87"/>
      <c r="EK258" s="87"/>
      <c r="EL258" s="100"/>
      <c r="EM258" s="100"/>
      <c r="EN258" s="100"/>
      <c r="EO258" s="100"/>
      <c r="EP258" s="100"/>
      <c r="EQ258" s="100"/>
    </row>
    <row r="259" spans="1:147" outlineLevel="1">
      <c r="A259" s="31" t="str">
        <f t="shared" si="36"/>
        <v>modesg_inp_emss_vclsscp2_ftr_emss</v>
      </c>
      <c r="B259" s="76" t="s">
        <v>28</v>
      </c>
      <c r="C259" s="77" t="s">
        <v>178</v>
      </c>
      <c r="D259" s="73" t="s">
        <v>40</v>
      </c>
      <c r="E259" s="75" t="s">
        <v>205</v>
      </c>
      <c r="F259" s="73" t="s">
        <v>226</v>
      </c>
      <c r="G259" s="73" t="str">
        <f>INDEX(Auxiliar!$B$16:$B$23,MATCH(Plano_V3!H259,Auxiliar!$C$16:$C$23,0),1)</f>
        <v>1. Concluído</v>
      </c>
      <c r="H259" s="73">
        <f>VLOOKUP(A259,'Aux - pivots1'!$A:$B,2,0)</f>
        <v>1</v>
      </c>
      <c r="I259" s="93">
        <f>SUMIFS(Table1[Estimação (horas)],Table1[Tabela],Plano_V3!E259,Table1[Campo],Plano_V3!F259)</f>
        <v>0.6</v>
      </c>
      <c r="J259" s="93">
        <f t="shared" si="32"/>
        <v>7.4999999999999997E-2</v>
      </c>
      <c r="K259" s="93">
        <f>SUMIFS(Table1[Horas efetivas],Table1[Tabela],Plano_V3!E259,Table1[Campo],Plano_V3!F259)</f>
        <v>0.6</v>
      </c>
      <c r="L259" s="93">
        <f t="shared" si="33"/>
        <v>7.4999999999999997E-2</v>
      </c>
      <c r="M259" s="93">
        <f t="shared" si="34"/>
        <v>1</v>
      </c>
      <c r="N259" s="98" t="s">
        <v>39</v>
      </c>
      <c r="O259" s="99">
        <f t="shared" si="35"/>
        <v>7.4999999999999997E-2</v>
      </c>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87"/>
      <c r="AU259" s="87"/>
      <c r="AV259" s="87"/>
      <c r="AW259" s="100"/>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87"/>
      <c r="EJ259" s="87"/>
      <c r="EK259" s="87"/>
      <c r="EL259" s="100"/>
      <c r="EM259" s="100"/>
      <c r="EN259" s="100"/>
      <c r="EO259" s="100"/>
      <c r="EP259" s="100"/>
      <c r="EQ259" s="100"/>
    </row>
    <row r="260" spans="1:147" outlineLevel="1">
      <c r="A260" s="31" t="str">
        <f t="shared" si="36"/>
        <v>modesg_inp_emss_vclsscp3_ftr_emss</v>
      </c>
      <c r="B260" s="76" t="s">
        <v>28</v>
      </c>
      <c r="C260" s="77" t="s">
        <v>178</v>
      </c>
      <c r="D260" s="73" t="s">
        <v>40</v>
      </c>
      <c r="E260" s="75" t="s">
        <v>205</v>
      </c>
      <c r="F260" s="73" t="s">
        <v>227</v>
      </c>
      <c r="G260" s="73" t="str">
        <f>INDEX(Auxiliar!$B$16:$B$23,MATCH(Plano_V3!H260,Auxiliar!$C$16:$C$23,0),1)</f>
        <v>1. Concluído</v>
      </c>
      <c r="H260" s="73">
        <f>VLOOKUP(A260,'Aux - pivots1'!$A:$B,2,0)</f>
        <v>1</v>
      </c>
      <c r="I260" s="93">
        <f>SUMIFS(Table1[Estimação (horas)],Table1[Tabela],Plano_V3!E260,Table1[Campo],Plano_V3!F260)</f>
        <v>0.6</v>
      </c>
      <c r="J260" s="93">
        <f t="shared" si="32"/>
        <v>7.4999999999999997E-2</v>
      </c>
      <c r="K260" s="93">
        <f>SUMIFS(Table1[Horas efetivas],Table1[Tabela],Plano_V3!E260,Table1[Campo],Plano_V3!F260)</f>
        <v>0.6</v>
      </c>
      <c r="L260" s="93">
        <f t="shared" si="33"/>
        <v>7.4999999999999997E-2</v>
      </c>
      <c r="M260" s="93">
        <f t="shared" si="34"/>
        <v>1</v>
      </c>
      <c r="N260" s="98" t="s">
        <v>39</v>
      </c>
      <c r="O260" s="99">
        <f t="shared" si="35"/>
        <v>7.4999999999999997E-2</v>
      </c>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87"/>
      <c r="AU260" s="87"/>
      <c r="AV260" s="87"/>
      <c r="AW260" s="100"/>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87"/>
      <c r="EJ260" s="87"/>
      <c r="EK260" s="87"/>
      <c r="EL260" s="100"/>
      <c r="EM260" s="100"/>
      <c r="EN260" s="100"/>
      <c r="EO260" s="100"/>
      <c r="EP260" s="100"/>
      <c r="EQ260" s="100"/>
    </row>
    <row r="261" spans="1:147" outlineLevel="1">
      <c r="A261" s="31" t="str">
        <f t="shared" si="36"/>
        <v>modesg_inp_km_medios_emss_vclsref_date</v>
      </c>
      <c r="B261" s="76" t="s">
        <v>28</v>
      </c>
      <c r="C261" s="77" t="s">
        <v>178</v>
      </c>
      <c r="D261" s="73" t="s">
        <v>40</v>
      </c>
      <c r="E261" s="75" t="s">
        <v>206</v>
      </c>
      <c r="F261" s="73" t="s">
        <v>73</v>
      </c>
      <c r="G261" s="73" t="str">
        <f>INDEX(Auxiliar!$B$16:$B$23,MATCH(Plano_V3!H261,Auxiliar!$C$16:$C$23,0),1)</f>
        <v>1. Concluído</v>
      </c>
      <c r="H261" s="73">
        <f>VLOOKUP(A261,'Aux - pivots1'!$A:$B,2,0)</f>
        <v>1</v>
      </c>
      <c r="I261" s="93">
        <f>SUMIFS(Table1[Estimação (horas)],Table1[Tabela],Plano_V3!E261,Table1[Campo],Plano_V3!F261)</f>
        <v>0.5</v>
      </c>
      <c r="J261" s="93">
        <f t="shared" si="32"/>
        <v>6.25E-2</v>
      </c>
      <c r="K261" s="93">
        <f>SUMIFS(Table1[Horas efetivas],Table1[Tabela],Plano_V3!E261,Table1[Campo],Plano_V3!F261)</f>
        <v>0.5</v>
      </c>
      <c r="L261" s="93">
        <f t="shared" si="33"/>
        <v>6.25E-2</v>
      </c>
      <c r="M261" s="93">
        <f t="shared" si="34"/>
        <v>1</v>
      </c>
      <c r="N261" s="98" t="s">
        <v>39</v>
      </c>
      <c r="O261" s="99">
        <f t="shared" si="35"/>
        <v>6.25E-2</v>
      </c>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87"/>
      <c r="AU261" s="87"/>
      <c r="AV261" s="87"/>
      <c r="AW261" s="100"/>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87"/>
      <c r="EJ261" s="87"/>
      <c r="EK261" s="87"/>
      <c r="EL261" s="100"/>
      <c r="EM261" s="100"/>
      <c r="EN261" s="100"/>
      <c r="EO261" s="100"/>
      <c r="EP261" s="100"/>
      <c r="EQ261" s="100"/>
    </row>
    <row r="262" spans="1:147" outlineLevel="1">
      <c r="A262" s="31" t="str">
        <f t="shared" si="36"/>
        <v>modesg_inp_km_medios_emss_vclsnome_pais</v>
      </c>
      <c r="B262" s="76" t="s">
        <v>28</v>
      </c>
      <c r="C262" s="77" t="s">
        <v>178</v>
      </c>
      <c r="D262" s="73" t="s">
        <v>40</v>
      </c>
      <c r="E262" s="75" t="s">
        <v>206</v>
      </c>
      <c r="F262" s="73" t="s">
        <v>214</v>
      </c>
      <c r="G262" s="73" t="str">
        <f>INDEX(Auxiliar!$B$16:$B$23,MATCH(Plano_V3!H262,Auxiliar!$C$16:$C$23,0),1)</f>
        <v>1. Concluído</v>
      </c>
      <c r="H262" s="73">
        <f>VLOOKUP(A262,'Aux - pivots1'!$A:$B,2,0)</f>
        <v>1</v>
      </c>
      <c r="I262" s="93">
        <f>SUMIFS(Table1[Estimação (horas)],Table1[Tabela],Plano_V3!E262,Table1[Campo],Plano_V3!F262)</f>
        <v>0.6</v>
      </c>
      <c r="J262" s="93">
        <f t="shared" si="32"/>
        <v>7.4999999999999997E-2</v>
      </c>
      <c r="K262" s="93">
        <f>SUMIFS(Table1[Horas efetivas],Table1[Tabela],Plano_V3!E262,Table1[Campo],Plano_V3!F262)</f>
        <v>0.6</v>
      </c>
      <c r="L262" s="93">
        <f t="shared" si="33"/>
        <v>7.4999999999999997E-2</v>
      </c>
      <c r="M262" s="93">
        <f t="shared" si="34"/>
        <v>1</v>
      </c>
      <c r="N262" s="98" t="s">
        <v>39</v>
      </c>
      <c r="O262" s="99">
        <f t="shared" si="35"/>
        <v>7.4999999999999997E-2</v>
      </c>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87"/>
      <c r="AU262" s="87"/>
      <c r="AV262" s="87"/>
      <c r="AW262" s="100"/>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87"/>
      <c r="EJ262" s="87"/>
      <c r="EK262" s="87"/>
      <c r="EL262" s="100"/>
      <c r="EM262" s="100"/>
      <c r="EN262" s="100"/>
      <c r="EO262" s="100"/>
      <c r="EP262" s="100"/>
      <c r="EQ262" s="100"/>
    </row>
    <row r="263" spans="1:147" outlineLevel="1">
      <c r="A263" s="31" t="str">
        <f t="shared" si="36"/>
        <v>modesg_inp_km_medios_emss_vclstipo_vcl</v>
      </c>
      <c r="B263" s="76" t="s">
        <v>28</v>
      </c>
      <c r="C263" s="77" t="s">
        <v>178</v>
      </c>
      <c r="D263" s="73" t="s">
        <v>40</v>
      </c>
      <c r="E263" s="75" t="s">
        <v>206</v>
      </c>
      <c r="F263" s="73" t="s">
        <v>228</v>
      </c>
      <c r="G263" s="73" t="str">
        <f>INDEX(Auxiliar!$B$16:$B$23,MATCH(Plano_V3!H263,Auxiliar!$C$16:$C$23,0),1)</f>
        <v>1. Concluído</v>
      </c>
      <c r="H263" s="73">
        <f>VLOOKUP(A263,'Aux - pivots1'!$A:$B,2,0)</f>
        <v>1</v>
      </c>
      <c r="I263" s="93">
        <f>SUMIFS(Table1[Estimação (horas)],Table1[Tabela],Plano_V3!E263,Table1[Campo],Plano_V3!F263)</f>
        <v>0.6</v>
      </c>
      <c r="J263" s="93">
        <f t="shared" si="32"/>
        <v>7.4999999999999997E-2</v>
      </c>
      <c r="K263" s="93">
        <f>SUMIFS(Table1[Horas efetivas],Table1[Tabela],Plano_V3!E263,Table1[Campo],Plano_V3!F263)</f>
        <v>0.6</v>
      </c>
      <c r="L263" s="93">
        <f t="shared" si="33"/>
        <v>7.4999999999999997E-2</v>
      </c>
      <c r="M263" s="93">
        <f t="shared" si="34"/>
        <v>1</v>
      </c>
      <c r="N263" s="98" t="s">
        <v>39</v>
      </c>
      <c r="O263" s="99">
        <f t="shared" si="35"/>
        <v>7.4999999999999997E-2</v>
      </c>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87"/>
      <c r="AU263" s="87"/>
      <c r="AV263" s="87"/>
      <c r="AW263" s="100"/>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87"/>
      <c r="EJ263" s="87"/>
      <c r="EK263" s="87"/>
      <c r="EL263" s="100"/>
      <c r="EM263" s="100"/>
      <c r="EN263" s="100"/>
      <c r="EO263" s="100"/>
      <c r="EP263" s="100"/>
      <c r="EQ263" s="100"/>
    </row>
    <row r="264" spans="1:147" outlineLevel="1">
      <c r="A264" s="31" t="str">
        <f t="shared" si="36"/>
        <v>modesg_inp_km_medios_emss_vclstipo_motor</v>
      </c>
      <c r="B264" s="76" t="s">
        <v>28</v>
      </c>
      <c r="C264" s="77" t="s">
        <v>178</v>
      </c>
      <c r="D264" s="73" t="s">
        <v>40</v>
      </c>
      <c r="E264" s="75" t="s">
        <v>206</v>
      </c>
      <c r="F264" s="73" t="s">
        <v>217</v>
      </c>
      <c r="G264" s="73" t="str">
        <f>INDEX(Auxiliar!$B$16:$B$23,MATCH(Plano_V3!H264,Auxiliar!$C$16:$C$23,0),1)</f>
        <v>1. Concluído</v>
      </c>
      <c r="H264" s="73">
        <f>VLOOKUP(A264,'Aux - pivots1'!$A:$B,2,0)</f>
        <v>1</v>
      </c>
      <c r="I264" s="93">
        <f>SUMIFS(Table1[Estimação (horas)],Table1[Tabela],Plano_V3!E264,Table1[Campo],Plano_V3!F264)</f>
        <v>0.6</v>
      </c>
      <c r="J264" s="93">
        <f t="shared" si="32"/>
        <v>7.4999999999999997E-2</v>
      </c>
      <c r="K264" s="93">
        <f>SUMIFS(Table1[Horas efetivas],Table1[Tabela],Plano_V3!E264,Table1[Campo],Plano_V3!F264)</f>
        <v>0.6</v>
      </c>
      <c r="L264" s="93">
        <f t="shared" si="33"/>
        <v>7.4999999999999997E-2</v>
      </c>
      <c r="M264" s="93">
        <f t="shared" si="34"/>
        <v>1</v>
      </c>
      <c r="N264" s="98" t="s">
        <v>39</v>
      </c>
      <c r="O264" s="99">
        <f t="shared" si="35"/>
        <v>7.4999999999999997E-2</v>
      </c>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87"/>
      <c r="AU264" s="87"/>
      <c r="AV264" s="87"/>
      <c r="AW264" s="100"/>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87"/>
      <c r="EJ264" s="87"/>
      <c r="EK264" s="87"/>
      <c r="EL264" s="100"/>
      <c r="EM264" s="100"/>
      <c r="EN264" s="100"/>
      <c r="EO264" s="100"/>
      <c r="EP264" s="100"/>
      <c r="EQ264" s="100"/>
    </row>
    <row r="265" spans="1:147" outlineLevel="1">
      <c r="A265" s="31" t="str">
        <f t="shared" si="36"/>
        <v>modesg_inp_km_medios_emss_vclssubgrupo</v>
      </c>
      <c r="B265" s="76" t="s">
        <v>28</v>
      </c>
      <c r="C265" s="77" t="s">
        <v>178</v>
      </c>
      <c r="D265" s="73" t="s">
        <v>40</v>
      </c>
      <c r="E265" s="75" t="s">
        <v>206</v>
      </c>
      <c r="F265" s="73" t="s">
        <v>1839</v>
      </c>
      <c r="G265" s="73" t="str">
        <f>INDEX(Auxiliar!$B$16:$B$23,MATCH(Plano_V3!H265,Auxiliar!$C$16:$C$23,0),1)</f>
        <v>1. Concluído</v>
      </c>
      <c r="H265" s="73">
        <f>VLOOKUP(A265,'Aux - pivots1'!$A:$B,2,0)</f>
        <v>1</v>
      </c>
      <c r="I265" s="93">
        <f>SUMIFS(Table1[Estimação (horas)],Table1[Tabela],Plano_V3!E265,Table1[Campo],Plano_V3!F265)</f>
        <v>0.6</v>
      </c>
      <c r="J265" s="93">
        <f t="shared" si="32"/>
        <v>7.4999999999999997E-2</v>
      </c>
      <c r="K265" s="93">
        <f>SUMIFS(Table1[Horas efetivas],Table1[Tabela],Plano_V3!E265,Table1[Campo],Plano_V3!F265)</f>
        <v>0.6</v>
      </c>
      <c r="L265" s="93">
        <f t="shared" si="33"/>
        <v>7.4999999999999997E-2</v>
      </c>
      <c r="M265" s="93">
        <f t="shared" si="34"/>
        <v>1</v>
      </c>
      <c r="N265" s="98" t="s">
        <v>39</v>
      </c>
      <c r="O265" s="99">
        <f t="shared" si="35"/>
        <v>7.4999999999999997E-2</v>
      </c>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87"/>
      <c r="AU265" s="87"/>
      <c r="AV265" s="87"/>
      <c r="AW265" s="100"/>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87"/>
      <c r="EJ265" s="87"/>
      <c r="EK265" s="87"/>
      <c r="EL265" s="100"/>
      <c r="EM265" s="100"/>
      <c r="EN265" s="100"/>
      <c r="EO265" s="100"/>
      <c r="EP265" s="100"/>
      <c r="EQ265" s="100"/>
    </row>
    <row r="266" spans="1:147" outlineLevel="1">
      <c r="A266" s="31" t="str">
        <f t="shared" si="36"/>
        <v>modesg_inp_km_medios_emss_vclsmedia_km</v>
      </c>
      <c r="B266" s="76" t="s">
        <v>28</v>
      </c>
      <c r="C266" s="77" t="s">
        <v>178</v>
      </c>
      <c r="D266" s="73" t="s">
        <v>40</v>
      </c>
      <c r="E266" s="75" t="s">
        <v>206</v>
      </c>
      <c r="F266" s="73" t="s">
        <v>229</v>
      </c>
      <c r="G266" s="73" t="str">
        <f>INDEX(Auxiliar!$B$16:$B$23,MATCH(Plano_V3!H266,Auxiliar!$C$16:$C$23,0),1)</f>
        <v>1. Concluído</v>
      </c>
      <c r="H266" s="73">
        <f>VLOOKUP(A266,'Aux - pivots1'!$A:$B,2,0)</f>
        <v>1</v>
      </c>
      <c r="I266" s="93">
        <f>SUMIFS(Table1[Estimação (horas)],Table1[Tabela],Plano_V3!E266,Table1[Campo],Plano_V3!F266)</f>
        <v>0.6</v>
      </c>
      <c r="J266" s="93">
        <f t="shared" si="32"/>
        <v>7.4999999999999997E-2</v>
      </c>
      <c r="K266" s="93">
        <f>SUMIFS(Table1[Horas efetivas],Table1[Tabela],Plano_V3!E266,Table1[Campo],Plano_V3!F266)</f>
        <v>0.6</v>
      </c>
      <c r="L266" s="93">
        <f t="shared" si="33"/>
        <v>7.4999999999999997E-2</v>
      </c>
      <c r="M266" s="93">
        <f t="shared" si="34"/>
        <v>1</v>
      </c>
      <c r="N266" s="98" t="s">
        <v>39</v>
      </c>
      <c r="O266" s="99">
        <f t="shared" si="35"/>
        <v>7.4999999999999997E-2</v>
      </c>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87"/>
      <c r="AU266" s="87"/>
      <c r="AV266" s="87"/>
      <c r="AW266" s="100"/>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87"/>
      <c r="EJ266" s="87"/>
      <c r="EK266" s="87"/>
      <c r="EL266" s="100"/>
      <c r="EM266" s="100"/>
      <c r="EN266" s="100"/>
      <c r="EO266" s="100"/>
      <c r="EP266" s="100"/>
      <c r="EQ266" s="100"/>
    </row>
    <row r="267" spans="1:147" outlineLevel="1">
      <c r="A267" s="31" t="str">
        <f t="shared" si="36"/>
        <v>modesg_inp_empr_excl_parisref_date</v>
      </c>
      <c r="B267" s="76" t="s">
        <v>28</v>
      </c>
      <c r="C267" s="77" t="s">
        <v>178</v>
      </c>
      <c r="D267" s="73" t="s">
        <v>40</v>
      </c>
      <c r="E267" s="75" t="s">
        <v>207</v>
      </c>
      <c r="F267" s="73" t="s">
        <v>73</v>
      </c>
      <c r="G267" s="73" t="str">
        <f>INDEX(Auxiliar!$B$16:$B$23,MATCH(Plano_V3!H267,Auxiliar!$C$16:$C$23,0),1)</f>
        <v>1. Concluído</v>
      </c>
      <c r="H267" s="73">
        <f>VLOOKUP(A267,'Aux - pivots1'!$A:$B,2,0)</f>
        <v>1</v>
      </c>
      <c r="I267" s="93">
        <f>SUMIFS(Table1[Estimação (horas)],Table1[Tabela],Plano_V3!E267,Table1[Campo],Plano_V3!F267)</f>
        <v>0.5</v>
      </c>
      <c r="J267" s="93">
        <f t="shared" si="32"/>
        <v>6.25E-2</v>
      </c>
      <c r="K267" s="93">
        <f>SUMIFS(Table1[Horas efetivas],Table1[Tabela],Plano_V3!E267,Table1[Campo],Plano_V3!F267)</f>
        <v>0.5</v>
      </c>
      <c r="L267" s="93">
        <f t="shared" si="33"/>
        <v>6.25E-2</v>
      </c>
      <c r="M267" s="93">
        <f t="shared" si="34"/>
        <v>1</v>
      </c>
      <c r="N267" s="98" t="s">
        <v>39</v>
      </c>
      <c r="O267" s="99">
        <f t="shared" si="35"/>
        <v>6.25E-2</v>
      </c>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87"/>
      <c r="AU267" s="87"/>
      <c r="AV267" s="87"/>
      <c r="AW267" s="100"/>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87"/>
      <c r="EJ267" s="87"/>
      <c r="EK267" s="87"/>
      <c r="EL267" s="100"/>
      <c r="EM267" s="100"/>
      <c r="EN267" s="100"/>
      <c r="EO267" s="100"/>
      <c r="EP267" s="100"/>
      <c r="EQ267" s="100"/>
    </row>
    <row r="268" spans="1:147" outlineLevel="1">
      <c r="A268" s="31" t="str">
        <f t="shared" si="36"/>
        <v>modesg_inp_empr_excl_parisisin</v>
      </c>
      <c r="B268" s="76" t="s">
        <v>28</v>
      </c>
      <c r="C268" s="77" t="s">
        <v>178</v>
      </c>
      <c r="D268" s="73" t="s">
        <v>40</v>
      </c>
      <c r="E268" s="75" t="s">
        <v>207</v>
      </c>
      <c r="F268" s="73" t="s">
        <v>230</v>
      </c>
      <c r="G268" s="73" t="str">
        <f>INDEX(Auxiliar!$B$16:$B$23,MATCH(Plano_V3!H268,Auxiliar!$C$16:$C$23,0),1)</f>
        <v>1. Concluído</v>
      </c>
      <c r="H268" s="73">
        <f>VLOOKUP(A268,'Aux - pivots1'!$A:$B,2,0)</f>
        <v>1</v>
      </c>
      <c r="I268" s="93">
        <f>SUMIFS(Table1[Estimação (horas)],Table1[Tabela],Plano_V3!E268,Table1[Campo],Plano_V3!F268)</f>
        <v>0.6</v>
      </c>
      <c r="J268" s="93">
        <f t="shared" si="32"/>
        <v>7.4999999999999997E-2</v>
      </c>
      <c r="K268" s="93">
        <f>SUMIFS(Table1[Horas efetivas],Table1[Tabela],Plano_V3!E268,Table1[Campo],Plano_V3!F268)</f>
        <v>0.6</v>
      </c>
      <c r="L268" s="93">
        <f t="shared" si="33"/>
        <v>7.4999999999999997E-2</v>
      </c>
      <c r="M268" s="93">
        <f t="shared" si="34"/>
        <v>1</v>
      </c>
      <c r="N268" s="98" t="s">
        <v>39</v>
      </c>
      <c r="O268" s="99">
        <f t="shared" si="35"/>
        <v>7.4999999999999997E-2</v>
      </c>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87"/>
      <c r="AU268" s="87"/>
      <c r="AV268" s="87"/>
      <c r="AW268" s="100"/>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87"/>
      <c r="EJ268" s="87"/>
      <c r="EK268" s="87"/>
      <c r="EL268" s="100"/>
      <c r="EM268" s="100"/>
      <c r="EN268" s="100"/>
      <c r="EO268" s="100"/>
      <c r="EP268" s="100"/>
      <c r="EQ268" s="100"/>
    </row>
    <row r="269" spans="1:147" outlineLevel="1">
      <c r="A269" s="31" t="str">
        <f t="shared" si="36"/>
        <v>modesg_inp_empr_excl_parisclei</v>
      </c>
      <c r="B269" s="76" t="s">
        <v>28</v>
      </c>
      <c r="C269" s="77" t="s">
        <v>178</v>
      </c>
      <c r="D269" s="73" t="s">
        <v>40</v>
      </c>
      <c r="E269" s="75" t="s">
        <v>207</v>
      </c>
      <c r="F269" s="73" t="s">
        <v>231</v>
      </c>
      <c r="G269" s="73" t="str">
        <f>INDEX(Auxiliar!$B$16:$B$23,MATCH(Plano_V3!H269,Auxiliar!$C$16:$C$23,0),1)</f>
        <v>1. Concluído</v>
      </c>
      <c r="H269" s="73">
        <f>VLOOKUP(A269,'Aux - pivots1'!$A:$B,2,0)</f>
        <v>1</v>
      </c>
      <c r="I269" s="93">
        <f>SUMIFS(Table1[Estimação (horas)],Table1[Tabela],Plano_V3!E269,Table1[Campo],Plano_V3!F269)</f>
        <v>0.6</v>
      </c>
      <c r="J269" s="93">
        <f t="shared" si="32"/>
        <v>7.4999999999999997E-2</v>
      </c>
      <c r="K269" s="93">
        <f>SUMIFS(Table1[Horas efetivas],Table1[Tabela],Plano_V3!E269,Table1[Campo],Plano_V3!F269)</f>
        <v>0.6</v>
      </c>
      <c r="L269" s="93">
        <f t="shared" si="33"/>
        <v>7.4999999999999997E-2</v>
      </c>
      <c r="M269" s="93">
        <f t="shared" si="34"/>
        <v>1</v>
      </c>
      <c r="N269" s="98" t="s">
        <v>39</v>
      </c>
      <c r="O269" s="99">
        <f t="shared" si="35"/>
        <v>7.4999999999999997E-2</v>
      </c>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87"/>
      <c r="AU269" s="87"/>
      <c r="AV269" s="87"/>
      <c r="AW269" s="100"/>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87"/>
      <c r="EJ269" s="87"/>
      <c r="EK269" s="87"/>
      <c r="EL269" s="100"/>
      <c r="EM269" s="100"/>
      <c r="EN269" s="100"/>
      <c r="EO269" s="100"/>
      <c r="EP269" s="100"/>
      <c r="EQ269" s="100"/>
    </row>
    <row r="270" spans="1:147" outlineLevel="1">
      <c r="A270" s="31" t="str">
        <f t="shared" si="36"/>
        <v>modesg_inp_empr_excl_parisccli_kgl</v>
      </c>
      <c r="B270" s="76" t="s">
        <v>28</v>
      </c>
      <c r="C270" s="77" t="s">
        <v>178</v>
      </c>
      <c r="D270" s="73" t="s">
        <v>40</v>
      </c>
      <c r="E270" s="75" t="s">
        <v>207</v>
      </c>
      <c r="F270" s="73" t="s">
        <v>232</v>
      </c>
      <c r="G270" s="73" t="str">
        <f>INDEX(Auxiliar!$B$16:$B$23,MATCH(Plano_V3!H270,Auxiliar!$C$16:$C$23,0),1)</f>
        <v>1. Concluído</v>
      </c>
      <c r="H270" s="73">
        <f>VLOOKUP(A270,'Aux - pivots1'!$A:$B,2,0)</f>
        <v>1</v>
      </c>
      <c r="I270" s="93">
        <f>SUMIFS(Table1[Estimação (horas)],Table1[Tabela],Plano_V3!E270,Table1[Campo],Plano_V3!F270)</f>
        <v>0.6</v>
      </c>
      <c r="J270" s="93">
        <f t="shared" si="32"/>
        <v>7.4999999999999997E-2</v>
      </c>
      <c r="K270" s="93">
        <f>SUMIFS(Table1[Horas efetivas],Table1[Tabela],Plano_V3!E270,Table1[Campo],Plano_V3!F270)</f>
        <v>0.6</v>
      </c>
      <c r="L270" s="93">
        <f t="shared" si="33"/>
        <v>7.4999999999999997E-2</v>
      </c>
      <c r="M270" s="93">
        <f t="shared" si="34"/>
        <v>1</v>
      </c>
      <c r="N270" s="98" t="s">
        <v>39</v>
      </c>
      <c r="O270" s="99">
        <f t="shared" si="35"/>
        <v>7.4999999999999997E-2</v>
      </c>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87"/>
      <c r="AU270" s="87"/>
      <c r="AV270" s="87"/>
      <c r="AW270" s="100"/>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87"/>
      <c r="EJ270" s="87"/>
      <c r="EK270" s="87"/>
      <c r="EL270" s="100"/>
      <c r="EM270" s="100"/>
      <c r="EN270" s="100"/>
      <c r="EO270" s="100"/>
      <c r="EP270" s="100"/>
      <c r="EQ270" s="100"/>
    </row>
    <row r="271" spans="1:147" outlineLevel="1">
      <c r="A271" s="31" t="str">
        <f t="shared" si="36"/>
        <v>modesg_inp_empr_excl_parisnome_entidade</v>
      </c>
      <c r="B271" s="76" t="s">
        <v>28</v>
      </c>
      <c r="C271" s="77" t="s">
        <v>178</v>
      </c>
      <c r="D271" s="73" t="s">
        <v>40</v>
      </c>
      <c r="E271" s="75" t="s">
        <v>207</v>
      </c>
      <c r="F271" s="73" t="s">
        <v>233</v>
      </c>
      <c r="G271" s="73" t="str">
        <f>INDEX(Auxiliar!$B$16:$B$23,MATCH(Plano_V3!H271,Auxiliar!$C$16:$C$23,0),1)</f>
        <v>1. Concluído</v>
      </c>
      <c r="H271" s="73">
        <f>VLOOKUP(A271,'Aux - pivots1'!$A:$B,2,0)</f>
        <v>1</v>
      </c>
      <c r="I271" s="93">
        <f>SUMIFS(Table1[Estimação (horas)],Table1[Tabela],Plano_V3!E271,Table1[Campo],Plano_V3!F271)</f>
        <v>0.5</v>
      </c>
      <c r="J271" s="93">
        <f t="shared" ref="J271:J335" si="41">I271/8</f>
        <v>6.25E-2</v>
      </c>
      <c r="K271" s="93">
        <f>SUMIFS(Table1[Horas efetivas],Table1[Tabela],Plano_V3!E271,Table1[Campo],Plano_V3!F271)</f>
        <v>0.5</v>
      </c>
      <c r="L271" s="93">
        <f t="shared" si="33"/>
        <v>6.25E-2</v>
      </c>
      <c r="M271" s="93">
        <f t="shared" si="34"/>
        <v>1</v>
      </c>
      <c r="N271" s="98" t="s">
        <v>39</v>
      </c>
      <c r="O271" s="99">
        <f t="shared" si="35"/>
        <v>6.25E-2</v>
      </c>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87"/>
      <c r="AU271" s="87"/>
      <c r="AV271" s="87"/>
      <c r="AW271" s="100"/>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87"/>
      <c r="EJ271" s="87"/>
      <c r="EK271" s="87"/>
      <c r="EL271" s="100"/>
      <c r="EM271" s="100"/>
      <c r="EN271" s="100"/>
      <c r="EO271" s="100"/>
      <c r="EP271" s="100"/>
      <c r="EQ271" s="100"/>
    </row>
    <row r="272" spans="1:147" outlineLevel="1">
      <c r="A272" s="31" t="str">
        <f t="shared" si="36"/>
        <v>modesg_inp_empr_excl_parisflg_scib</v>
      </c>
      <c r="B272" s="76" t="s">
        <v>28</v>
      </c>
      <c r="C272" s="77" t="s">
        <v>178</v>
      </c>
      <c r="D272" s="73" t="s">
        <v>40</v>
      </c>
      <c r="E272" s="75" t="s">
        <v>207</v>
      </c>
      <c r="F272" s="73" t="s">
        <v>234</v>
      </c>
      <c r="G272" s="73" t="str">
        <f>INDEX(Auxiliar!$B$16:$B$23,MATCH(Plano_V3!H272,Auxiliar!$C$16:$C$23,0),1)</f>
        <v>1. Concluído</v>
      </c>
      <c r="H272" s="73">
        <f>VLOOKUP(A272,'Aux - pivots1'!$A:$B,2,0)</f>
        <v>1</v>
      </c>
      <c r="I272" s="93">
        <f>SUMIFS(Table1[Estimação (horas)],Table1[Tabela],Plano_V3!E272,Table1[Campo],Plano_V3!F272)</f>
        <v>0.5</v>
      </c>
      <c r="J272" s="93">
        <f t="shared" si="41"/>
        <v>6.25E-2</v>
      </c>
      <c r="K272" s="93">
        <f>SUMIFS(Table1[Horas efetivas],Table1[Tabela],Plano_V3!E272,Table1[Campo],Plano_V3!F272)</f>
        <v>0.5</v>
      </c>
      <c r="L272" s="93">
        <f t="shared" ref="L272:L336" si="42">K272/8</f>
        <v>6.25E-2</v>
      </c>
      <c r="M272" s="93">
        <f t="shared" ref="M272:M336" si="43">L272/J272</f>
        <v>1</v>
      </c>
      <c r="N272" s="98" t="s">
        <v>39</v>
      </c>
      <c r="O272" s="99">
        <f t="shared" si="35"/>
        <v>6.25E-2</v>
      </c>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87"/>
      <c r="AU272" s="87"/>
      <c r="AV272" s="87"/>
      <c r="AW272" s="100"/>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87"/>
      <c r="EJ272" s="87"/>
      <c r="EK272" s="87"/>
      <c r="EL272" s="100"/>
      <c r="EM272" s="100"/>
      <c r="EN272" s="100"/>
      <c r="EO272" s="100"/>
      <c r="EP272" s="100"/>
      <c r="EQ272" s="100"/>
    </row>
    <row r="273" spans="1:147" outlineLevel="1">
      <c r="A273" s="31" t="str">
        <f t="shared" si="36"/>
        <v>modesg_inp_empr_excl_parisnome_pais</v>
      </c>
      <c r="B273" s="76" t="s">
        <v>28</v>
      </c>
      <c r="C273" s="77" t="s">
        <v>178</v>
      </c>
      <c r="D273" s="73" t="s">
        <v>40</v>
      </c>
      <c r="E273" s="75" t="s">
        <v>207</v>
      </c>
      <c r="F273" s="73" t="s">
        <v>214</v>
      </c>
      <c r="G273" s="73" t="str">
        <f>INDEX(Auxiliar!$B$16:$B$23,MATCH(Plano_V3!H273,Auxiliar!$C$16:$C$23,0),1)</f>
        <v>1. Concluído</v>
      </c>
      <c r="H273" s="73">
        <f>VLOOKUP(A273,'Aux - pivots1'!$A:$B,2,0)</f>
        <v>1</v>
      </c>
      <c r="I273" s="93">
        <f>SUMIFS(Table1[Estimação (horas)],Table1[Tabela],Plano_V3!E273,Table1[Campo],Plano_V3!F273)</f>
        <v>0.5</v>
      </c>
      <c r="J273" s="93">
        <f t="shared" si="41"/>
        <v>6.25E-2</v>
      </c>
      <c r="K273" s="93">
        <f>SUMIFS(Table1[Horas efetivas],Table1[Tabela],Plano_V3!E273,Table1[Campo],Plano_V3!F273)</f>
        <v>0.5</v>
      </c>
      <c r="L273" s="93">
        <f t="shared" si="42"/>
        <v>6.25E-2</v>
      </c>
      <c r="M273" s="93">
        <f t="shared" si="43"/>
        <v>1</v>
      </c>
      <c r="N273" s="98" t="s">
        <v>39</v>
      </c>
      <c r="O273" s="99">
        <f t="shared" si="35"/>
        <v>6.25E-2</v>
      </c>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87"/>
      <c r="AU273" s="87"/>
      <c r="AV273" s="87"/>
      <c r="AW273" s="100"/>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87"/>
      <c r="EJ273" s="87"/>
      <c r="EK273" s="87"/>
      <c r="EL273" s="100"/>
      <c r="EM273" s="100"/>
      <c r="EN273" s="100"/>
      <c r="EO273" s="100"/>
      <c r="EP273" s="100"/>
      <c r="EQ273" s="100"/>
    </row>
    <row r="274" spans="1:147" outlineLevel="1">
      <c r="A274" s="31" t="str">
        <f t="shared" si="36"/>
        <v>modesg_inp_nfrd_alinhamento_taxref_date</v>
      </c>
      <c r="B274" s="76" t="s">
        <v>28</v>
      </c>
      <c r="C274" s="77" t="s">
        <v>178</v>
      </c>
      <c r="D274" s="73" t="s">
        <v>40</v>
      </c>
      <c r="E274" s="75" t="s">
        <v>208</v>
      </c>
      <c r="F274" s="73" t="s">
        <v>73</v>
      </c>
      <c r="G274" s="73" t="str">
        <f>INDEX(Auxiliar!$B$16:$B$23,MATCH(Plano_V3!H274,Auxiliar!$C$16:$C$23,0),1)</f>
        <v>1. Concluído</v>
      </c>
      <c r="H274" s="73">
        <f>VLOOKUP(A274,'Aux - pivots1'!$A:$B,2,0)</f>
        <v>1</v>
      </c>
      <c r="I274" s="93">
        <f>SUMIFS(Table1[Estimação (horas)],Table1[Tabela],Plano_V3!E274,Table1[Campo],Plano_V3!F274)</f>
        <v>0.5</v>
      </c>
      <c r="J274" s="93">
        <f t="shared" si="41"/>
        <v>6.25E-2</v>
      </c>
      <c r="K274" s="93">
        <f>SUMIFS(Table1[Horas efetivas],Table1[Tabela],Plano_V3!E274,Table1[Campo],Plano_V3!F274)</f>
        <v>0.5</v>
      </c>
      <c r="L274" s="93">
        <f t="shared" si="42"/>
        <v>6.25E-2</v>
      </c>
      <c r="M274" s="93">
        <f t="shared" si="43"/>
        <v>1</v>
      </c>
      <c r="N274" s="98" t="s">
        <v>39</v>
      </c>
      <c r="O274" s="99">
        <f t="shared" si="35"/>
        <v>6.25E-2</v>
      </c>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87"/>
      <c r="AU274" s="87"/>
      <c r="AV274" s="87"/>
      <c r="AW274" s="100"/>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87"/>
      <c r="EJ274" s="87"/>
      <c r="EK274" s="87"/>
      <c r="EL274" s="100"/>
      <c r="EM274" s="100"/>
      <c r="EN274" s="100"/>
      <c r="EO274" s="100"/>
      <c r="EP274" s="100"/>
      <c r="EQ274" s="100"/>
    </row>
    <row r="275" spans="1:147" outlineLevel="1">
      <c r="A275" s="31" t="str">
        <f t="shared" si="36"/>
        <v>modesg_inp_nfrd_alinhamento_taxccli_kgl</v>
      </c>
      <c r="B275" s="76" t="s">
        <v>28</v>
      </c>
      <c r="C275" s="77" t="s">
        <v>178</v>
      </c>
      <c r="D275" s="73" t="s">
        <v>40</v>
      </c>
      <c r="E275" s="75" t="s">
        <v>208</v>
      </c>
      <c r="F275" s="73" t="s">
        <v>232</v>
      </c>
      <c r="G275" s="73" t="str">
        <f>INDEX(Auxiliar!$B$16:$B$23,MATCH(Plano_V3!H275,Auxiliar!$C$16:$C$23,0),1)</f>
        <v>1. Concluído</v>
      </c>
      <c r="H275" s="73">
        <f>VLOOKUP(A275,'Aux - pivots1'!$A:$B,2,0)</f>
        <v>1</v>
      </c>
      <c r="I275" s="93">
        <f>SUMIFS(Table1[Estimação (horas)],Table1[Tabela],Plano_V3!E275,Table1[Campo],Plano_V3!F275)</f>
        <v>0.6</v>
      </c>
      <c r="J275" s="93">
        <f t="shared" si="41"/>
        <v>7.4999999999999997E-2</v>
      </c>
      <c r="K275" s="93">
        <f>SUMIFS(Table1[Horas efetivas],Table1[Tabela],Plano_V3!E275,Table1[Campo],Plano_V3!F275)</f>
        <v>0.6</v>
      </c>
      <c r="L275" s="93">
        <f t="shared" si="42"/>
        <v>7.4999999999999997E-2</v>
      </c>
      <c r="M275" s="93">
        <f t="shared" si="43"/>
        <v>1</v>
      </c>
      <c r="N275" s="98" t="s">
        <v>39</v>
      </c>
      <c r="O275" s="99">
        <f t="shared" si="35"/>
        <v>7.4999999999999997E-2</v>
      </c>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87"/>
      <c r="AU275" s="87"/>
      <c r="AV275" s="87"/>
      <c r="AW275" s="100"/>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87"/>
      <c r="EJ275" s="87"/>
      <c r="EK275" s="87"/>
      <c r="EL275" s="100"/>
      <c r="EM275" s="100"/>
      <c r="EN275" s="100"/>
      <c r="EO275" s="100"/>
      <c r="EP275" s="100"/>
      <c r="EQ275" s="100"/>
    </row>
    <row r="276" spans="1:147" outlineLevel="1">
      <c r="A276" s="31" t="str">
        <f t="shared" si="36"/>
        <v>modesg_inp_nfrd_alinhamento_taxclei</v>
      </c>
      <c r="B276" s="76" t="s">
        <v>28</v>
      </c>
      <c r="C276" s="77" t="s">
        <v>178</v>
      </c>
      <c r="D276" s="73" t="s">
        <v>40</v>
      </c>
      <c r="E276" s="75" t="s">
        <v>208</v>
      </c>
      <c r="F276" s="73" t="s">
        <v>231</v>
      </c>
      <c r="G276" s="73" t="str">
        <f>INDEX(Auxiliar!$B$16:$B$23,MATCH(Plano_V3!H276,Auxiliar!$C$16:$C$23,0),1)</f>
        <v>1. Concluído</v>
      </c>
      <c r="H276" s="73">
        <f>VLOOKUP(A276,'Aux - pivots1'!$A:$B,2,0)</f>
        <v>1</v>
      </c>
      <c r="I276" s="93">
        <f>SUMIFS(Table1[Estimação (horas)],Table1[Tabela],Plano_V3!E276,Table1[Campo],Plano_V3!F276)</f>
        <v>0.6</v>
      </c>
      <c r="J276" s="93">
        <f t="shared" si="41"/>
        <v>7.4999999999999997E-2</v>
      </c>
      <c r="K276" s="93">
        <f>SUMIFS(Table1[Horas efetivas],Table1[Tabela],Plano_V3!E276,Table1[Campo],Plano_V3!F276)</f>
        <v>0.6</v>
      </c>
      <c r="L276" s="93">
        <f t="shared" si="42"/>
        <v>7.4999999999999997E-2</v>
      </c>
      <c r="M276" s="93">
        <f t="shared" si="43"/>
        <v>1</v>
      </c>
      <c r="N276" s="98" t="s">
        <v>39</v>
      </c>
      <c r="O276" s="99">
        <f t="shared" si="35"/>
        <v>7.4999999999999997E-2</v>
      </c>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87"/>
      <c r="AU276" s="87"/>
      <c r="AV276" s="87"/>
      <c r="AW276" s="100"/>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87"/>
      <c r="EJ276" s="87"/>
      <c r="EK276" s="87"/>
      <c r="EL276" s="100"/>
      <c r="EM276" s="100"/>
      <c r="EN276" s="100"/>
      <c r="EO276" s="100"/>
      <c r="EP276" s="100"/>
      <c r="EQ276" s="100"/>
    </row>
    <row r="277" spans="1:147" outlineLevel="1">
      <c r="A277" s="31" t="str">
        <f t="shared" si="36"/>
        <v>modesg_inp_nfrd_alinhamento_taxperm_id</v>
      </c>
      <c r="B277" s="76" t="s">
        <v>28</v>
      </c>
      <c r="C277" s="77" t="s">
        <v>178</v>
      </c>
      <c r="D277" s="73" t="s">
        <v>40</v>
      </c>
      <c r="E277" s="75" t="s">
        <v>208</v>
      </c>
      <c r="F277" s="73" t="s">
        <v>235</v>
      </c>
      <c r="G277" s="73" t="str">
        <f>INDEX(Auxiliar!$B$16:$B$23,MATCH(Plano_V3!H277,Auxiliar!$C$16:$C$23,0),1)</f>
        <v>1. Concluído</v>
      </c>
      <c r="H277" s="73">
        <f>VLOOKUP(A277,'Aux - pivots1'!$A:$B,2,0)</f>
        <v>1</v>
      </c>
      <c r="I277" s="93">
        <f>SUMIFS(Table1[Estimação (horas)],Table1[Tabela],Plano_V3!E277,Table1[Campo],Plano_V3!F277)</f>
        <v>0.5</v>
      </c>
      <c r="J277" s="93">
        <f t="shared" si="41"/>
        <v>6.25E-2</v>
      </c>
      <c r="K277" s="93">
        <f>SUMIFS(Table1[Horas efetivas],Table1[Tabela],Plano_V3!E277,Table1[Campo],Plano_V3!F277)</f>
        <v>0.5</v>
      </c>
      <c r="L277" s="93">
        <f t="shared" si="42"/>
        <v>6.25E-2</v>
      </c>
      <c r="M277" s="93">
        <f t="shared" si="43"/>
        <v>1</v>
      </c>
      <c r="N277" s="98" t="s">
        <v>39</v>
      </c>
      <c r="O277" s="99">
        <f t="shared" si="35"/>
        <v>6.25E-2</v>
      </c>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87"/>
      <c r="AU277" s="87"/>
      <c r="AV277" s="87"/>
      <c r="AW277" s="100"/>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87"/>
      <c r="EJ277" s="87"/>
      <c r="EK277" s="87"/>
      <c r="EL277" s="100"/>
      <c r="EM277" s="100"/>
      <c r="EN277" s="100"/>
      <c r="EO277" s="100"/>
      <c r="EP277" s="100"/>
      <c r="EQ277" s="100"/>
    </row>
    <row r="278" spans="1:147" outlineLevel="1">
      <c r="A278" s="31" t="str">
        <f t="shared" si="36"/>
        <v>modesg_inp_nfrd_alinhamento_taxnome_entidade</v>
      </c>
      <c r="B278" s="76" t="s">
        <v>28</v>
      </c>
      <c r="C278" s="77" t="s">
        <v>178</v>
      </c>
      <c r="D278" s="73" t="s">
        <v>40</v>
      </c>
      <c r="E278" s="75" t="s">
        <v>208</v>
      </c>
      <c r="F278" s="73" t="s">
        <v>233</v>
      </c>
      <c r="G278" s="73" t="str">
        <f>INDEX(Auxiliar!$B$16:$B$23,MATCH(Plano_V3!H278,Auxiliar!$C$16:$C$23,0),1)</f>
        <v>1. Concluído</v>
      </c>
      <c r="H278" s="73">
        <f>VLOOKUP(A278,'Aux - pivots1'!$A:$B,2,0)</f>
        <v>1</v>
      </c>
      <c r="I278" s="93">
        <f>SUMIFS(Table1[Estimação (horas)],Table1[Tabela],Plano_V3!E278,Table1[Campo],Plano_V3!F278)</f>
        <v>0.5</v>
      </c>
      <c r="J278" s="93">
        <f t="shared" si="41"/>
        <v>6.25E-2</v>
      </c>
      <c r="K278" s="93">
        <f>SUMIFS(Table1[Horas efetivas],Table1[Tabela],Plano_V3!E278,Table1[Campo],Plano_V3!F278)</f>
        <v>0.5</v>
      </c>
      <c r="L278" s="93">
        <f t="shared" si="42"/>
        <v>6.25E-2</v>
      </c>
      <c r="M278" s="93">
        <f t="shared" si="43"/>
        <v>1</v>
      </c>
      <c r="N278" s="98" t="s">
        <v>39</v>
      </c>
      <c r="O278" s="99">
        <f t="shared" si="35"/>
        <v>6.25E-2</v>
      </c>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87"/>
      <c r="AU278" s="87"/>
      <c r="AV278" s="87"/>
      <c r="AW278" s="100"/>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87"/>
      <c r="EJ278" s="87"/>
      <c r="EK278" s="87"/>
      <c r="EL278" s="100"/>
      <c r="EM278" s="100"/>
      <c r="EN278" s="100"/>
      <c r="EO278" s="100"/>
      <c r="EP278" s="100"/>
      <c r="EQ278" s="100"/>
    </row>
    <row r="279" spans="1:147" outlineLevel="1">
      <c r="A279" s="31" t="str">
        <f>E279&amp;F279</f>
        <v>modesg_inp_nfrd_alinhamento_taxnome_pais</v>
      </c>
      <c r="B279" s="76" t="s">
        <v>28</v>
      </c>
      <c r="C279" s="77" t="s">
        <v>178</v>
      </c>
      <c r="D279" s="73" t="s">
        <v>40</v>
      </c>
      <c r="E279" s="75" t="s">
        <v>208</v>
      </c>
      <c r="F279" s="73" t="s">
        <v>214</v>
      </c>
      <c r="G279" s="73" t="str">
        <f>INDEX(Auxiliar!$B$16:$B$23,MATCH(Plano_V3!H279,Auxiliar!$C$16:$C$23,0),1)</f>
        <v>1. Concluído</v>
      </c>
      <c r="H279" s="73">
        <f>VLOOKUP(A279,'Aux - pivots1'!$A:$B,2,0)</f>
        <v>1</v>
      </c>
      <c r="I279" s="93"/>
      <c r="J279" s="93"/>
      <c r="K279" s="93"/>
      <c r="L279" s="93"/>
      <c r="M279" s="93"/>
      <c r="N279" s="98" t="s">
        <v>39</v>
      </c>
      <c r="O279" s="99"/>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87"/>
      <c r="AU279" s="87"/>
      <c r="AV279" s="87"/>
      <c r="AW279" s="100"/>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87"/>
      <c r="EJ279" s="87"/>
      <c r="EK279" s="87"/>
      <c r="EL279" s="100"/>
      <c r="EM279" s="100"/>
      <c r="EN279" s="100"/>
      <c r="EO279" s="100"/>
      <c r="EP279" s="100"/>
      <c r="EQ279" s="100"/>
    </row>
    <row r="280" spans="1:147" outlineLevel="1">
      <c r="A280" s="31" t="str">
        <f t="shared" si="36"/>
        <v>modesg_inp_nfrd_alinhamento_taxflg_nfrd</v>
      </c>
      <c r="B280" s="76" t="s">
        <v>28</v>
      </c>
      <c r="C280" s="77" t="s">
        <v>178</v>
      </c>
      <c r="D280" s="73" t="s">
        <v>40</v>
      </c>
      <c r="E280" s="75" t="s">
        <v>208</v>
      </c>
      <c r="F280" s="73" t="s">
        <v>236</v>
      </c>
      <c r="G280" s="73" t="str">
        <f>INDEX(Auxiliar!$B$16:$B$23,MATCH(Plano_V3!H280,Auxiliar!$C$16:$C$23,0),1)</f>
        <v>1. Concluído</v>
      </c>
      <c r="H280" s="73">
        <f>VLOOKUP(A280,'Aux - pivots1'!$A:$B,2,0)</f>
        <v>1</v>
      </c>
      <c r="I280" s="93">
        <f>SUMIFS(Table1[Estimação (horas)],Table1[Tabela],Plano_V3!E280,Table1[Campo],Plano_V3!F280)</f>
        <v>0.5</v>
      </c>
      <c r="J280" s="93">
        <f t="shared" si="41"/>
        <v>6.25E-2</v>
      </c>
      <c r="K280" s="93">
        <f>SUMIFS(Table1[Horas efetivas],Table1[Tabela],Plano_V3!E280,Table1[Campo],Plano_V3!F280)</f>
        <v>0.5</v>
      </c>
      <c r="L280" s="93">
        <f t="shared" si="42"/>
        <v>6.25E-2</v>
      </c>
      <c r="M280" s="93">
        <f t="shared" si="43"/>
        <v>1</v>
      </c>
      <c r="N280" s="98" t="s">
        <v>39</v>
      </c>
      <c r="O280" s="99">
        <f t="shared" si="35"/>
        <v>6.25E-2</v>
      </c>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87"/>
      <c r="AU280" s="87"/>
      <c r="AV280" s="87"/>
      <c r="AW280" s="100"/>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87"/>
      <c r="EJ280" s="87"/>
      <c r="EK280" s="87"/>
      <c r="EL280" s="100"/>
      <c r="EM280" s="100"/>
      <c r="EN280" s="100"/>
      <c r="EO280" s="100"/>
      <c r="EP280" s="100"/>
      <c r="EQ280" s="100"/>
    </row>
    <row r="281" spans="1:147" outlineLevel="1">
      <c r="A281" s="31" t="str">
        <f t="shared" si="36"/>
        <v>modesg_inp_nfrd_alinhamento_taxcca_trnvr_ttl_elgbl</v>
      </c>
      <c r="B281" s="76" t="s">
        <v>28</v>
      </c>
      <c r="C281" s="77" t="s">
        <v>178</v>
      </c>
      <c r="D281" s="73" t="s">
        <v>40</v>
      </c>
      <c r="E281" s="75" t="s">
        <v>208</v>
      </c>
      <c r="F281" s="73" t="s">
        <v>237</v>
      </c>
      <c r="G281" s="73" t="str">
        <f>INDEX(Auxiliar!$B$16:$B$23,MATCH(Plano_V3!H281,Auxiliar!$C$16:$C$23,0),1)</f>
        <v>1. Concluído</v>
      </c>
      <c r="H281" s="73">
        <f>VLOOKUP(A281,'Aux - pivots1'!$A:$B,2,0)</f>
        <v>1</v>
      </c>
      <c r="I281" s="93">
        <f>SUMIFS(Table1[Estimação (horas)],Table1[Tabela],Plano_V3!E281,Table1[Campo],Plano_V3!F281)</f>
        <v>0.6</v>
      </c>
      <c r="J281" s="93">
        <f t="shared" si="41"/>
        <v>7.4999999999999997E-2</v>
      </c>
      <c r="K281" s="93">
        <f>SUMIFS(Table1[Horas efetivas],Table1[Tabela],Plano_V3!E281,Table1[Campo],Plano_V3!F281)</f>
        <v>0.6</v>
      </c>
      <c r="L281" s="93">
        <f t="shared" si="42"/>
        <v>7.4999999999999997E-2</v>
      </c>
      <c r="M281" s="93">
        <f t="shared" si="43"/>
        <v>1</v>
      </c>
      <c r="N281" s="98" t="s">
        <v>39</v>
      </c>
      <c r="O281" s="99">
        <f t="shared" si="35"/>
        <v>7.4999999999999997E-2</v>
      </c>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87"/>
      <c r="AU281" s="87"/>
      <c r="AV281" s="87"/>
      <c r="AW281" s="100"/>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87"/>
      <c r="EJ281" s="87"/>
      <c r="EK281" s="87"/>
      <c r="EL281" s="100"/>
      <c r="EM281" s="100"/>
      <c r="EN281" s="100"/>
      <c r="EO281" s="100"/>
      <c r="EP281" s="100"/>
      <c r="EQ281" s="100"/>
    </row>
    <row r="282" spans="1:147" outlineLevel="1">
      <c r="A282" s="31" t="str">
        <f t="shared" si="36"/>
        <v>modesg_inp_nfrd_alinhamento_taxcca_trnvr_enblng_alignd</v>
      </c>
      <c r="B282" s="76" t="s">
        <v>28</v>
      </c>
      <c r="C282" s="77" t="s">
        <v>178</v>
      </c>
      <c r="D282" s="73" t="s">
        <v>40</v>
      </c>
      <c r="E282" s="75" t="s">
        <v>208</v>
      </c>
      <c r="F282" s="73" t="s">
        <v>238</v>
      </c>
      <c r="G282" s="73" t="str">
        <f>INDEX(Auxiliar!$B$16:$B$23,MATCH(Plano_V3!H282,Auxiliar!$C$16:$C$23,0),1)</f>
        <v>1. Concluído</v>
      </c>
      <c r="H282" s="73">
        <f>VLOOKUP(A282,'Aux - pivots1'!$A:$B,2,0)</f>
        <v>1</v>
      </c>
      <c r="I282" s="93">
        <f>SUMIFS(Table1[Estimação (horas)],Table1[Tabela],Plano_V3!E282,Table1[Campo],Plano_V3!F282)</f>
        <v>0.6</v>
      </c>
      <c r="J282" s="93">
        <f t="shared" si="41"/>
        <v>7.4999999999999997E-2</v>
      </c>
      <c r="K282" s="93">
        <f>SUMIFS(Table1[Horas efetivas],Table1[Tabela],Plano_V3!E282,Table1[Campo],Plano_V3!F282)</f>
        <v>0.6</v>
      </c>
      <c r="L282" s="93">
        <f t="shared" si="42"/>
        <v>7.4999999999999997E-2</v>
      </c>
      <c r="M282" s="93">
        <f t="shared" si="43"/>
        <v>1</v>
      </c>
      <c r="N282" s="98" t="s">
        <v>39</v>
      </c>
      <c r="O282" s="99">
        <f t="shared" si="35"/>
        <v>7.4999999999999997E-2</v>
      </c>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87"/>
      <c r="AU282" s="87"/>
      <c r="AV282" s="87"/>
      <c r="AW282" s="100"/>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87"/>
      <c r="EJ282" s="87"/>
      <c r="EK282" s="87"/>
      <c r="EL282" s="100"/>
      <c r="EM282" s="100"/>
      <c r="EN282" s="100"/>
      <c r="EO282" s="100"/>
      <c r="EP282" s="100"/>
      <c r="EQ282" s="100"/>
    </row>
    <row r="283" spans="1:147" outlineLevel="1">
      <c r="A283" s="31" t="str">
        <f t="shared" si="36"/>
        <v>modesg_inp_nfrd_alinhamento_taxcca_turnover_own_prfrmnce_algnd</v>
      </c>
      <c r="B283" s="76" t="s">
        <v>28</v>
      </c>
      <c r="C283" s="77" t="s">
        <v>178</v>
      </c>
      <c r="D283" s="73" t="s">
        <v>40</v>
      </c>
      <c r="E283" s="75" t="s">
        <v>208</v>
      </c>
      <c r="F283" s="73" t="s">
        <v>239</v>
      </c>
      <c r="G283" s="73" t="str">
        <f>INDEX(Auxiliar!$B$16:$B$23,MATCH(Plano_V3!H283,Auxiliar!$C$16:$C$23,0),1)</f>
        <v>1. Concluído</v>
      </c>
      <c r="H283" s="73">
        <f>VLOOKUP(A283,'Aux - pivots1'!$A:$B,2,0)</f>
        <v>1</v>
      </c>
      <c r="I283" s="93">
        <f>SUMIFS(Table1[Estimação (horas)],Table1[Tabela],Plano_V3!E283,Table1[Campo],Plano_V3!F283)</f>
        <v>0.6</v>
      </c>
      <c r="J283" s="93">
        <f t="shared" si="41"/>
        <v>7.4999999999999997E-2</v>
      </c>
      <c r="K283" s="93">
        <f>SUMIFS(Table1[Horas efetivas],Table1[Tabela],Plano_V3!E283,Table1[Campo],Plano_V3!F283)</f>
        <v>0.6</v>
      </c>
      <c r="L283" s="93">
        <f t="shared" si="42"/>
        <v>7.4999999999999997E-2</v>
      </c>
      <c r="M283" s="93">
        <f t="shared" si="43"/>
        <v>1</v>
      </c>
      <c r="N283" s="98" t="s">
        <v>39</v>
      </c>
      <c r="O283" s="99">
        <f t="shared" si="35"/>
        <v>7.4999999999999997E-2</v>
      </c>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87"/>
      <c r="AU283" s="87"/>
      <c r="AV283" s="87"/>
      <c r="AW283" s="100"/>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87"/>
      <c r="EJ283" s="87"/>
      <c r="EK283" s="87"/>
      <c r="EL283" s="100"/>
      <c r="EM283" s="100"/>
      <c r="EN283" s="100"/>
      <c r="EO283" s="100"/>
      <c r="EP283" s="100"/>
      <c r="EQ283" s="100"/>
    </row>
    <row r="284" spans="1:147" outlineLevel="1">
      <c r="A284" s="31" t="str">
        <f t="shared" si="36"/>
        <v>modesg_inp_nfrd_alinhamento_taxcca_capex_ttl_elgbl</v>
      </c>
      <c r="B284" s="76" t="s">
        <v>28</v>
      </c>
      <c r="C284" s="77" t="s">
        <v>178</v>
      </c>
      <c r="D284" s="73" t="s">
        <v>40</v>
      </c>
      <c r="E284" s="75" t="s">
        <v>208</v>
      </c>
      <c r="F284" s="73" t="s">
        <v>240</v>
      </c>
      <c r="G284" s="73" t="str">
        <f>INDEX(Auxiliar!$B$16:$B$23,MATCH(Plano_V3!H284,Auxiliar!$C$16:$C$23,0),1)</f>
        <v>1. Concluído</v>
      </c>
      <c r="H284" s="73">
        <f>VLOOKUP(A284,'Aux - pivots1'!$A:$B,2,0)</f>
        <v>1</v>
      </c>
      <c r="I284" s="93">
        <f>SUMIFS(Table1[Estimação (horas)],Table1[Tabela],Plano_V3!E284,Table1[Campo],Plano_V3!F284)</f>
        <v>0.6</v>
      </c>
      <c r="J284" s="93">
        <f t="shared" si="41"/>
        <v>7.4999999999999997E-2</v>
      </c>
      <c r="K284" s="93">
        <f>SUMIFS(Table1[Horas efetivas],Table1[Tabela],Plano_V3!E284,Table1[Campo],Plano_V3!F284)</f>
        <v>0.6</v>
      </c>
      <c r="L284" s="93">
        <f t="shared" si="42"/>
        <v>7.4999999999999997E-2</v>
      </c>
      <c r="M284" s="93">
        <f t="shared" si="43"/>
        <v>1</v>
      </c>
      <c r="N284" s="98" t="s">
        <v>39</v>
      </c>
      <c r="O284" s="99">
        <f t="shared" si="35"/>
        <v>7.4999999999999997E-2</v>
      </c>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7"/>
      <c r="AU284" s="87"/>
      <c r="AV284" s="87"/>
      <c r="AW284" s="100"/>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87"/>
      <c r="EJ284" s="87"/>
      <c r="EK284" s="87"/>
      <c r="EL284" s="100"/>
      <c r="EM284" s="100"/>
      <c r="EN284" s="100"/>
      <c r="EO284" s="100"/>
      <c r="EP284" s="100"/>
      <c r="EQ284" s="100"/>
    </row>
    <row r="285" spans="1:147" outlineLevel="1">
      <c r="A285" s="31" t="str">
        <f t="shared" si="36"/>
        <v>modesg_inp_nfrd_alinhamento_taxcca_capex_enblng_algnd</v>
      </c>
      <c r="B285" s="76" t="s">
        <v>28</v>
      </c>
      <c r="C285" s="77" t="s">
        <v>178</v>
      </c>
      <c r="D285" s="73" t="s">
        <v>40</v>
      </c>
      <c r="E285" s="75" t="s">
        <v>208</v>
      </c>
      <c r="F285" s="73" t="s">
        <v>241</v>
      </c>
      <c r="G285" s="73" t="str">
        <f>INDEX(Auxiliar!$B$16:$B$23,MATCH(Plano_V3!H285,Auxiliar!$C$16:$C$23,0),1)</f>
        <v>1. Concluído</v>
      </c>
      <c r="H285" s="73">
        <f>VLOOKUP(A285,'Aux - pivots1'!$A:$B,2,0)</f>
        <v>1</v>
      </c>
      <c r="I285" s="93">
        <f>SUMIFS(Table1[Estimação (horas)],Table1[Tabela],Plano_V3!E285,Table1[Campo],Plano_V3!F285)</f>
        <v>0.6</v>
      </c>
      <c r="J285" s="93">
        <f t="shared" si="41"/>
        <v>7.4999999999999997E-2</v>
      </c>
      <c r="K285" s="93">
        <f>SUMIFS(Table1[Horas efetivas],Table1[Tabela],Plano_V3!E285,Table1[Campo],Plano_V3!F285)</f>
        <v>0.6</v>
      </c>
      <c r="L285" s="93">
        <f t="shared" si="42"/>
        <v>7.4999999999999997E-2</v>
      </c>
      <c r="M285" s="93">
        <f t="shared" si="43"/>
        <v>1</v>
      </c>
      <c r="N285" s="98" t="s">
        <v>39</v>
      </c>
      <c r="O285" s="99">
        <f t="shared" si="35"/>
        <v>7.4999999999999997E-2</v>
      </c>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87"/>
      <c r="AU285" s="87"/>
      <c r="AV285" s="87"/>
      <c r="AW285" s="100"/>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87"/>
      <c r="EJ285" s="87"/>
      <c r="EK285" s="87"/>
      <c r="EL285" s="100"/>
      <c r="EM285" s="100"/>
      <c r="EN285" s="100"/>
      <c r="EO285" s="100"/>
      <c r="EP285" s="100"/>
      <c r="EQ285" s="100"/>
    </row>
    <row r="286" spans="1:147" outlineLevel="1">
      <c r="A286" s="31" t="str">
        <f t="shared" si="36"/>
        <v>modesg_inp_nfrd_alinhamento_taxcca_capex_own_prfrmnce_algnd</v>
      </c>
      <c r="B286" s="76" t="s">
        <v>28</v>
      </c>
      <c r="C286" s="77" t="s">
        <v>178</v>
      </c>
      <c r="D286" s="73" t="s">
        <v>40</v>
      </c>
      <c r="E286" s="75" t="s">
        <v>208</v>
      </c>
      <c r="F286" s="73" t="s">
        <v>242</v>
      </c>
      <c r="G286" s="73" t="str">
        <f>INDEX(Auxiliar!$B$16:$B$23,MATCH(Plano_V3!H286,Auxiliar!$C$16:$C$23,0),1)</f>
        <v>1. Concluído</v>
      </c>
      <c r="H286" s="73">
        <f>VLOOKUP(A286,'Aux - pivots1'!$A:$B,2,0)</f>
        <v>1</v>
      </c>
      <c r="I286" s="93">
        <f>SUMIFS(Table1[Estimação (horas)],Table1[Tabela],Plano_V3!E286,Table1[Campo],Plano_V3!F286)</f>
        <v>0.6</v>
      </c>
      <c r="J286" s="93">
        <f t="shared" si="41"/>
        <v>7.4999999999999997E-2</v>
      </c>
      <c r="K286" s="93">
        <f>SUMIFS(Table1[Horas efetivas],Table1[Tabela],Plano_V3!E286,Table1[Campo],Plano_V3!F286)</f>
        <v>0.6</v>
      </c>
      <c r="L286" s="93">
        <f t="shared" si="42"/>
        <v>7.4999999999999997E-2</v>
      </c>
      <c r="M286" s="93">
        <f t="shared" si="43"/>
        <v>1</v>
      </c>
      <c r="N286" s="98" t="s">
        <v>39</v>
      </c>
      <c r="O286" s="99">
        <f t="shared" si="35"/>
        <v>7.4999999999999997E-2</v>
      </c>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87"/>
      <c r="AU286" s="87"/>
      <c r="AV286" s="87"/>
      <c r="AW286" s="100"/>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87"/>
      <c r="EJ286" s="87"/>
      <c r="EK286" s="87"/>
      <c r="EL286" s="100"/>
      <c r="EM286" s="100"/>
      <c r="EN286" s="100"/>
      <c r="EO286" s="100"/>
      <c r="EP286" s="100"/>
      <c r="EQ286" s="100"/>
    </row>
    <row r="287" spans="1:147" outlineLevel="1">
      <c r="A287" s="31" t="str">
        <f t="shared" si="36"/>
        <v>modesg_inp_nfrd_alinhamento_taxccm_trnvr_ttl_elgbl</v>
      </c>
      <c r="B287" s="76" t="s">
        <v>28</v>
      </c>
      <c r="C287" s="77" t="s">
        <v>178</v>
      </c>
      <c r="D287" s="73" t="s">
        <v>40</v>
      </c>
      <c r="E287" s="75" t="s">
        <v>208</v>
      </c>
      <c r="F287" s="73" t="s">
        <v>243</v>
      </c>
      <c r="G287" s="73" t="str">
        <f>INDEX(Auxiliar!$B$16:$B$23,MATCH(Plano_V3!H287,Auxiliar!$C$16:$C$23,0),1)</f>
        <v>1. Concluído</v>
      </c>
      <c r="H287" s="73">
        <f>VLOOKUP(A287,'Aux - pivots1'!$A:$B,2,0)</f>
        <v>1</v>
      </c>
      <c r="I287" s="93">
        <f>SUMIFS(Table1[Estimação (horas)],Table1[Tabela],Plano_V3!E287,Table1[Campo],Plano_V3!F287)</f>
        <v>0.6</v>
      </c>
      <c r="J287" s="93">
        <f t="shared" si="41"/>
        <v>7.4999999999999997E-2</v>
      </c>
      <c r="K287" s="93">
        <f>SUMIFS(Table1[Horas efetivas],Table1[Tabela],Plano_V3!E287,Table1[Campo],Plano_V3!F287)</f>
        <v>0.6</v>
      </c>
      <c r="L287" s="93">
        <f t="shared" si="42"/>
        <v>7.4999999999999997E-2</v>
      </c>
      <c r="M287" s="93">
        <f t="shared" si="43"/>
        <v>1</v>
      </c>
      <c r="N287" s="98" t="s">
        <v>39</v>
      </c>
      <c r="O287" s="99">
        <f t="shared" si="35"/>
        <v>7.4999999999999997E-2</v>
      </c>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87"/>
      <c r="AU287" s="87"/>
      <c r="AV287" s="87"/>
      <c r="AW287" s="100"/>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87"/>
      <c r="EJ287" s="87"/>
      <c r="EK287" s="87"/>
      <c r="EL287" s="100"/>
      <c r="EM287" s="100"/>
      <c r="EN287" s="100"/>
      <c r="EO287" s="100"/>
      <c r="EP287" s="100"/>
      <c r="EQ287" s="100"/>
    </row>
    <row r="288" spans="1:147" outlineLevel="1">
      <c r="A288" s="31" t="str">
        <f t="shared" si="36"/>
        <v>modesg_inp_nfrd_alinhamento_taxccm_trnvr_enblng_algnd</v>
      </c>
      <c r="B288" s="76" t="s">
        <v>28</v>
      </c>
      <c r="C288" s="77" t="s">
        <v>178</v>
      </c>
      <c r="D288" s="73" t="s">
        <v>40</v>
      </c>
      <c r="E288" s="75" t="s">
        <v>208</v>
      </c>
      <c r="F288" s="73" t="s">
        <v>244</v>
      </c>
      <c r="G288" s="73" t="str">
        <f>INDEX(Auxiliar!$B$16:$B$23,MATCH(Plano_V3!H288,Auxiliar!$C$16:$C$23,0),1)</f>
        <v>1. Concluído</v>
      </c>
      <c r="H288" s="73">
        <f>VLOOKUP(A288,'Aux - pivots1'!$A:$B,2,0)</f>
        <v>1</v>
      </c>
      <c r="I288" s="93">
        <f>SUMIFS(Table1[Estimação (horas)],Table1[Tabela],Plano_V3!E288,Table1[Campo],Plano_V3!F288)</f>
        <v>0.6</v>
      </c>
      <c r="J288" s="93">
        <f t="shared" si="41"/>
        <v>7.4999999999999997E-2</v>
      </c>
      <c r="K288" s="93">
        <f>SUMIFS(Table1[Horas efetivas],Table1[Tabela],Plano_V3!E288,Table1[Campo],Plano_V3!F288)</f>
        <v>0.6</v>
      </c>
      <c r="L288" s="93">
        <f t="shared" si="42"/>
        <v>7.4999999999999997E-2</v>
      </c>
      <c r="M288" s="93">
        <f t="shared" si="43"/>
        <v>1</v>
      </c>
      <c r="N288" s="98" t="s">
        <v>39</v>
      </c>
      <c r="O288" s="99">
        <f t="shared" si="35"/>
        <v>7.4999999999999997E-2</v>
      </c>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87"/>
      <c r="AU288" s="87"/>
      <c r="AV288" s="87"/>
      <c r="AW288" s="100"/>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87"/>
      <c r="EJ288" s="87"/>
      <c r="EK288" s="87"/>
      <c r="EL288" s="100"/>
      <c r="EM288" s="100"/>
      <c r="EN288" s="100"/>
      <c r="EO288" s="100"/>
      <c r="EP288" s="100"/>
      <c r="EQ288" s="100"/>
    </row>
    <row r="289" spans="1:147" outlineLevel="1">
      <c r="A289" s="31" t="str">
        <f t="shared" si="36"/>
        <v>modesg_inp_nfrd_alinhamento_taxccm_trnvr_trnstn_alignd</v>
      </c>
      <c r="B289" s="76" t="s">
        <v>28</v>
      </c>
      <c r="C289" s="77" t="s">
        <v>178</v>
      </c>
      <c r="D289" s="73" t="s">
        <v>40</v>
      </c>
      <c r="E289" s="75" t="s">
        <v>208</v>
      </c>
      <c r="F289" s="73" t="s">
        <v>245</v>
      </c>
      <c r="G289" s="73" t="str">
        <f>INDEX(Auxiliar!$B$16:$B$23,MATCH(Plano_V3!H289,Auxiliar!$C$16:$C$23,0),1)</f>
        <v>1. Concluído</v>
      </c>
      <c r="H289" s="73">
        <f>VLOOKUP(A289,'Aux - pivots1'!$A:$B,2,0)</f>
        <v>1</v>
      </c>
      <c r="I289" s="93">
        <f>SUMIFS(Table1[Estimação (horas)],Table1[Tabela],Plano_V3!E289,Table1[Campo],Plano_V3!F289)</f>
        <v>0.6</v>
      </c>
      <c r="J289" s="93">
        <f t="shared" si="41"/>
        <v>7.4999999999999997E-2</v>
      </c>
      <c r="K289" s="93">
        <f>SUMIFS(Table1[Horas efetivas],Table1[Tabela],Plano_V3!E289,Table1[Campo],Plano_V3!F289)</f>
        <v>0.6</v>
      </c>
      <c r="L289" s="93">
        <f t="shared" si="42"/>
        <v>7.4999999999999997E-2</v>
      </c>
      <c r="M289" s="93">
        <f t="shared" si="43"/>
        <v>1</v>
      </c>
      <c r="N289" s="98" t="s">
        <v>39</v>
      </c>
      <c r="O289" s="99">
        <f t="shared" si="35"/>
        <v>7.4999999999999997E-2</v>
      </c>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87"/>
      <c r="AU289" s="87"/>
      <c r="AV289" s="87"/>
      <c r="AW289" s="100"/>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87"/>
      <c r="EJ289" s="87"/>
      <c r="EK289" s="87"/>
      <c r="EL289" s="100"/>
      <c r="EM289" s="100"/>
      <c r="EN289" s="100"/>
      <c r="EO289" s="100"/>
      <c r="EP289" s="100"/>
      <c r="EQ289" s="100"/>
    </row>
    <row r="290" spans="1:147" outlineLevel="1">
      <c r="A290" s="31" t="str">
        <f t="shared" si="36"/>
        <v>modesg_inp_nfrd_alinhamento_taxccm_trnvr_own_prfrmnce_algnd</v>
      </c>
      <c r="B290" s="76" t="s">
        <v>28</v>
      </c>
      <c r="C290" s="77" t="s">
        <v>178</v>
      </c>
      <c r="D290" s="73" t="s">
        <v>40</v>
      </c>
      <c r="E290" s="75" t="s">
        <v>208</v>
      </c>
      <c r="F290" s="73" t="s">
        <v>246</v>
      </c>
      <c r="G290" s="73" t="str">
        <f>INDEX(Auxiliar!$B$16:$B$23,MATCH(Plano_V3!H290,Auxiliar!$C$16:$C$23,0),1)</f>
        <v>1. Concluído</v>
      </c>
      <c r="H290" s="73">
        <f>VLOOKUP(A290,'Aux - pivots1'!$A:$B,2,0)</f>
        <v>1</v>
      </c>
      <c r="I290" s="93">
        <f>SUMIFS(Table1[Estimação (horas)],Table1[Tabela],Plano_V3!E290,Table1[Campo],Plano_V3!F290)</f>
        <v>0.6</v>
      </c>
      <c r="J290" s="93">
        <f t="shared" si="41"/>
        <v>7.4999999999999997E-2</v>
      </c>
      <c r="K290" s="93">
        <f>SUMIFS(Table1[Horas efetivas],Table1[Tabela],Plano_V3!E290,Table1[Campo],Plano_V3!F290)</f>
        <v>0.6</v>
      </c>
      <c r="L290" s="93">
        <f t="shared" si="42"/>
        <v>7.4999999999999997E-2</v>
      </c>
      <c r="M290" s="93">
        <f t="shared" si="43"/>
        <v>1</v>
      </c>
      <c r="N290" s="98" t="s">
        <v>39</v>
      </c>
      <c r="O290" s="99">
        <f t="shared" si="35"/>
        <v>7.4999999999999997E-2</v>
      </c>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87"/>
      <c r="AU290" s="87"/>
      <c r="AV290" s="87"/>
      <c r="AW290" s="100"/>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87"/>
      <c r="EJ290" s="87"/>
      <c r="EK290" s="87"/>
      <c r="EL290" s="100"/>
      <c r="EM290" s="100"/>
      <c r="EN290" s="100"/>
      <c r="EO290" s="100"/>
      <c r="EP290" s="100"/>
      <c r="EQ290" s="100"/>
    </row>
    <row r="291" spans="1:147" outlineLevel="1">
      <c r="A291" s="31" t="str">
        <f t="shared" si="36"/>
        <v>modesg_inp_nfrd_alinhamento_taxccm_capex_ttl_elgbl</v>
      </c>
      <c r="B291" s="76" t="s">
        <v>28</v>
      </c>
      <c r="C291" s="77" t="s">
        <v>178</v>
      </c>
      <c r="D291" s="73" t="s">
        <v>40</v>
      </c>
      <c r="E291" s="75" t="s">
        <v>208</v>
      </c>
      <c r="F291" s="73" t="s">
        <v>247</v>
      </c>
      <c r="G291" s="73" t="str">
        <f>INDEX(Auxiliar!$B$16:$B$23,MATCH(Plano_V3!H291,Auxiliar!$C$16:$C$23,0),1)</f>
        <v>1. Concluído</v>
      </c>
      <c r="H291" s="73">
        <f>VLOOKUP(A291,'Aux - pivots1'!$A:$B,2,0)</f>
        <v>1</v>
      </c>
      <c r="I291" s="93">
        <f>SUMIFS(Table1[Estimação (horas)],Table1[Tabela],Plano_V3!E291,Table1[Campo],Plano_V3!F291)</f>
        <v>0.6</v>
      </c>
      <c r="J291" s="93">
        <f t="shared" si="41"/>
        <v>7.4999999999999997E-2</v>
      </c>
      <c r="K291" s="93">
        <f>SUMIFS(Table1[Horas efetivas],Table1[Tabela],Plano_V3!E291,Table1[Campo],Plano_V3!F291)</f>
        <v>0.6</v>
      </c>
      <c r="L291" s="93">
        <f t="shared" si="42"/>
        <v>7.4999999999999997E-2</v>
      </c>
      <c r="M291" s="93">
        <f t="shared" si="43"/>
        <v>1</v>
      </c>
      <c r="N291" s="98" t="s">
        <v>39</v>
      </c>
      <c r="O291" s="99">
        <f t="shared" si="35"/>
        <v>7.4999999999999997E-2</v>
      </c>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87"/>
      <c r="AU291" s="87"/>
      <c r="AV291" s="87"/>
      <c r="AW291" s="100"/>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87"/>
      <c r="EJ291" s="87"/>
      <c r="EK291" s="87"/>
      <c r="EL291" s="100"/>
      <c r="EM291" s="100"/>
      <c r="EN291" s="100"/>
      <c r="EO291" s="100"/>
      <c r="EP291" s="100"/>
      <c r="EQ291" s="100"/>
    </row>
    <row r="292" spans="1:147" outlineLevel="1">
      <c r="A292" s="31" t="str">
        <f t="shared" si="36"/>
        <v>modesg_inp_nfrd_alinhamento_taxccm_capex_enblng_algnd</v>
      </c>
      <c r="B292" s="76" t="s">
        <v>28</v>
      </c>
      <c r="C292" s="77" t="s">
        <v>178</v>
      </c>
      <c r="D292" s="73" t="s">
        <v>40</v>
      </c>
      <c r="E292" s="75" t="s">
        <v>208</v>
      </c>
      <c r="F292" s="73" t="s">
        <v>248</v>
      </c>
      <c r="G292" s="73" t="str">
        <f>INDEX(Auxiliar!$B$16:$B$23,MATCH(Plano_V3!H292,Auxiliar!$C$16:$C$23,0),1)</f>
        <v>1. Concluído</v>
      </c>
      <c r="H292" s="73">
        <f>VLOOKUP(A292,'Aux - pivots1'!$A:$B,2,0)</f>
        <v>1</v>
      </c>
      <c r="I292" s="93">
        <f>SUMIFS(Table1[Estimação (horas)],Table1[Tabela],Plano_V3!E292,Table1[Campo],Plano_V3!F292)</f>
        <v>0.6</v>
      </c>
      <c r="J292" s="93">
        <f t="shared" si="41"/>
        <v>7.4999999999999997E-2</v>
      </c>
      <c r="K292" s="93">
        <f>SUMIFS(Table1[Horas efetivas],Table1[Tabela],Plano_V3!E292,Table1[Campo],Plano_V3!F292)</f>
        <v>0.6</v>
      </c>
      <c r="L292" s="93">
        <f t="shared" si="42"/>
        <v>7.4999999999999997E-2</v>
      </c>
      <c r="M292" s="93">
        <f t="shared" si="43"/>
        <v>1</v>
      </c>
      <c r="N292" s="98" t="s">
        <v>39</v>
      </c>
      <c r="O292" s="99">
        <f t="shared" ref="O292:O355" si="44">J292-SUM(P292:EQ292)</f>
        <v>7.4999999999999997E-2</v>
      </c>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87"/>
      <c r="AU292" s="87"/>
      <c r="AV292" s="87"/>
      <c r="AW292" s="100"/>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87"/>
      <c r="EJ292" s="87"/>
      <c r="EK292" s="87"/>
      <c r="EL292" s="100"/>
      <c r="EM292" s="100"/>
      <c r="EN292" s="100"/>
      <c r="EO292" s="100"/>
      <c r="EP292" s="100"/>
      <c r="EQ292" s="100"/>
    </row>
    <row r="293" spans="1:147" outlineLevel="1">
      <c r="A293" s="31" t="str">
        <f t="shared" si="36"/>
        <v>modesg_inp_nfrd_alinhamento_taxccm_capex_trnstn_algnd</v>
      </c>
      <c r="B293" s="76" t="s">
        <v>28</v>
      </c>
      <c r="C293" s="77" t="s">
        <v>178</v>
      </c>
      <c r="D293" s="73" t="s">
        <v>40</v>
      </c>
      <c r="E293" s="75" t="s">
        <v>208</v>
      </c>
      <c r="F293" s="73" t="s">
        <v>249</v>
      </c>
      <c r="G293" s="73" t="str">
        <f>INDEX(Auxiliar!$B$16:$B$23,MATCH(Plano_V3!H293,Auxiliar!$C$16:$C$23,0),1)</f>
        <v>1. Concluído</v>
      </c>
      <c r="H293" s="73">
        <f>VLOOKUP(A293,'Aux - pivots1'!$A:$B,2,0)</f>
        <v>1</v>
      </c>
      <c r="I293" s="93">
        <f>SUMIFS(Table1[Estimação (horas)],Table1[Tabela],Plano_V3!E293,Table1[Campo],Plano_V3!F293)</f>
        <v>0.6</v>
      </c>
      <c r="J293" s="93">
        <f t="shared" si="41"/>
        <v>7.4999999999999997E-2</v>
      </c>
      <c r="K293" s="93">
        <f>SUMIFS(Table1[Horas efetivas],Table1[Tabela],Plano_V3!E293,Table1[Campo],Plano_V3!F293)</f>
        <v>0.6</v>
      </c>
      <c r="L293" s="93">
        <f t="shared" si="42"/>
        <v>7.4999999999999997E-2</v>
      </c>
      <c r="M293" s="93">
        <f t="shared" si="43"/>
        <v>1</v>
      </c>
      <c r="N293" s="98" t="s">
        <v>39</v>
      </c>
      <c r="O293" s="99">
        <f t="shared" si="44"/>
        <v>7.4999999999999997E-2</v>
      </c>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87"/>
      <c r="AU293" s="87"/>
      <c r="AV293" s="87"/>
      <c r="AW293" s="100"/>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87"/>
      <c r="EJ293" s="87"/>
      <c r="EK293" s="87"/>
      <c r="EL293" s="100"/>
      <c r="EM293" s="100"/>
      <c r="EN293" s="100"/>
      <c r="EO293" s="100"/>
      <c r="EP293" s="100"/>
      <c r="EQ293" s="100"/>
    </row>
    <row r="294" spans="1:147" outlineLevel="1">
      <c r="A294" s="31" t="str">
        <f t="shared" ref="A294:A357" si="45">E294&amp;F294</f>
        <v>modesg_inp_nfrd_alinhamento_taxccm_capex_own_prfrmnce_algnd</v>
      </c>
      <c r="B294" s="76" t="s">
        <v>28</v>
      </c>
      <c r="C294" s="77" t="s">
        <v>178</v>
      </c>
      <c r="D294" s="73" t="s">
        <v>40</v>
      </c>
      <c r="E294" s="75" t="s">
        <v>208</v>
      </c>
      <c r="F294" s="73" t="s">
        <v>250</v>
      </c>
      <c r="G294" s="73" t="str">
        <f>INDEX(Auxiliar!$B$16:$B$23,MATCH(Plano_V3!H294,Auxiliar!$C$16:$C$23,0),1)</f>
        <v>1. Concluído</v>
      </c>
      <c r="H294" s="73">
        <f>VLOOKUP(A294,'Aux - pivots1'!$A:$B,2,0)</f>
        <v>1</v>
      </c>
      <c r="I294" s="93">
        <f>SUMIFS(Table1[Estimação (horas)],Table1[Tabela],Plano_V3!E294,Table1[Campo],Plano_V3!F294)</f>
        <v>0.6</v>
      </c>
      <c r="J294" s="93">
        <f t="shared" si="41"/>
        <v>7.4999999999999997E-2</v>
      </c>
      <c r="K294" s="93">
        <f>SUMIFS(Table1[Horas efetivas],Table1[Tabela],Plano_V3!E294,Table1[Campo],Plano_V3!F294)</f>
        <v>0.6</v>
      </c>
      <c r="L294" s="93">
        <f t="shared" si="42"/>
        <v>7.4999999999999997E-2</v>
      </c>
      <c r="M294" s="93">
        <f t="shared" si="43"/>
        <v>1</v>
      </c>
      <c r="N294" s="98" t="s">
        <v>39</v>
      </c>
      <c r="O294" s="99">
        <f t="shared" si="44"/>
        <v>7.4999999999999997E-2</v>
      </c>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87"/>
      <c r="AU294" s="87"/>
      <c r="AV294" s="87"/>
      <c r="AW294" s="100"/>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87"/>
      <c r="EJ294" s="87"/>
      <c r="EK294" s="87"/>
      <c r="EL294" s="100"/>
      <c r="EM294" s="100"/>
      <c r="EN294" s="100"/>
      <c r="EO294" s="100"/>
      <c r="EP294" s="100"/>
      <c r="EQ294" s="100"/>
    </row>
    <row r="295" spans="1:147" outlineLevel="1">
      <c r="A295" s="31" t="str">
        <f t="shared" si="45"/>
        <v>modesg_inp_nfrd_alinhamento_taxppc_trnvr_ttl_elgbl</v>
      </c>
      <c r="B295" s="76" t="s">
        <v>28</v>
      </c>
      <c r="C295" s="77" t="s">
        <v>178</v>
      </c>
      <c r="D295" s="73" t="s">
        <v>40</v>
      </c>
      <c r="E295" s="75" t="s">
        <v>208</v>
      </c>
      <c r="F295" s="73" t="s">
        <v>251</v>
      </c>
      <c r="G295" s="73" t="str">
        <f>INDEX(Auxiliar!$B$16:$B$23,MATCH(Plano_V3!H295,Auxiliar!$C$16:$C$23,0),1)</f>
        <v>1. Concluído</v>
      </c>
      <c r="H295" s="73">
        <f>VLOOKUP(A295,'Aux - pivots1'!$A:$B,2,0)</f>
        <v>1</v>
      </c>
      <c r="I295" s="93">
        <f>SUMIFS(Table1[Estimação (horas)],Table1[Tabela],Plano_V3!E295,Table1[Campo],Plano_V3!F295)</f>
        <v>0.6</v>
      </c>
      <c r="J295" s="93">
        <f t="shared" si="41"/>
        <v>7.4999999999999997E-2</v>
      </c>
      <c r="K295" s="93">
        <f>SUMIFS(Table1[Horas efetivas],Table1[Tabela],Plano_V3!E295,Table1[Campo],Plano_V3!F295)</f>
        <v>0.6</v>
      </c>
      <c r="L295" s="93">
        <f t="shared" si="42"/>
        <v>7.4999999999999997E-2</v>
      </c>
      <c r="M295" s="93">
        <f t="shared" si="43"/>
        <v>1</v>
      </c>
      <c r="N295" s="98" t="s">
        <v>39</v>
      </c>
      <c r="O295" s="99">
        <f t="shared" si="44"/>
        <v>7.4999999999999997E-2</v>
      </c>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87"/>
      <c r="AU295" s="87"/>
      <c r="AV295" s="87"/>
      <c r="AW295" s="100"/>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87"/>
      <c r="EJ295" s="87"/>
      <c r="EK295" s="87"/>
      <c r="EL295" s="100"/>
      <c r="EM295" s="100"/>
      <c r="EN295" s="100"/>
      <c r="EO295" s="100"/>
      <c r="EP295" s="100"/>
      <c r="EQ295" s="100"/>
    </row>
    <row r="296" spans="1:147" outlineLevel="1">
      <c r="A296" s="31" t="str">
        <f t="shared" si="45"/>
        <v>modesg_inp_nfrd_alinhamento_taxppc_turnover_own_prfrmnce_algnd</v>
      </c>
      <c r="B296" s="76" t="s">
        <v>28</v>
      </c>
      <c r="C296" s="77" t="s">
        <v>178</v>
      </c>
      <c r="D296" s="73" t="s">
        <v>40</v>
      </c>
      <c r="E296" s="75" t="s">
        <v>208</v>
      </c>
      <c r="F296" s="73" t="s">
        <v>252</v>
      </c>
      <c r="G296" s="73" t="str">
        <f>INDEX(Auxiliar!$B$16:$B$23,MATCH(Plano_V3!H296,Auxiliar!$C$16:$C$23,0),1)</f>
        <v>1. Concluído</v>
      </c>
      <c r="H296" s="73">
        <f>VLOOKUP(A296,'Aux - pivots1'!$A:$B,2,0)</f>
        <v>1</v>
      </c>
      <c r="I296" s="93">
        <f>SUMIFS(Table1[Estimação (horas)],Table1[Tabela],Plano_V3!E296,Table1[Campo],Plano_V3!F296)</f>
        <v>0.6</v>
      </c>
      <c r="J296" s="93">
        <f t="shared" si="41"/>
        <v>7.4999999999999997E-2</v>
      </c>
      <c r="K296" s="93">
        <f>SUMIFS(Table1[Horas efetivas],Table1[Tabela],Plano_V3!E296,Table1[Campo],Plano_V3!F296)</f>
        <v>0.6</v>
      </c>
      <c r="L296" s="93">
        <f t="shared" si="42"/>
        <v>7.4999999999999997E-2</v>
      </c>
      <c r="M296" s="93">
        <f t="shared" si="43"/>
        <v>1</v>
      </c>
      <c r="N296" s="98" t="s">
        <v>39</v>
      </c>
      <c r="O296" s="99">
        <f t="shared" si="44"/>
        <v>7.4999999999999997E-2</v>
      </c>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87"/>
      <c r="AU296" s="87"/>
      <c r="AV296" s="87"/>
      <c r="AW296" s="100"/>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87"/>
      <c r="EJ296" s="87"/>
      <c r="EK296" s="87"/>
      <c r="EL296" s="100"/>
      <c r="EM296" s="100"/>
      <c r="EN296" s="100"/>
      <c r="EO296" s="100"/>
      <c r="EP296" s="100"/>
      <c r="EQ296" s="100"/>
    </row>
    <row r="297" spans="1:147" outlineLevel="1">
      <c r="A297" s="31" t="str">
        <f t="shared" si="45"/>
        <v>modesg_inp_nfrd_alinhamento_taxppc_capex_ttl_elgbl</v>
      </c>
      <c r="B297" s="76" t="s">
        <v>28</v>
      </c>
      <c r="C297" s="77" t="s">
        <v>178</v>
      </c>
      <c r="D297" s="73" t="s">
        <v>40</v>
      </c>
      <c r="E297" s="75" t="s">
        <v>208</v>
      </c>
      <c r="F297" s="73" t="s">
        <v>253</v>
      </c>
      <c r="G297" s="73" t="str">
        <f>INDEX(Auxiliar!$B$16:$B$23,MATCH(Plano_V3!H297,Auxiliar!$C$16:$C$23,0),1)</f>
        <v>1. Concluído</v>
      </c>
      <c r="H297" s="73">
        <f>VLOOKUP(A297,'Aux - pivots1'!$A:$B,2,0)</f>
        <v>1</v>
      </c>
      <c r="I297" s="93">
        <f>SUMIFS(Table1[Estimação (horas)],Table1[Tabela],Plano_V3!E297,Table1[Campo],Plano_V3!F297)</f>
        <v>0.6</v>
      </c>
      <c r="J297" s="93">
        <f t="shared" si="41"/>
        <v>7.4999999999999997E-2</v>
      </c>
      <c r="K297" s="93">
        <f>SUMIFS(Table1[Horas efetivas],Table1[Tabela],Plano_V3!E297,Table1[Campo],Plano_V3!F297)</f>
        <v>0.6</v>
      </c>
      <c r="L297" s="93">
        <f t="shared" si="42"/>
        <v>7.4999999999999997E-2</v>
      </c>
      <c r="M297" s="93">
        <f t="shared" si="43"/>
        <v>1</v>
      </c>
      <c r="N297" s="98" t="s">
        <v>39</v>
      </c>
      <c r="O297" s="99">
        <f t="shared" si="44"/>
        <v>7.4999999999999997E-2</v>
      </c>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87"/>
      <c r="AU297" s="87"/>
      <c r="AV297" s="87"/>
      <c r="AW297" s="100"/>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87"/>
      <c r="EJ297" s="87"/>
      <c r="EK297" s="87"/>
      <c r="EL297" s="100"/>
      <c r="EM297" s="100"/>
      <c r="EN297" s="100"/>
      <c r="EO297" s="100"/>
      <c r="EP297" s="100"/>
      <c r="EQ297" s="100"/>
    </row>
    <row r="298" spans="1:147" outlineLevel="1">
      <c r="A298" s="31" t="str">
        <f t="shared" si="45"/>
        <v>modesg_inp_nfrd_alinhamento_taxppc_capex_own_prfrmnce_algnd</v>
      </c>
      <c r="B298" s="76" t="s">
        <v>28</v>
      </c>
      <c r="C298" s="77" t="s">
        <v>178</v>
      </c>
      <c r="D298" s="73" t="s">
        <v>40</v>
      </c>
      <c r="E298" s="75" t="s">
        <v>208</v>
      </c>
      <c r="F298" s="73" t="s">
        <v>254</v>
      </c>
      <c r="G298" s="73" t="str">
        <f>INDEX(Auxiliar!$B$16:$B$23,MATCH(Plano_V3!H298,Auxiliar!$C$16:$C$23,0),1)</f>
        <v>1. Concluído</v>
      </c>
      <c r="H298" s="73">
        <f>VLOOKUP(A298,'Aux - pivots1'!$A:$B,2,0)</f>
        <v>1</v>
      </c>
      <c r="I298" s="93">
        <f>SUMIFS(Table1[Estimação (horas)],Table1[Tabela],Plano_V3!E298,Table1[Campo],Plano_V3!F298)</f>
        <v>0.6</v>
      </c>
      <c r="J298" s="93">
        <f t="shared" si="41"/>
        <v>7.4999999999999997E-2</v>
      </c>
      <c r="K298" s="93">
        <f>SUMIFS(Table1[Horas efetivas],Table1[Tabela],Plano_V3!E298,Table1[Campo],Plano_V3!F298)</f>
        <v>0.6</v>
      </c>
      <c r="L298" s="93">
        <f t="shared" si="42"/>
        <v>7.4999999999999997E-2</v>
      </c>
      <c r="M298" s="93">
        <f t="shared" si="43"/>
        <v>1</v>
      </c>
      <c r="N298" s="98" t="s">
        <v>39</v>
      </c>
      <c r="O298" s="99">
        <f t="shared" si="44"/>
        <v>7.4999999999999997E-2</v>
      </c>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87"/>
      <c r="AU298" s="87"/>
      <c r="AV298" s="87"/>
      <c r="AW298" s="100"/>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87"/>
      <c r="EJ298" s="87"/>
      <c r="EK298" s="87"/>
      <c r="EL298" s="100"/>
      <c r="EM298" s="100"/>
      <c r="EN298" s="100"/>
      <c r="EO298" s="100"/>
      <c r="EP298" s="100"/>
      <c r="EQ298" s="100"/>
    </row>
    <row r="299" spans="1:147" outlineLevel="1">
      <c r="A299" s="31" t="str">
        <f t="shared" si="45"/>
        <v>modesg_inp_nfrd_alinhamento_taxbio_trnvr_ttl_elgbl</v>
      </c>
      <c r="B299" s="76" t="s">
        <v>28</v>
      </c>
      <c r="C299" s="77" t="s">
        <v>178</v>
      </c>
      <c r="D299" s="73" t="s">
        <v>40</v>
      </c>
      <c r="E299" s="75" t="s">
        <v>208</v>
      </c>
      <c r="F299" s="73" t="s">
        <v>255</v>
      </c>
      <c r="G299" s="73" t="str">
        <f>INDEX(Auxiliar!$B$16:$B$23,MATCH(Plano_V3!H299,Auxiliar!$C$16:$C$23,0),1)</f>
        <v>1. Concluído</v>
      </c>
      <c r="H299" s="73">
        <f>VLOOKUP(A299,'Aux - pivots1'!$A:$B,2,0)</f>
        <v>1</v>
      </c>
      <c r="I299" s="93">
        <f>SUMIFS(Table1[Estimação (horas)],Table1[Tabela],Plano_V3!E299,Table1[Campo],Plano_V3!F299)</f>
        <v>0.6</v>
      </c>
      <c r="J299" s="93">
        <f t="shared" si="41"/>
        <v>7.4999999999999997E-2</v>
      </c>
      <c r="K299" s="93">
        <f>SUMIFS(Table1[Horas efetivas],Table1[Tabela],Plano_V3!E299,Table1[Campo],Plano_V3!F299)</f>
        <v>0.6</v>
      </c>
      <c r="L299" s="93">
        <f t="shared" si="42"/>
        <v>7.4999999999999997E-2</v>
      </c>
      <c r="M299" s="93">
        <f t="shared" si="43"/>
        <v>1</v>
      </c>
      <c r="N299" s="98" t="s">
        <v>39</v>
      </c>
      <c r="O299" s="99">
        <f t="shared" si="44"/>
        <v>7.4999999999999997E-2</v>
      </c>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87"/>
      <c r="AU299" s="87"/>
      <c r="AV299" s="87"/>
      <c r="AW299" s="100"/>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87"/>
      <c r="EJ299" s="87"/>
      <c r="EK299" s="87"/>
      <c r="EL299" s="100"/>
      <c r="EM299" s="100"/>
      <c r="EN299" s="100"/>
      <c r="EO299" s="100"/>
      <c r="EP299" s="100"/>
      <c r="EQ299" s="100"/>
    </row>
    <row r="300" spans="1:147" outlineLevel="1">
      <c r="A300" s="31" t="str">
        <f t="shared" si="45"/>
        <v>modesg_inp_nfrd_alinhamento_taxbio_turnover_own_prfrmnce_algnd</v>
      </c>
      <c r="B300" s="76" t="s">
        <v>28</v>
      </c>
      <c r="C300" s="77" t="s">
        <v>178</v>
      </c>
      <c r="D300" s="73" t="s">
        <v>40</v>
      </c>
      <c r="E300" s="75" t="s">
        <v>208</v>
      </c>
      <c r="F300" s="73" t="s">
        <v>256</v>
      </c>
      <c r="G300" s="73" t="str">
        <f>INDEX(Auxiliar!$B$16:$B$23,MATCH(Plano_V3!H300,Auxiliar!$C$16:$C$23,0),1)</f>
        <v>1. Concluído</v>
      </c>
      <c r="H300" s="73">
        <f>VLOOKUP(A300,'Aux - pivots1'!$A:$B,2,0)</f>
        <v>1</v>
      </c>
      <c r="I300" s="93">
        <f>SUMIFS(Table1[Estimação (horas)],Table1[Tabela],Plano_V3!E300,Table1[Campo],Plano_V3!F300)</f>
        <v>0.6</v>
      </c>
      <c r="J300" s="93">
        <f t="shared" si="41"/>
        <v>7.4999999999999997E-2</v>
      </c>
      <c r="K300" s="93">
        <f>SUMIFS(Table1[Horas efetivas],Table1[Tabela],Plano_V3!E300,Table1[Campo],Plano_V3!F300)</f>
        <v>0.6</v>
      </c>
      <c r="L300" s="93">
        <f t="shared" si="42"/>
        <v>7.4999999999999997E-2</v>
      </c>
      <c r="M300" s="93">
        <f t="shared" si="43"/>
        <v>1</v>
      </c>
      <c r="N300" s="98" t="s">
        <v>39</v>
      </c>
      <c r="O300" s="99">
        <f t="shared" si="44"/>
        <v>7.4999999999999997E-2</v>
      </c>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87"/>
      <c r="AU300" s="87"/>
      <c r="AV300" s="87"/>
      <c r="AW300" s="100"/>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87"/>
      <c r="EJ300" s="87"/>
      <c r="EK300" s="87"/>
      <c r="EL300" s="100"/>
      <c r="EM300" s="100"/>
      <c r="EN300" s="100"/>
      <c r="EO300" s="100"/>
      <c r="EP300" s="100"/>
      <c r="EQ300" s="100"/>
    </row>
    <row r="301" spans="1:147" outlineLevel="1">
      <c r="A301" s="31" t="str">
        <f t="shared" si="45"/>
        <v>modesg_inp_nfrd_alinhamento_taxbio_capex_ttl_elgbl</v>
      </c>
      <c r="B301" s="76" t="s">
        <v>28</v>
      </c>
      <c r="C301" s="77" t="s">
        <v>178</v>
      </c>
      <c r="D301" s="73" t="s">
        <v>40</v>
      </c>
      <c r="E301" s="75" t="s">
        <v>208</v>
      </c>
      <c r="F301" s="73" t="s">
        <v>257</v>
      </c>
      <c r="G301" s="73" t="str">
        <f>INDEX(Auxiliar!$B$16:$B$23,MATCH(Plano_V3!H301,Auxiliar!$C$16:$C$23,0),1)</f>
        <v>1. Concluído</v>
      </c>
      <c r="H301" s="73">
        <f>VLOOKUP(A301,'Aux - pivots1'!$A:$B,2,0)</f>
        <v>1</v>
      </c>
      <c r="I301" s="93">
        <f>SUMIFS(Table1[Estimação (horas)],Table1[Tabela],Plano_V3!E301,Table1[Campo],Plano_V3!F301)</f>
        <v>0.6</v>
      </c>
      <c r="J301" s="93">
        <f t="shared" si="41"/>
        <v>7.4999999999999997E-2</v>
      </c>
      <c r="K301" s="93">
        <f>SUMIFS(Table1[Horas efetivas],Table1[Tabela],Plano_V3!E301,Table1[Campo],Plano_V3!F301)</f>
        <v>0.6</v>
      </c>
      <c r="L301" s="93">
        <f t="shared" si="42"/>
        <v>7.4999999999999997E-2</v>
      </c>
      <c r="M301" s="93">
        <f t="shared" si="43"/>
        <v>1</v>
      </c>
      <c r="N301" s="98" t="s">
        <v>39</v>
      </c>
      <c r="O301" s="99">
        <f t="shared" si="44"/>
        <v>7.4999999999999997E-2</v>
      </c>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87"/>
      <c r="AU301" s="87"/>
      <c r="AV301" s="87"/>
      <c r="AW301" s="100"/>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87"/>
      <c r="EJ301" s="87"/>
      <c r="EK301" s="87"/>
      <c r="EL301" s="100"/>
      <c r="EM301" s="100"/>
      <c r="EN301" s="100"/>
      <c r="EO301" s="100"/>
      <c r="EP301" s="100"/>
      <c r="EQ301" s="100"/>
    </row>
    <row r="302" spans="1:147" outlineLevel="1">
      <c r="A302" s="31" t="str">
        <f t="shared" si="45"/>
        <v>modesg_inp_nfrd_alinhamento_taxbio_capex_own_prfrmnce_algnd</v>
      </c>
      <c r="B302" s="76" t="s">
        <v>28</v>
      </c>
      <c r="C302" s="77" t="s">
        <v>178</v>
      </c>
      <c r="D302" s="73" t="s">
        <v>40</v>
      </c>
      <c r="E302" s="75" t="s">
        <v>208</v>
      </c>
      <c r="F302" s="73" t="s">
        <v>258</v>
      </c>
      <c r="G302" s="73" t="str">
        <f>INDEX(Auxiliar!$B$16:$B$23,MATCH(Plano_V3!H302,Auxiliar!$C$16:$C$23,0),1)</f>
        <v>1. Concluído</v>
      </c>
      <c r="H302" s="73">
        <f>VLOOKUP(A302,'Aux - pivots1'!$A:$B,2,0)</f>
        <v>1</v>
      </c>
      <c r="I302" s="93">
        <f>SUMIFS(Table1[Estimação (horas)],Table1[Tabela],Plano_V3!E302,Table1[Campo],Plano_V3!F302)</f>
        <v>0.6</v>
      </c>
      <c r="J302" s="93">
        <f t="shared" si="41"/>
        <v>7.4999999999999997E-2</v>
      </c>
      <c r="K302" s="93">
        <f>SUMIFS(Table1[Horas efetivas],Table1[Tabela],Plano_V3!E302,Table1[Campo],Plano_V3!F302)</f>
        <v>0.6</v>
      </c>
      <c r="L302" s="93">
        <f t="shared" si="42"/>
        <v>7.4999999999999997E-2</v>
      </c>
      <c r="M302" s="93">
        <f t="shared" si="43"/>
        <v>1</v>
      </c>
      <c r="N302" s="98" t="s">
        <v>39</v>
      </c>
      <c r="O302" s="99">
        <f t="shared" si="44"/>
        <v>7.4999999999999997E-2</v>
      </c>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87"/>
      <c r="AU302" s="87"/>
      <c r="AV302" s="87"/>
      <c r="AW302" s="100"/>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87"/>
      <c r="EJ302" s="87"/>
      <c r="EK302" s="87"/>
      <c r="EL302" s="100"/>
      <c r="EM302" s="100"/>
      <c r="EN302" s="100"/>
      <c r="EO302" s="100"/>
      <c r="EP302" s="100"/>
      <c r="EQ302" s="100"/>
    </row>
    <row r="303" spans="1:147" outlineLevel="1">
      <c r="A303" s="31" t="str">
        <f t="shared" si="45"/>
        <v>modesg_inp_nfrd_alinhamento_taxwtr_trnvr_ttl_elgbl</v>
      </c>
      <c r="B303" s="76" t="s">
        <v>28</v>
      </c>
      <c r="C303" s="77" t="s">
        <v>178</v>
      </c>
      <c r="D303" s="73" t="s">
        <v>40</v>
      </c>
      <c r="E303" s="75" t="s">
        <v>208</v>
      </c>
      <c r="F303" s="73" t="s">
        <v>259</v>
      </c>
      <c r="G303" s="73" t="str">
        <f>INDEX(Auxiliar!$B$16:$B$23,MATCH(Plano_V3!H303,Auxiliar!$C$16:$C$23,0),1)</f>
        <v>1. Concluído</v>
      </c>
      <c r="H303" s="73">
        <f>VLOOKUP(A303,'Aux - pivots1'!$A:$B,2,0)</f>
        <v>1</v>
      </c>
      <c r="I303" s="93">
        <f>SUMIFS(Table1[Estimação (horas)],Table1[Tabela],Plano_V3!E303,Table1[Campo],Plano_V3!F303)</f>
        <v>0.6</v>
      </c>
      <c r="J303" s="93">
        <f t="shared" si="41"/>
        <v>7.4999999999999997E-2</v>
      </c>
      <c r="K303" s="93">
        <f>SUMIFS(Table1[Horas efetivas],Table1[Tabela],Plano_V3!E303,Table1[Campo],Plano_V3!F303)</f>
        <v>0.6</v>
      </c>
      <c r="L303" s="93">
        <f t="shared" si="42"/>
        <v>7.4999999999999997E-2</v>
      </c>
      <c r="M303" s="93">
        <f t="shared" si="43"/>
        <v>1</v>
      </c>
      <c r="N303" s="98" t="s">
        <v>39</v>
      </c>
      <c r="O303" s="99">
        <f t="shared" si="44"/>
        <v>7.4999999999999997E-2</v>
      </c>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87"/>
      <c r="AU303" s="87"/>
      <c r="AV303" s="87"/>
      <c r="AW303" s="100"/>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87"/>
      <c r="EJ303" s="87"/>
      <c r="EK303" s="87"/>
      <c r="EL303" s="100"/>
      <c r="EM303" s="100"/>
      <c r="EN303" s="100"/>
      <c r="EO303" s="100"/>
      <c r="EP303" s="100"/>
      <c r="EQ303" s="100"/>
    </row>
    <row r="304" spans="1:147" outlineLevel="1">
      <c r="A304" s="31" t="str">
        <f t="shared" si="45"/>
        <v>modesg_inp_nfrd_alinhamento_taxwtr_trnvr_enblng_alignd</v>
      </c>
      <c r="B304" s="76" t="s">
        <v>28</v>
      </c>
      <c r="C304" s="77" t="s">
        <v>178</v>
      </c>
      <c r="D304" s="73" t="s">
        <v>40</v>
      </c>
      <c r="E304" s="75" t="s">
        <v>208</v>
      </c>
      <c r="F304" s="73" t="s">
        <v>260</v>
      </c>
      <c r="G304" s="73" t="str">
        <f>INDEX(Auxiliar!$B$16:$B$23,MATCH(Plano_V3!H304,Auxiliar!$C$16:$C$23,0),1)</f>
        <v>1. Concluído</v>
      </c>
      <c r="H304" s="73">
        <f>VLOOKUP(A304,'Aux - pivots1'!$A:$B,2,0)</f>
        <v>1</v>
      </c>
      <c r="I304" s="93">
        <f>SUMIFS(Table1[Estimação (horas)],Table1[Tabela],Plano_V3!E304,Table1[Campo],Plano_V3!F304)</f>
        <v>0.6</v>
      </c>
      <c r="J304" s="93">
        <f t="shared" si="41"/>
        <v>7.4999999999999997E-2</v>
      </c>
      <c r="K304" s="93">
        <f>SUMIFS(Table1[Horas efetivas],Table1[Tabela],Plano_V3!E304,Table1[Campo],Plano_V3!F304)</f>
        <v>0.6</v>
      </c>
      <c r="L304" s="93">
        <f t="shared" si="42"/>
        <v>7.4999999999999997E-2</v>
      </c>
      <c r="M304" s="93">
        <f t="shared" si="43"/>
        <v>1</v>
      </c>
      <c r="N304" s="98" t="s">
        <v>39</v>
      </c>
      <c r="O304" s="99">
        <f t="shared" si="44"/>
        <v>7.4999999999999997E-2</v>
      </c>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87"/>
      <c r="AU304" s="87"/>
      <c r="AV304" s="87"/>
      <c r="AW304" s="100"/>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87"/>
      <c r="EJ304" s="87"/>
      <c r="EK304" s="87"/>
      <c r="EL304" s="100"/>
      <c r="EM304" s="100"/>
      <c r="EN304" s="100"/>
      <c r="EO304" s="100"/>
      <c r="EP304" s="100"/>
      <c r="EQ304" s="100"/>
    </row>
    <row r="305" spans="1:147" outlineLevel="1">
      <c r="A305" s="31" t="str">
        <f t="shared" si="45"/>
        <v>modesg_inp_nfrd_alinhamento_taxwtr_turnover_own_prfrmnce_algnd</v>
      </c>
      <c r="B305" s="76" t="s">
        <v>28</v>
      </c>
      <c r="C305" s="77" t="s">
        <v>178</v>
      </c>
      <c r="D305" s="73" t="s">
        <v>40</v>
      </c>
      <c r="E305" s="75" t="s">
        <v>208</v>
      </c>
      <c r="F305" s="73" t="s">
        <v>261</v>
      </c>
      <c r="G305" s="73" t="str">
        <f>INDEX(Auxiliar!$B$16:$B$23,MATCH(Plano_V3!H305,Auxiliar!$C$16:$C$23,0),1)</f>
        <v>1. Concluído</v>
      </c>
      <c r="H305" s="73">
        <f>VLOOKUP(A305,'Aux - pivots1'!$A:$B,2,0)</f>
        <v>1</v>
      </c>
      <c r="I305" s="93">
        <f>SUMIFS(Table1[Estimação (horas)],Table1[Tabela],Plano_V3!E305,Table1[Campo],Plano_V3!F305)</f>
        <v>0.6</v>
      </c>
      <c r="J305" s="93">
        <f t="shared" si="41"/>
        <v>7.4999999999999997E-2</v>
      </c>
      <c r="K305" s="93">
        <f>SUMIFS(Table1[Horas efetivas],Table1[Tabela],Plano_V3!E305,Table1[Campo],Plano_V3!F305)</f>
        <v>0.6</v>
      </c>
      <c r="L305" s="93">
        <f t="shared" si="42"/>
        <v>7.4999999999999997E-2</v>
      </c>
      <c r="M305" s="93">
        <f t="shared" si="43"/>
        <v>1</v>
      </c>
      <c r="N305" s="98" t="s">
        <v>39</v>
      </c>
      <c r="O305" s="99">
        <f t="shared" si="44"/>
        <v>7.4999999999999997E-2</v>
      </c>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87"/>
      <c r="AU305" s="87"/>
      <c r="AV305" s="87"/>
      <c r="AW305" s="100"/>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87"/>
      <c r="EJ305" s="87"/>
      <c r="EK305" s="87"/>
      <c r="EL305" s="100"/>
      <c r="EM305" s="100"/>
      <c r="EN305" s="100"/>
      <c r="EO305" s="100"/>
      <c r="EP305" s="100"/>
      <c r="EQ305" s="100"/>
    </row>
    <row r="306" spans="1:147" outlineLevel="1">
      <c r="A306" s="31" t="str">
        <f t="shared" si="45"/>
        <v>modesg_inp_nfrd_alinhamento_taxwtr_capex_ttl_elgbl</v>
      </c>
      <c r="B306" s="76" t="s">
        <v>28</v>
      </c>
      <c r="C306" s="77" t="s">
        <v>178</v>
      </c>
      <c r="D306" s="73" t="s">
        <v>40</v>
      </c>
      <c r="E306" s="75" t="s">
        <v>208</v>
      </c>
      <c r="F306" s="73" t="s">
        <v>262</v>
      </c>
      <c r="G306" s="73" t="str">
        <f>INDEX(Auxiliar!$B$16:$B$23,MATCH(Plano_V3!H306,Auxiliar!$C$16:$C$23,0),1)</f>
        <v>1. Concluído</v>
      </c>
      <c r="H306" s="73">
        <f>VLOOKUP(A306,'Aux - pivots1'!$A:$B,2,0)</f>
        <v>1</v>
      </c>
      <c r="I306" s="93">
        <f>SUMIFS(Table1[Estimação (horas)],Table1[Tabela],Plano_V3!E306,Table1[Campo],Plano_V3!F306)</f>
        <v>0.6</v>
      </c>
      <c r="J306" s="93">
        <f t="shared" si="41"/>
        <v>7.4999999999999997E-2</v>
      </c>
      <c r="K306" s="93">
        <f>SUMIFS(Table1[Horas efetivas],Table1[Tabela],Plano_V3!E306,Table1[Campo],Plano_V3!F306)</f>
        <v>0.6</v>
      </c>
      <c r="L306" s="93">
        <f t="shared" si="42"/>
        <v>7.4999999999999997E-2</v>
      </c>
      <c r="M306" s="93">
        <f t="shared" si="43"/>
        <v>1</v>
      </c>
      <c r="N306" s="98" t="s">
        <v>39</v>
      </c>
      <c r="O306" s="99">
        <f t="shared" si="44"/>
        <v>7.4999999999999997E-2</v>
      </c>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87"/>
      <c r="AU306" s="87"/>
      <c r="AV306" s="87"/>
      <c r="AW306" s="100"/>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87"/>
      <c r="EJ306" s="87"/>
      <c r="EK306" s="87"/>
      <c r="EL306" s="100"/>
      <c r="EM306" s="100"/>
      <c r="EN306" s="100"/>
      <c r="EO306" s="100"/>
      <c r="EP306" s="100"/>
      <c r="EQ306" s="100"/>
    </row>
    <row r="307" spans="1:147" outlineLevel="1">
      <c r="A307" s="31" t="str">
        <f t="shared" si="45"/>
        <v>modesg_inp_nfrd_alinhamento_taxwtr_capex_enblng_algnd</v>
      </c>
      <c r="B307" s="76" t="s">
        <v>28</v>
      </c>
      <c r="C307" s="77" t="s">
        <v>178</v>
      </c>
      <c r="D307" s="73" t="s">
        <v>40</v>
      </c>
      <c r="E307" s="75" t="s">
        <v>208</v>
      </c>
      <c r="F307" s="73" t="s">
        <v>263</v>
      </c>
      <c r="G307" s="73" t="str">
        <f>INDEX(Auxiliar!$B$16:$B$23,MATCH(Plano_V3!H307,Auxiliar!$C$16:$C$23,0),1)</f>
        <v>1. Concluído</v>
      </c>
      <c r="H307" s="73">
        <f>VLOOKUP(A307,'Aux - pivots1'!$A:$B,2,0)</f>
        <v>1</v>
      </c>
      <c r="I307" s="93">
        <f>SUMIFS(Table1[Estimação (horas)],Table1[Tabela],Plano_V3!E307,Table1[Campo],Plano_V3!F307)</f>
        <v>0.6</v>
      </c>
      <c r="J307" s="93">
        <f t="shared" si="41"/>
        <v>7.4999999999999997E-2</v>
      </c>
      <c r="K307" s="93">
        <f>SUMIFS(Table1[Horas efetivas],Table1[Tabela],Plano_V3!E307,Table1[Campo],Plano_V3!F307)</f>
        <v>0.6</v>
      </c>
      <c r="L307" s="93">
        <f t="shared" si="42"/>
        <v>7.4999999999999997E-2</v>
      </c>
      <c r="M307" s="93">
        <f t="shared" si="43"/>
        <v>1</v>
      </c>
      <c r="N307" s="98" t="s">
        <v>39</v>
      </c>
      <c r="O307" s="99">
        <f t="shared" si="44"/>
        <v>7.4999999999999997E-2</v>
      </c>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87"/>
      <c r="AU307" s="87"/>
      <c r="AV307" s="87"/>
      <c r="AW307" s="100"/>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87"/>
      <c r="EJ307" s="87"/>
      <c r="EK307" s="87"/>
      <c r="EL307" s="100"/>
      <c r="EM307" s="100"/>
      <c r="EN307" s="100"/>
      <c r="EO307" s="100"/>
      <c r="EP307" s="100"/>
      <c r="EQ307" s="100"/>
    </row>
    <row r="308" spans="1:147" outlineLevel="1">
      <c r="A308" s="31" t="str">
        <f t="shared" si="45"/>
        <v>modesg_inp_nfrd_alinhamento_taxwtr_capex_own_prfrmnce_algnd</v>
      </c>
      <c r="B308" s="76" t="s">
        <v>28</v>
      </c>
      <c r="C308" s="77" t="s">
        <v>178</v>
      </c>
      <c r="D308" s="73" t="s">
        <v>40</v>
      </c>
      <c r="E308" s="75" t="s">
        <v>208</v>
      </c>
      <c r="F308" s="73" t="s">
        <v>264</v>
      </c>
      <c r="G308" s="73" t="str">
        <f>INDEX(Auxiliar!$B$16:$B$23,MATCH(Plano_V3!H308,Auxiliar!$C$16:$C$23,0),1)</f>
        <v>1. Concluído</v>
      </c>
      <c r="H308" s="73">
        <f>VLOOKUP(A308,'Aux - pivots1'!$A:$B,2,0)</f>
        <v>1</v>
      </c>
      <c r="I308" s="93">
        <f>SUMIFS(Table1[Estimação (horas)],Table1[Tabela],Plano_V3!E308,Table1[Campo],Plano_V3!F308)</f>
        <v>0.6</v>
      </c>
      <c r="J308" s="93">
        <f t="shared" si="41"/>
        <v>7.4999999999999997E-2</v>
      </c>
      <c r="K308" s="93">
        <f>SUMIFS(Table1[Horas efetivas],Table1[Tabela],Plano_V3!E308,Table1[Campo],Plano_V3!F308)</f>
        <v>0.6</v>
      </c>
      <c r="L308" s="93">
        <f t="shared" si="42"/>
        <v>7.4999999999999997E-2</v>
      </c>
      <c r="M308" s="93">
        <f t="shared" si="43"/>
        <v>1</v>
      </c>
      <c r="N308" s="98" t="s">
        <v>39</v>
      </c>
      <c r="O308" s="99">
        <f t="shared" si="44"/>
        <v>7.4999999999999997E-2</v>
      </c>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87"/>
      <c r="AU308" s="87"/>
      <c r="AV308" s="87"/>
      <c r="AW308" s="100"/>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87"/>
      <c r="EJ308" s="87"/>
      <c r="EK308" s="87"/>
      <c r="EL308" s="100"/>
      <c r="EM308" s="100"/>
      <c r="EN308" s="100"/>
      <c r="EO308" s="100"/>
      <c r="EP308" s="100"/>
      <c r="EQ308" s="100"/>
    </row>
    <row r="309" spans="1:147" outlineLevel="1">
      <c r="A309" s="31" t="str">
        <f t="shared" si="45"/>
        <v>modesg_inp_nfrd_alinhamento_taxce_trnvr_ttl_elgbl</v>
      </c>
      <c r="B309" s="76" t="s">
        <v>28</v>
      </c>
      <c r="C309" s="77" t="s">
        <v>178</v>
      </c>
      <c r="D309" s="73" t="s">
        <v>40</v>
      </c>
      <c r="E309" s="75" t="s">
        <v>208</v>
      </c>
      <c r="F309" s="73" t="s">
        <v>265</v>
      </c>
      <c r="G309" s="73" t="str">
        <f>INDEX(Auxiliar!$B$16:$B$23,MATCH(Plano_V3!H309,Auxiliar!$C$16:$C$23,0),1)</f>
        <v>1. Concluído</v>
      </c>
      <c r="H309" s="73">
        <f>VLOOKUP(A309,'Aux - pivots1'!$A:$B,2,0)</f>
        <v>1</v>
      </c>
      <c r="I309" s="93">
        <f>SUMIFS(Table1[Estimação (horas)],Table1[Tabela],Plano_V3!E309,Table1[Campo],Plano_V3!F309)</f>
        <v>0.6</v>
      </c>
      <c r="J309" s="93">
        <f t="shared" si="41"/>
        <v>7.4999999999999997E-2</v>
      </c>
      <c r="K309" s="93">
        <f>SUMIFS(Table1[Horas efetivas],Table1[Tabela],Plano_V3!E309,Table1[Campo],Plano_V3!F309)</f>
        <v>0.6</v>
      </c>
      <c r="L309" s="93">
        <f t="shared" si="42"/>
        <v>7.4999999999999997E-2</v>
      </c>
      <c r="M309" s="93">
        <f t="shared" si="43"/>
        <v>1</v>
      </c>
      <c r="N309" s="98" t="s">
        <v>39</v>
      </c>
      <c r="O309" s="99">
        <f t="shared" si="44"/>
        <v>7.4999999999999997E-2</v>
      </c>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87"/>
      <c r="AU309" s="87"/>
      <c r="AV309" s="87"/>
      <c r="AW309" s="100"/>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87"/>
      <c r="EJ309" s="87"/>
      <c r="EK309" s="87"/>
      <c r="EL309" s="100"/>
      <c r="EM309" s="100"/>
      <c r="EN309" s="100"/>
      <c r="EO309" s="100"/>
      <c r="EP309" s="100"/>
      <c r="EQ309" s="100"/>
    </row>
    <row r="310" spans="1:147" outlineLevel="1">
      <c r="A310" s="31" t="str">
        <f t="shared" si="45"/>
        <v>modesg_inp_nfrd_alinhamento_taxce_trnvr_enblng_alignd</v>
      </c>
      <c r="B310" s="76" t="s">
        <v>28</v>
      </c>
      <c r="C310" s="77" t="s">
        <v>178</v>
      </c>
      <c r="D310" s="73" t="s">
        <v>40</v>
      </c>
      <c r="E310" s="75" t="s">
        <v>208</v>
      </c>
      <c r="F310" s="73" t="s">
        <v>266</v>
      </c>
      <c r="G310" s="73" t="str">
        <f>INDEX(Auxiliar!$B$16:$B$23,MATCH(Plano_V3!H310,Auxiliar!$C$16:$C$23,0),1)</f>
        <v>1. Concluído</v>
      </c>
      <c r="H310" s="73">
        <f>VLOOKUP(A310,'Aux - pivots1'!$A:$B,2,0)</f>
        <v>1</v>
      </c>
      <c r="I310" s="93">
        <f>SUMIFS(Table1[Estimação (horas)],Table1[Tabela],Plano_V3!E310,Table1[Campo],Plano_V3!F310)</f>
        <v>0.6</v>
      </c>
      <c r="J310" s="93">
        <f t="shared" si="41"/>
        <v>7.4999999999999997E-2</v>
      </c>
      <c r="K310" s="93">
        <f>SUMIFS(Table1[Horas efetivas],Table1[Tabela],Plano_V3!E310,Table1[Campo],Plano_V3!F310)</f>
        <v>0.6</v>
      </c>
      <c r="L310" s="93">
        <f t="shared" si="42"/>
        <v>7.4999999999999997E-2</v>
      </c>
      <c r="M310" s="93">
        <f t="shared" si="43"/>
        <v>1</v>
      </c>
      <c r="N310" s="98" t="s">
        <v>39</v>
      </c>
      <c r="O310" s="99">
        <f t="shared" si="44"/>
        <v>7.4999999999999997E-2</v>
      </c>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87"/>
      <c r="AU310" s="87"/>
      <c r="AV310" s="87"/>
      <c r="AW310" s="100"/>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87"/>
      <c r="EJ310" s="87"/>
      <c r="EK310" s="87"/>
      <c r="EL310" s="100"/>
      <c r="EM310" s="100"/>
      <c r="EN310" s="100"/>
      <c r="EO310" s="100"/>
      <c r="EP310" s="100"/>
      <c r="EQ310" s="100"/>
    </row>
    <row r="311" spans="1:147" outlineLevel="1">
      <c r="A311" s="31" t="str">
        <f t="shared" si="45"/>
        <v>modesg_inp_nfrd_alinhamento_taxce_turnover_own_prfrmnce_algnd</v>
      </c>
      <c r="B311" s="76" t="s">
        <v>28</v>
      </c>
      <c r="C311" s="77" t="s">
        <v>178</v>
      </c>
      <c r="D311" s="73" t="s">
        <v>40</v>
      </c>
      <c r="E311" s="75" t="s">
        <v>208</v>
      </c>
      <c r="F311" s="73" t="s">
        <v>267</v>
      </c>
      <c r="G311" s="73" t="str">
        <f>INDEX(Auxiliar!$B$16:$B$23,MATCH(Plano_V3!H311,Auxiliar!$C$16:$C$23,0),1)</f>
        <v>1. Concluído</v>
      </c>
      <c r="H311" s="73">
        <f>VLOOKUP(A311,'Aux - pivots1'!$A:$B,2,0)</f>
        <v>1</v>
      </c>
      <c r="I311" s="93">
        <f>SUMIFS(Table1[Estimação (horas)],Table1[Tabela],Plano_V3!E311,Table1[Campo],Plano_V3!F311)</f>
        <v>0.6</v>
      </c>
      <c r="J311" s="93">
        <f t="shared" si="41"/>
        <v>7.4999999999999997E-2</v>
      </c>
      <c r="K311" s="93">
        <f>SUMIFS(Table1[Horas efetivas],Table1[Tabela],Plano_V3!E311,Table1[Campo],Plano_V3!F311)</f>
        <v>0.6</v>
      </c>
      <c r="L311" s="93">
        <f t="shared" si="42"/>
        <v>7.4999999999999997E-2</v>
      </c>
      <c r="M311" s="93">
        <f t="shared" si="43"/>
        <v>1</v>
      </c>
      <c r="N311" s="98" t="s">
        <v>39</v>
      </c>
      <c r="O311" s="99">
        <f t="shared" si="44"/>
        <v>7.4999999999999997E-2</v>
      </c>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87"/>
      <c r="AU311" s="87"/>
      <c r="AV311" s="87"/>
      <c r="AW311" s="100"/>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87"/>
      <c r="EJ311" s="87"/>
      <c r="EK311" s="87"/>
      <c r="EL311" s="100"/>
      <c r="EM311" s="100"/>
      <c r="EN311" s="100"/>
      <c r="EO311" s="100"/>
      <c r="EP311" s="100"/>
      <c r="EQ311" s="100"/>
    </row>
    <row r="312" spans="1:147" outlineLevel="1">
      <c r="A312" s="31" t="str">
        <f t="shared" si="45"/>
        <v>modesg_inp_nfrd_alinhamento_taxce_capex_ttl_elgbl</v>
      </c>
      <c r="B312" s="76" t="s">
        <v>28</v>
      </c>
      <c r="C312" s="77" t="s">
        <v>178</v>
      </c>
      <c r="D312" s="73" t="s">
        <v>40</v>
      </c>
      <c r="E312" s="75" t="s">
        <v>208</v>
      </c>
      <c r="F312" s="73" t="s">
        <v>268</v>
      </c>
      <c r="G312" s="73" t="str">
        <f>INDEX(Auxiliar!$B$16:$B$23,MATCH(Plano_V3!H312,Auxiliar!$C$16:$C$23,0),1)</f>
        <v>1. Concluído</v>
      </c>
      <c r="H312" s="73">
        <f>VLOOKUP(A312,'Aux - pivots1'!$A:$B,2,0)</f>
        <v>1</v>
      </c>
      <c r="I312" s="93">
        <f>SUMIFS(Table1[Estimação (horas)],Table1[Tabela],Plano_V3!E312,Table1[Campo],Plano_V3!F312)</f>
        <v>0.6</v>
      </c>
      <c r="J312" s="93">
        <f t="shared" si="41"/>
        <v>7.4999999999999997E-2</v>
      </c>
      <c r="K312" s="93">
        <f>SUMIFS(Table1[Horas efetivas],Table1[Tabela],Plano_V3!E312,Table1[Campo],Plano_V3!F312)</f>
        <v>0.6</v>
      </c>
      <c r="L312" s="93">
        <f t="shared" si="42"/>
        <v>7.4999999999999997E-2</v>
      </c>
      <c r="M312" s="93">
        <f t="shared" si="43"/>
        <v>1</v>
      </c>
      <c r="N312" s="98" t="s">
        <v>39</v>
      </c>
      <c r="O312" s="99">
        <f t="shared" si="44"/>
        <v>7.4999999999999997E-2</v>
      </c>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87"/>
      <c r="AU312" s="87"/>
      <c r="AV312" s="87"/>
      <c r="AW312" s="100"/>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87"/>
      <c r="EJ312" s="87"/>
      <c r="EK312" s="87"/>
      <c r="EL312" s="100"/>
      <c r="EM312" s="100"/>
      <c r="EN312" s="100"/>
      <c r="EO312" s="100"/>
      <c r="EP312" s="100"/>
      <c r="EQ312" s="100"/>
    </row>
    <row r="313" spans="1:147" outlineLevel="1">
      <c r="A313" s="31" t="str">
        <f t="shared" si="45"/>
        <v>modesg_inp_nfrd_alinhamento_taxce_capex_enblng_algnd</v>
      </c>
      <c r="B313" s="76" t="s">
        <v>28</v>
      </c>
      <c r="C313" s="77" t="s">
        <v>178</v>
      </c>
      <c r="D313" s="73" t="s">
        <v>40</v>
      </c>
      <c r="E313" s="75" t="s">
        <v>208</v>
      </c>
      <c r="F313" s="73" t="s">
        <v>269</v>
      </c>
      <c r="G313" s="73" t="str">
        <f>INDEX(Auxiliar!$B$16:$B$23,MATCH(Plano_V3!H313,Auxiliar!$C$16:$C$23,0),1)</f>
        <v>1. Concluído</v>
      </c>
      <c r="H313" s="73">
        <f>VLOOKUP(A313,'Aux - pivots1'!$A:$B,2,0)</f>
        <v>1</v>
      </c>
      <c r="I313" s="93">
        <f>SUMIFS(Table1[Estimação (horas)],Table1[Tabela],Plano_V3!E313,Table1[Campo],Plano_V3!F313)</f>
        <v>0.6</v>
      </c>
      <c r="J313" s="93">
        <f t="shared" si="41"/>
        <v>7.4999999999999997E-2</v>
      </c>
      <c r="K313" s="93">
        <f>SUMIFS(Table1[Horas efetivas],Table1[Tabela],Plano_V3!E313,Table1[Campo],Plano_V3!F313)</f>
        <v>0.6</v>
      </c>
      <c r="L313" s="93">
        <f t="shared" si="42"/>
        <v>7.4999999999999997E-2</v>
      </c>
      <c r="M313" s="93">
        <f t="shared" si="43"/>
        <v>1</v>
      </c>
      <c r="N313" s="98" t="s">
        <v>39</v>
      </c>
      <c r="O313" s="99">
        <f t="shared" si="44"/>
        <v>7.4999999999999997E-2</v>
      </c>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87"/>
      <c r="AU313" s="87"/>
      <c r="AV313" s="87"/>
      <c r="AW313" s="100"/>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87"/>
      <c r="EJ313" s="87"/>
      <c r="EK313" s="87"/>
      <c r="EL313" s="100"/>
      <c r="EM313" s="100"/>
      <c r="EN313" s="100"/>
      <c r="EO313" s="100"/>
      <c r="EP313" s="100"/>
      <c r="EQ313" s="100"/>
    </row>
    <row r="314" spans="1:147" outlineLevel="1">
      <c r="A314" s="31" t="str">
        <f t="shared" si="45"/>
        <v>modesg_inp_nfrd_alinhamento_taxce_capex_own_prfrmnce_algnd</v>
      </c>
      <c r="B314" s="76" t="s">
        <v>28</v>
      </c>
      <c r="C314" s="77" t="s">
        <v>178</v>
      </c>
      <c r="D314" s="73" t="s">
        <v>40</v>
      </c>
      <c r="E314" s="75" t="s">
        <v>208</v>
      </c>
      <c r="F314" s="73" t="s">
        <v>270</v>
      </c>
      <c r="G314" s="73" t="str">
        <f>INDEX(Auxiliar!$B$16:$B$23,MATCH(Plano_V3!H314,Auxiliar!$C$16:$C$23,0),1)</f>
        <v>1. Concluído</v>
      </c>
      <c r="H314" s="73">
        <f>VLOOKUP(A314,'Aux - pivots1'!$A:$B,2,0)</f>
        <v>1</v>
      </c>
      <c r="I314" s="93">
        <f>SUMIFS(Table1[Estimação (horas)],Table1[Tabela],Plano_V3!E314,Table1[Campo],Plano_V3!F314)</f>
        <v>0.6</v>
      </c>
      <c r="J314" s="93">
        <f t="shared" si="41"/>
        <v>7.4999999999999997E-2</v>
      </c>
      <c r="K314" s="93">
        <f>SUMIFS(Table1[Horas efetivas],Table1[Tabela],Plano_V3!E314,Table1[Campo],Plano_V3!F314)</f>
        <v>0.6</v>
      </c>
      <c r="L314" s="93">
        <f t="shared" si="42"/>
        <v>7.4999999999999997E-2</v>
      </c>
      <c r="M314" s="93">
        <f t="shared" si="43"/>
        <v>1</v>
      </c>
      <c r="N314" s="98" t="s">
        <v>39</v>
      </c>
      <c r="O314" s="99">
        <f t="shared" si="44"/>
        <v>7.4999999999999997E-2</v>
      </c>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87"/>
      <c r="AU314" s="87"/>
      <c r="AV314" s="87"/>
      <c r="AW314" s="100"/>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87"/>
      <c r="EJ314" s="87"/>
      <c r="EK314" s="87"/>
      <c r="EL314" s="100"/>
      <c r="EM314" s="100"/>
      <c r="EN314" s="100"/>
      <c r="EO314" s="100"/>
      <c r="EP314" s="100"/>
      <c r="EQ314" s="100"/>
    </row>
    <row r="315" spans="1:147" outlineLevel="1">
      <c r="A315" s="31" t="str">
        <f t="shared" si="45"/>
        <v>modesg_inp_risco_fisicoref_date</v>
      </c>
      <c r="B315" s="76" t="s">
        <v>28</v>
      </c>
      <c r="C315" s="77" t="s">
        <v>178</v>
      </c>
      <c r="D315" s="73" t="s">
        <v>40</v>
      </c>
      <c r="E315" s="75" t="s">
        <v>209</v>
      </c>
      <c r="F315" s="73" t="s">
        <v>73</v>
      </c>
      <c r="G315" s="73" t="str">
        <f>INDEX(Auxiliar!$B$16:$B$23,MATCH(Plano_V3!H315,Auxiliar!$C$16:$C$23,0),1)</f>
        <v>1. Concluído</v>
      </c>
      <c r="H315" s="73">
        <f>VLOOKUP(A315,'Aux - pivots1'!$A:$B,2,0)</f>
        <v>1</v>
      </c>
      <c r="I315" s="93">
        <f>SUMIFS(Table1[Estimação (horas)],Table1[Tabela],Plano_V3!E315,Table1[Campo],Plano_V3!F315)</f>
        <v>0.5</v>
      </c>
      <c r="J315" s="93">
        <f t="shared" si="41"/>
        <v>6.25E-2</v>
      </c>
      <c r="K315" s="93">
        <f>SUMIFS(Table1[Horas efetivas],Table1[Tabela],Plano_V3!E315,Table1[Campo],Plano_V3!F315)</f>
        <v>0.5</v>
      </c>
      <c r="L315" s="93">
        <f t="shared" si="42"/>
        <v>6.25E-2</v>
      </c>
      <c r="M315" s="93">
        <f t="shared" si="43"/>
        <v>1</v>
      </c>
      <c r="N315" s="98" t="s">
        <v>39</v>
      </c>
      <c r="O315" s="99">
        <f t="shared" si="44"/>
        <v>6.25E-2</v>
      </c>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87"/>
      <c r="AU315" s="87"/>
      <c r="AV315" s="87"/>
      <c r="AW315" s="100"/>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87"/>
      <c r="EJ315" s="87"/>
      <c r="EK315" s="87"/>
      <c r="EL315" s="100"/>
      <c r="EM315" s="100"/>
      <c r="EN315" s="100"/>
      <c r="EO315" s="100"/>
      <c r="EP315" s="100"/>
      <c r="EQ315" s="100"/>
    </row>
    <row r="316" spans="1:147" outlineLevel="1">
      <c r="A316" s="31" t="str">
        <f t="shared" si="45"/>
        <v>modesg_inp_risco_fisicocod_pais</v>
      </c>
      <c r="B316" s="76" t="s">
        <v>28</v>
      </c>
      <c r="C316" s="77" t="s">
        <v>178</v>
      </c>
      <c r="D316" s="73" t="s">
        <v>40</v>
      </c>
      <c r="E316" s="75" t="s">
        <v>209</v>
      </c>
      <c r="F316" s="73" t="s">
        <v>103</v>
      </c>
      <c r="G316" s="73" t="str">
        <f>INDEX(Auxiliar!$B$16:$B$23,MATCH(Plano_V3!H316,Auxiliar!$C$16:$C$23,0),1)</f>
        <v>1. Concluído</v>
      </c>
      <c r="H316" s="73">
        <f>VLOOKUP(A316,'Aux - pivots1'!$A:$B,2,0)</f>
        <v>1</v>
      </c>
      <c r="I316" s="93">
        <f>SUMIFS(Table1[Estimação (horas)],Table1[Tabela],Plano_V3!E316,Table1[Campo],Plano_V3!F316)</f>
        <v>0.6</v>
      </c>
      <c r="J316" s="93">
        <f t="shared" si="41"/>
        <v>7.4999999999999997E-2</v>
      </c>
      <c r="K316" s="93">
        <f>SUMIFS(Table1[Horas efetivas],Table1[Tabela],Plano_V3!E316,Table1[Campo],Plano_V3!F316)</f>
        <v>0.6</v>
      </c>
      <c r="L316" s="93">
        <f t="shared" si="42"/>
        <v>7.4999999999999997E-2</v>
      </c>
      <c r="M316" s="93">
        <f t="shared" si="43"/>
        <v>1</v>
      </c>
      <c r="N316" s="98" t="s">
        <v>39</v>
      </c>
      <c r="O316" s="99">
        <f t="shared" si="44"/>
        <v>7.4999999999999997E-2</v>
      </c>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87"/>
      <c r="AU316" s="87"/>
      <c r="AV316" s="87"/>
      <c r="AW316" s="100"/>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87"/>
      <c r="EJ316" s="87"/>
      <c r="EK316" s="87"/>
      <c r="EL316" s="100"/>
      <c r="EM316" s="100"/>
      <c r="EN316" s="100"/>
      <c r="EO316" s="100"/>
      <c r="EP316" s="100"/>
      <c r="EQ316" s="100"/>
    </row>
    <row r="317" spans="1:147" outlineLevel="1">
      <c r="A317" s="31" t="str">
        <f t="shared" si="45"/>
        <v>modesg_inp_risco_fisicocod_nutiii</v>
      </c>
      <c r="B317" s="76" t="s">
        <v>28</v>
      </c>
      <c r="C317" s="77" t="s">
        <v>178</v>
      </c>
      <c r="D317" s="73" t="s">
        <v>40</v>
      </c>
      <c r="E317" s="75" t="s">
        <v>209</v>
      </c>
      <c r="F317" s="73" t="s">
        <v>271</v>
      </c>
      <c r="G317" s="73" t="str">
        <f>INDEX(Auxiliar!$B$16:$B$23,MATCH(Plano_V3!H317,Auxiliar!$C$16:$C$23,0),1)</f>
        <v>1. Concluído</v>
      </c>
      <c r="H317" s="73">
        <f>VLOOKUP(A317,'Aux - pivots1'!$A:$B,2,0)</f>
        <v>1</v>
      </c>
      <c r="I317" s="93">
        <f>SUMIFS(Table1[Estimação (horas)],Table1[Tabela],Plano_V3!E317,Table1[Campo],Plano_V3!F317)</f>
        <v>0.5</v>
      </c>
      <c r="J317" s="93">
        <f t="shared" si="41"/>
        <v>6.25E-2</v>
      </c>
      <c r="K317" s="93">
        <f>SUMIFS(Table1[Horas efetivas],Table1[Tabela],Plano_V3!E317,Table1[Campo],Plano_V3!F317)</f>
        <v>0.5</v>
      </c>
      <c r="L317" s="93">
        <f t="shared" si="42"/>
        <v>6.25E-2</v>
      </c>
      <c r="M317" s="93">
        <f t="shared" si="43"/>
        <v>1</v>
      </c>
      <c r="N317" s="98" t="s">
        <v>39</v>
      </c>
      <c r="O317" s="99">
        <f t="shared" si="44"/>
        <v>6.25E-2</v>
      </c>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87"/>
      <c r="AU317" s="87"/>
      <c r="AV317" s="87"/>
      <c r="AW317" s="100"/>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87"/>
      <c r="EJ317" s="87"/>
      <c r="EK317" s="87"/>
      <c r="EL317" s="100"/>
      <c r="EM317" s="100"/>
      <c r="EN317" s="100"/>
      <c r="EO317" s="100"/>
      <c r="EP317" s="100"/>
      <c r="EQ317" s="100"/>
    </row>
    <row r="318" spans="1:147" outlineLevel="1">
      <c r="A318" s="31" t="str">
        <f t="shared" si="45"/>
        <v>modesg_inp_risco_fisicocod_nace_esg</v>
      </c>
      <c r="B318" s="76" t="s">
        <v>28</v>
      </c>
      <c r="C318" s="77" t="s">
        <v>178</v>
      </c>
      <c r="D318" s="73" t="s">
        <v>40</v>
      </c>
      <c r="E318" s="75" t="s">
        <v>209</v>
      </c>
      <c r="F318" s="73" t="s">
        <v>272</v>
      </c>
      <c r="G318" s="73" t="str">
        <f>INDEX(Auxiliar!$B$16:$B$23,MATCH(Plano_V3!H318,Auxiliar!$C$16:$C$23,0),1)</f>
        <v>4. Validação EF</v>
      </c>
      <c r="H318" s="73">
        <f>VLOOKUP(A318,'Aux - pivots1'!$A:$B,2,0)</f>
        <v>4</v>
      </c>
      <c r="I318" s="93">
        <f>SUMIFS(Table1[Estimação (horas)],Table1[Tabela],Plano_V3!E318,Table1[Campo],Plano_V3!F318)</f>
        <v>0.6</v>
      </c>
      <c r="J318" s="93">
        <f t="shared" si="41"/>
        <v>7.4999999999999997E-2</v>
      </c>
      <c r="K318" s="93">
        <f>SUMIFS(Table1[Horas efetivas],Table1[Tabela],Plano_V3!E318,Table1[Campo],Plano_V3!F318)</f>
        <v>0.15</v>
      </c>
      <c r="L318" s="93">
        <f t="shared" si="42"/>
        <v>1.8749999999999999E-2</v>
      </c>
      <c r="M318" s="93">
        <f t="shared" si="43"/>
        <v>0.25</v>
      </c>
      <c r="N318" s="98" t="s">
        <v>39</v>
      </c>
      <c r="O318" s="99">
        <f t="shared" si="44"/>
        <v>7.4999999999999997E-2</v>
      </c>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87"/>
      <c r="AU318" s="87"/>
      <c r="AV318" s="87"/>
      <c r="AW318" s="100"/>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87"/>
      <c r="EJ318" s="87"/>
      <c r="EK318" s="87"/>
      <c r="EL318" s="100"/>
      <c r="EM318" s="100"/>
      <c r="EN318" s="100"/>
      <c r="EO318" s="100"/>
      <c r="EP318" s="100"/>
      <c r="EQ318" s="100"/>
    </row>
    <row r="319" spans="1:147" outlineLevel="1">
      <c r="A319" s="31" t="str">
        <f t="shared" si="45"/>
        <v>modesg_inp_risco_fisicoflg_rsc_fsc_agd</v>
      </c>
      <c r="B319" s="76" t="s">
        <v>28</v>
      </c>
      <c r="C319" s="77" t="s">
        <v>178</v>
      </c>
      <c r="D319" s="73" t="s">
        <v>40</v>
      </c>
      <c r="E319" s="75" t="s">
        <v>209</v>
      </c>
      <c r="F319" s="73" t="s">
        <v>273</v>
      </c>
      <c r="G319" s="73" t="str">
        <f>INDEX(Auxiliar!$B$16:$B$23,MATCH(Plano_V3!H319,Auxiliar!$C$16:$C$23,0),1)</f>
        <v>1. Concluído</v>
      </c>
      <c r="H319" s="73">
        <f>VLOOKUP(A319,'Aux - pivots1'!$A:$B,2,0)</f>
        <v>1</v>
      </c>
      <c r="I319" s="93">
        <f>SUMIFS(Table1[Estimação (horas)],Table1[Tabela],Plano_V3!E319,Table1[Campo],Plano_V3!F319)</f>
        <v>0.6</v>
      </c>
      <c r="J319" s="93">
        <f t="shared" si="41"/>
        <v>7.4999999999999997E-2</v>
      </c>
      <c r="K319" s="93">
        <f>SUMIFS(Table1[Horas efetivas],Table1[Tabela],Plano_V3!E319,Table1[Campo],Plano_V3!F319)</f>
        <v>0.6</v>
      </c>
      <c r="L319" s="93">
        <f t="shared" si="42"/>
        <v>7.4999999999999997E-2</v>
      </c>
      <c r="M319" s="93">
        <f t="shared" si="43"/>
        <v>1</v>
      </c>
      <c r="N319" s="98" t="s">
        <v>39</v>
      </c>
      <c r="O319" s="99">
        <f t="shared" si="44"/>
        <v>7.4999999999999997E-2</v>
      </c>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87"/>
      <c r="AU319" s="87"/>
      <c r="AV319" s="87"/>
      <c r="AW319" s="100"/>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87"/>
      <c r="EJ319" s="87"/>
      <c r="EK319" s="87"/>
      <c r="EL319" s="100"/>
      <c r="EM319" s="100"/>
      <c r="EN319" s="100"/>
      <c r="EO319" s="100"/>
      <c r="EP319" s="100"/>
      <c r="EQ319" s="100"/>
    </row>
    <row r="320" spans="1:147" outlineLevel="1">
      <c r="A320" s="31" t="str">
        <f t="shared" si="45"/>
        <v>modesg_inp_risco_fisicoflg_rsc_fsc_crnc</v>
      </c>
      <c r="B320" s="76" t="s">
        <v>28</v>
      </c>
      <c r="C320" s="77" t="s">
        <v>178</v>
      </c>
      <c r="D320" s="73" t="s">
        <v>40</v>
      </c>
      <c r="E320" s="75" t="s">
        <v>209</v>
      </c>
      <c r="F320" s="73" t="s">
        <v>274</v>
      </c>
      <c r="G320" s="73" t="str">
        <f>INDEX(Auxiliar!$B$16:$B$23,MATCH(Plano_V3!H320,Auxiliar!$C$16:$C$23,0),1)</f>
        <v>1. Concluído</v>
      </c>
      <c r="H320" s="73">
        <f>VLOOKUP(A320,'Aux - pivots1'!$A:$B,2,0)</f>
        <v>1</v>
      </c>
      <c r="I320" s="93">
        <f>SUMIFS(Table1[Estimação (horas)],Table1[Tabela],Plano_V3!E320,Table1[Campo],Plano_V3!F320)</f>
        <v>0.6</v>
      </c>
      <c r="J320" s="93">
        <f t="shared" si="41"/>
        <v>7.4999999999999997E-2</v>
      </c>
      <c r="K320" s="93">
        <f>SUMIFS(Table1[Horas efetivas],Table1[Tabela],Plano_V3!E320,Table1[Campo],Plano_V3!F320)</f>
        <v>0.6</v>
      </c>
      <c r="L320" s="93">
        <f t="shared" si="42"/>
        <v>7.4999999999999997E-2</v>
      </c>
      <c r="M320" s="93">
        <f t="shared" si="43"/>
        <v>1</v>
      </c>
      <c r="N320" s="98" t="s">
        <v>39</v>
      </c>
      <c r="O320" s="99">
        <f t="shared" si="44"/>
        <v>7.4999999999999997E-2</v>
      </c>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87"/>
      <c r="AU320" s="87"/>
      <c r="AV320" s="87"/>
      <c r="AW320" s="100"/>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87"/>
      <c r="EJ320" s="87"/>
      <c r="EK320" s="87"/>
      <c r="EL320" s="100"/>
      <c r="EM320" s="100"/>
      <c r="EN320" s="100"/>
      <c r="EO320" s="100"/>
      <c r="EP320" s="100"/>
      <c r="EQ320" s="100"/>
    </row>
    <row r="321" spans="1:147" outlineLevel="1">
      <c r="A321" s="31" t="str">
        <f t="shared" si="45"/>
        <v>modesg_inp_emss_scibref_date</v>
      </c>
      <c r="B321" s="76" t="s">
        <v>28</v>
      </c>
      <c r="C321" s="77" t="s">
        <v>178</v>
      </c>
      <c r="D321" s="73" t="s">
        <v>40</v>
      </c>
      <c r="E321" s="75" t="s">
        <v>210</v>
      </c>
      <c r="F321" s="73" t="s">
        <v>73</v>
      </c>
      <c r="G321" s="73" t="str">
        <f>INDEX(Auxiliar!$B$16:$B$23,MATCH(Plano_V3!H321,Auxiliar!$C$16:$C$23,0),1)</f>
        <v>1. Concluído</v>
      </c>
      <c r="H321" s="73">
        <f>VLOOKUP(A321,'Aux - pivots1'!$A:$B,2,0)</f>
        <v>1</v>
      </c>
      <c r="I321" s="93">
        <f>SUMIFS(Table1[Estimação (horas)],Table1[Tabela],Plano_V3!E321,Table1[Campo],Plano_V3!F321)</f>
        <v>0.5</v>
      </c>
      <c r="J321" s="93">
        <f t="shared" si="41"/>
        <v>6.25E-2</v>
      </c>
      <c r="K321" s="93">
        <f>SUMIFS(Table1[Horas efetivas],Table1[Tabela],Plano_V3!E321,Table1[Campo],Plano_V3!F321)</f>
        <v>0.5</v>
      </c>
      <c r="L321" s="93">
        <f t="shared" si="42"/>
        <v>6.25E-2</v>
      </c>
      <c r="M321" s="93">
        <f t="shared" si="43"/>
        <v>1</v>
      </c>
      <c r="N321" s="98" t="s">
        <v>39</v>
      </c>
      <c r="O321" s="99">
        <f t="shared" si="44"/>
        <v>6.25E-2</v>
      </c>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87"/>
      <c r="AU321" s="87"/>
      <c r="AV321" s="87"/>
      <c r="AW321" s="100"/>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87"/>
      <c r="EJ321" s="87"/>
      <c r="EK321" s="87"/>
      <c r="EL321" s="100"/>
      <c r="EM321" s="100"/>
      <c r="EN321" s="100"/>
      <c r="EO321" s="100"/>
      <c r="EP321" s="100"/>
      <c r="EQ321" s="100"/>
    </row>
    <row r="322" spans="1:147" outlineLevel="1">
      <c r="A322" s="31" t="str">
        <f t="shared" si="45"/>
        <v>modesg_inp_emss_scibccli_kgl</v>
      </c>
      <c r="B322" s="76" t="s">
        <v>28</v>
      </c>
      <c r="C322" s="77" t="s">
        <v>178</v>
      </c>
      <c r="D322" s="73" t="s">
        <v>40</v>
      </c>
      <c r="E322" s="75" t="s">
        <v>210</v>
      </c>
      <c r="F322" s="73" t="s">
        <v>232</v>
      </c>
      <c r="G322" s="73" t="str">
        <f>INDEX(Auxiliar!$B$16:$B$23,MATCH(Plano_V3!H322,Auxiliar!$C$16:$C$23,0),1)</f>
        <v>1. Concluído</v>
      </c>
      <c r="H322" s="73">
        <f>VLOOKUP(A322,'Aux - pivots1'!$A:$B,2,0)</f>
        <v>1</v>
      </c>
      <c r="I322" s="93">
        <f>SUMIFS(Table1[Estimação (horas)],Table1[Tabela],Plano_V3!E322,Table1[Campo],Plano_V3!F322)</f>
        <v>0.6</v>
      </c>
      <c r="J322" s="93">
        <f t="shared" si="41"/>
        <v>7.4999999999999997E-2</v>
      </c>
      <c r="K322" s="93">
        <f>SUMIFS(Table1[Horas efetivas],Table1[Tabela],Plano_V3!E322,Table1[Campo],Plano_V3!F322)</f>
        <v>0.6</v>
      </c>
      <c r="L322" s="93">
        <f t="shared" si="42"/>
        <v>7.4999999999999997E-2</v>
      </c>
      <c r="M322" s="93">
        <f t="shared" si="43"/>
        <v>1</v>
      </c>
      <c r="N322" s="98" t="s">
        <v>39</v>
      </c>
      <c r="O322" s="99">
        <f t="shared" si="44"/>
        <v>7.4999999999999997E-2</v>
      </c>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87"/>
      <c r="AU322" s="87"/>
      <c r="AV322" s="87"/>
      <c r="AW322" s="100"/>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87"/>
      <c r="EJ322" s="87"/>
      <c r="EK322" s="87"/>
      <c r="EL322" s="100"/>
      <c r="EM322" s="100"/>
      <c r="EN322" s="100"/>
      <c r="EO322" s="100"/>
      <c r="EP322" s="100"/>
      <c r="EQ322" s="100"/>
    </row>
    <row r="323" spans="1:147" outlineLevel="1">
      <c r="A323" s="31" t="str">
        <f t="shared" si="45"/>
        <v>modesg_inp_emss_scibnome_grupo</v>
      </c>
      <c r="B323" s="76" t="s">
        <v>28</v>
      </c>
      <c r="C323" s="77" t="s">
        <v>178</v>
      </c>
      <c r="D323" s="73" t="s">
        <v>40</v>
      </c>
      <c r="E323" s="75" t="s">
        <v>210</v>
      </c>
      <c r="F323" s="73" t="s">
        <v>275</v>
      </c>
      <c r="G323" s="73" t="str">
        <f>INDEX(Auxiliar!$B$16:$B$23,MATCH(Plano_V3!H323,Auxiliar!$C$16:$C$23,0),1)</f>
        <v>1. Concluído</v>
      </c>
      <c r="H323" s="73">
        <f>VLOOKUP(A323,'Aux - pivots1'!$A:$B,2,0)</f>
        <v>1</v>
      </c>
      <c r="I323" s="93">
        <f>SUMIFS(Table1[Estimação (horas)],Table1[Tabela],Plano_V3!E323,Table1[Campo],Plano_V3!F323)</f>
        <v>0.5</v>
      </c>
      <c r="J323" s="93">
        <f t="shared" si="41"/>
        <v>6.25E-2</v>
      </c>
      <c r="K323" s="93">
        <f>SUMIFS(Table1[Horas efetivas],Table1[Tabela],Plano_V3!E323,Table1[Campo],Plano_V3!F323)</f>
        <v>0.5</v>
      </c>
      <c r="L323" s="93">
        <f t="shared" si="42"/>
        <v>6.25E-2</v>
      </c>
      <c r="M323" s="93">
        <f t="shared" si="43"/>
        <v>1</v>
      </c>
      <c r="N323" s="98" t="s">
        <v>39</v>
      </c>
      <c r="O323" s="99">
        <f t="shared" si="44"/>
        <v>6.25E-2</v>
      </c>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87"/>
      <c r="AU323" s="87"/>
      <c r="AV323" s="87"/>
      <c r="AW323" s="100"/>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87"/>
      <c r="EJ323" s="87"/>
      <c r="EK323" s="87"/>
      <c r="EL323" s="100"/>
      <c r="EM323" s="100"/>
      <c r="EN323" s="100"/>
      <c r="EO323" s="100"/>
      <c r="EP323" s="100"/>
      <c r="EQ323" s="100"/>
    </row>
    <row r="324" spans="1:147" outlineLevel="1">
      <c r="A324" s="31" t="str">
        <f t="shared" si="45"/>
        <v>modesg_inp_emss_scibisin</v>
      </c>
      <c r="B324" s="76" t="s">
        <v>28</v>
      </c>
      <c r="C324" s="77" t="s">
        <v>178</v>
      </c>
      <c r="D324" s="73" t="s">
        <v>40</v>
      </c>
      <c r="E324" s="75" t="s">
        <v>210</v>
      </c>
      <c r="F324" s="73" t="s">
        <v>230</v>
      </c>
      <c r="G324" s="73" t="str">
        <f>INDEX(Auxiliar!$B$16:$B$23,MATCH(Plano_V3!H324,Auxiliar!$C$16:$C$23,0),1)</f>
        <v>1. Concluído</v>
      </c>
      <c r="H324" s="73">
        <f>VLOOKUP(A324,'Aux - pivots1'!$A:$B,2,0)</f>
        <v>1</v>
      </c>
      <c r="I324" s="93">
        <f>SUMIFS(Table1[Estimação (horas)],Table1[Tabela],Plano_V3!E324,Table1[Campo],Plano_V3!F324)</f>
        <v>0.6</v>
      </c>
      <c r="J324" s="93">
        <f t="shared" si="41"/>
        <v>7.4999999999999997E-2</v>
      </c>
      <c r="K324" s="93">
        <f>SUMIFS(Table1[Horas efetivas],Table1[Tabela],Plano_V3!E324,Table1[Campo],Plano_V3!F324)</f>
        <v>0.6</v>
      </c>
      <c r="L324" s="93">
        <f t="shared" si="42"/>
        <v>7.4999999999999997E-2</v>
      </c>
      <c r="M324" s="93">
        <f t="shared" si="43"/>
        <v>1</v>
      </c>
      <c r="N324" s="98" t="s">
        <v>39</v>
      </c>
      <c r="O324" s="99">
        <f t="shared" si="44"/>
        <v>7.4999999999999997E-2</v>
      </c>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87"/>
      <c r="AU324" s="87"/>
      <c r="AV324" s="87"/>
      <c r="AW324" s="100"/>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87"/>
      <c r="EJ324" s="87"/>
      <c r="EK324" s="87"/>
      <c r="EL324" s="100"/>
      <c r="EM324" s="100"/>
      <c r="EN324" s="100"/>
      <c r="EO324" s="100"/>
      <c r="EP324" s="100"/>
      <c r="EQ324" s="100"/>
    </row>
    <row r="325" spans="1:147" outlineLevel="1">
      <c r="A325" s="31" t="str">
        <f t="shared" si="45"/>
        <v>modesg_inp_emss_scibclei</v>
      </c>
      <c r="B325" s="76" t="s">
        <v>28</v>
      </c>
      <c r="C325" s="77" t="s">
        <v>178</v>
      </c>
      <c r="D325" s="73" t="s">
        <v>40</v>
      </c>
      <c r="E325" s="75" t="s">
        <v>210</v>
      </c>
      <c r="F325" s="73" t="s">
        <v>231</v>
      </c>
      <c r="G325" s="73" t="str">
        <f>INDEX(Auxiliar!$B$16:$B$23,MATCH(Plano_V3!H325,Auxiliar!$C$16:$C$23,0),1)</f>
        <v>1. Concluído</v>
      </c>
      <c r="H325" s="73">
        <f>VLOOKUP(A325,'Aux - pivots1'!$A:$B,2,0)</f>
        <v>1</v>
      </c>
      <c r="I325" s="93">
        <f>SUMIFS(Table1[Estimação (horas)],Table1[Tabela],Plano_V3!E325,Table1[Campo],Plano_V3!F325)</f>
        <v>0.6</v>
      </c>
      <c r="J325" s="93">
        <f t="shared" si="41"/>
        <v>7.4999999999999997E-2</v>
      </c>
      <c r="K325" s="93">
        <f>SUMIFS(Table1[Horas efetivas],Table1[Tabela],Plano_V3!E325,Table1[Campo],Plano_V3!F325)</f>
        <v>0.6</v>
      </c>
      <c r="L325" s="93">
        <f t="shared" si="42"/>
        <v>7.4999999999999997E-2</v>
      </c>
      <c r="M325" s="93">
        <f t="shared" si="43"/>
        <v>1</v>
      </c>
      <c r="N325" s="98" t="s">
        <v>39</v>
      </c>
      <c r="O325" s="99">
        <f t="shared" si="44"/>
        <v>7.4999999999999997E-2</v>
      </c>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87"/>
      <c r="AU325" s="87"/>
      <c r="AV325" s="87"/>
      <c r="AW325" s="100"/>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87"/>
      <c r="EJ325" s="87"/>
      <c r="EK325" s="87"/>
      <c r="EL325" s="100"/>
      <c r="EM325" s="100"/>
      <c r="EN325" s="100"/>
      <c r="EO325" s="100"/>
      <c r="EP325" s="100"/>
      <c r="EQ325" s="100"/>
    </row>
    <row r="326" spans="1:147" outlineLevel="1">
      <c r="A326" s="31" t="str">
        <f t="shared" si="45"/>
        <v>modesg_inp_emss_scibscp1_emss</v>
      </c>
      <c r="B326" s="76" t="s">
        <v>28</v>
      </c>
      <c r="C326" s="77" t="s">
        <v>178</v>
      </c>
      <c r="D326" s="73" t="s">
        <v>40</v>
      </c>
      <c r="E326" s="75" t="s">
        <v>210</v>
      </c>
      <c r="F326" s="73" t="s">
        <v>276</v>
      </c>
      <c r="G326" s="73" t="str">
        <f>INDEX(Auxiliar!$B$16:$B$23,MATCH(Plano_V3!H326,Auxiliar!$C$16:$C$23,0),1)</f>
        <v>1. Concluído</v>
      </c>
      <c r="H326" s="73">
        <f>VLOOKUP(A326,'Aux - pivots1'!$A:$B,2,0)</f>
        <v>1</v>
      </c>
      <c r="I326" s="93">
        <f>SUMIFS(Table1[Estimação (horas)],Table1[Tabela],Plano_V3!E326,Table1[Campo],Plano_V3!F326)</f>
        <v>0.6</v>
      </c>
      <c r="J326" s="93">
        <f t="shared" si="41"/>
        <v>7.4999999999999997E-2</v>
      </c>
      <c r="K326" s="93">
        <f>SUMIFS(Table1[Horas efetivas],Table1[Tabela],Plano_V3!E326,Table1[Campo],Plano_V3!F326)</f>
        <v>0.6</v>
      </c>
      <c r="L326" s="93">
        <f t="shared" si="42"/>
        <v>7.4999999999999997E-2</v>
      </c>
      <c r="M326" s="93">
        <f t="shared" si="43"/>
        <v>1</v>
      </c>
      <c r="N326" s="98" t="s">
        <v>39</v>
      </c>
      <c r="O326" s="99">
        <f t="shared" si="44"/>
        <v>7.4999999999999997E-2</v>
      </c>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87"/>
      <c r="AU326" s="87"/>
      <c r="AV326" s="87"/>
      <c r="AW326" s="100"/>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87"/>
      <c r="EJ326" s="87"/>
      <c r="EK326" s="87"/>
      <c r="EL326" s="100"/>
      <c r="EM326" s="100"/>
      <c r="EN326" s="100"/>
      <c r="EO326" s="100"/>
      <c r="EP326" s="100"/>
      <c r="EQ326" s="100"/>
    </row>
    <row r="327" spans="1:147" outlineLevel="1">
      <c r="A327" s="31" t="str">
        <f t="shared" si="45"/>
        <v>modesg_inp_emss_scibscp2_emss</v>
      </c>
      <c r="B327" s="76" t="s">
        <v>28</v>
      </c>
      <c r="C327" s="77" t="s">
        <v>178</v>
      </c>
      <c r="D327" s="73" t="s">
        <v>40</v>
      </c>
      <c r="E327" s="75" t="s">
        <v>210</v>
      </c>
      <c r="F327" s="73" t="s">
        <v>277</v>
      </c>
      <c r="G327" s="73" t="str">
        <f>INDEX(Auxiliar!$B$16:$B$23,MATCH(Plano_V3!H327,Auxiliar!$C$16:$C$23,0),1)</f>
        <v>1. Concluído</v>
      </c>
      <c r="H327" s="73">
        <f>VLOOKUP(A327,'Aux - pivots1'!$A:$B,2,0)</f>
        <v>1</v>
      </c>
      <c r="I327" s="93">
        <f>SUMIFS(Table1[Estimação (horas)],Table1[Tabela],Plano_V3!E327,Table1[Campo],Plano_V3!F327)</f>
        <v>0.6</v>
      </c>
      <c r="J327" s="93">
        <f t="shared" si="41"/>
        <v>7.4999999999999997E-2</v>
      </c>
      <c r="K327" s="93">
        <f>SUMIFS(Table1[Horas efetivas],Table1[Tabela],Plano_V3!E327,Table1[Campo],Plano_V3!F327)</f>
        <v>0.6</v>
      </c>
      <c r="L327" s="93">
        <f t="shared" si="42"/>
        <v>7.4999999999999997E-2</v>
      </c>
      <c r="M327" s="93">
        <f t="shared" si="43"/>
        <v>1</v>
      </c>
      <c r="N327" s="98" t="s">
        <v>39</v>
      </c>
      <c r="O327" s="99">
        <f t="shared" si="44"/>
        <v>7.4999999999999997E-2</v>
      </c>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87"/>
      <c r="AU327" s="87"/>
      <c r="AV327" s="87"/>
      <c r="AW327" s="100"/>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87"/>
      <c r="EJ327" s="87"/>
      <c r="EK327" s="87"/>
      <c r="EL327" s="100"/>
      <c r="EM327" s="100"/>
      <c r="EN327" s="100"/>
      <c r="EO327" s="100"/>
      <c r="EP327" s="100"/>
      <c r="EQ327" s="100"/>
    </row>
    <row r="328" spans="1:147" outlineLevel="1">
      <c r="A328" s="31" t="str">
        <f t="shared" si="45"/>
        <v>modesg_inp_emss_scibscp3_emss</v>
      </c>
      <c r="B328" s="76" t="s">
        <v>28</v>
      </c>
      <c r="C328" s="77" t="s">
        <v>178</v>
      </c>
      <c r="D328" s="73" t="s">
        <v>40</v>
      </c>
      <c r="E328" s="75" t="s">
        <v>210</v>
      </c>
      <c r="F328" s="73" t="s">
        <v>278</v>
      </c>
      <c r="G328" s="73" t="str">
        <f>INDEX(Auxiliar!$B$16:$B$23,MATCH(Plano_V3!H328,Auxiliar!$C$16:$C$23,0),1)</f>
        <v>1. Concluído</v>
      </c>
      <c r="H328" s="73">
        <f>VLOOKUP(A328,'Aux - pivots1'!$A:$B,2,0)</f>
        <v>1</v>
      </c>
      <c r="I328" s="93">
        <f>SUMIFS(Table1[Estimação (horas)],Table1[Tabela],Plano_V3!E328,Table1[Campo],Plano_V3!F328)</f>
        <v>0.6</v>
      </c>
      <c r="J328" s="93">
        <f t="shared" si="41"/>
        <v>7.4999999999999997E-2</v>
      </c>
      <c r="K328" s="93">
        <f>SUMIFS(Table1[Horas efetivas],Table1[Tabela],Plano_V3!E328,Table1[Campo],Plano_V3!F328)</f>
        <v>0.6</v>
      </c>
      <c r="L328" s="93">
        <f t="shared" si="42"/>
        <v>7.4999999999999997E-2</v>
      </c>
      <c r="M328" s="93">
        <f t="shared" si="43"/>
        <v>1</v>
      </c>
      <c r="N328" s="98" t="s">
        <v>39</v>
      </c>
      <c r="O328" s="99">
        <f t="shared" si="44"/>
        <v>7.4999999999999997E-2</v>
      </c>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87"/>
      <c r="AU328" s="87"/>
      <c r="AV328" s="87"/>
      <c r="AW328" s="100"/>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87"/>
      <c r="EJ328" s="87"/>
      <c r="EK328" s="87"/>
      <c r="EL328" s="100"/>
      <c r="EM328" s="100"/>
      <c r="EN328" s="100"/>
      <c r="EO328" s="100"/>
      <c r="EP328" s="100"/>
      <c r="EQ328" s="100"/>
    </row>
    <row r="329" spans="1:147" outlineLevel="1">
      <c r="A329" s="31" t="str">
        <f t="shared" si="45"/>
        <v>modesg_inp_emss_scibscore_scp1</v>
      </c>
      <c r="B329" s="76" t="s">
        <v>28</v>
      </c>
      <c r="C329" s="77" t="s">
        <v>178</v>
      </c>
      <c r="D329" s="73" t="s">
        <v>40</v>
      </c>
      <c r="E329" s="75" t="s">
        <v>210</v>
      </c>
      <c r="F329" s="73" t="s">
        <v>279</v>
      </c>
      <c r="G329" s="73" t="str">
        <f>INDEX(Auxiliar!$B$16:$B$23,MATCH(Plano_V3!H329,Auxiliar!$C$16:$C$23,0),1)</f>
        <v>1. Concluído</v>
      </c>
      <c r="H329" s="73">
        <f>VLOOKUP(A329,'Aux - pivots1'!$A:$B,2,0)</f>
        <v>1</v>
      </c>
      <c r="I329" s="93">
        <f>SUMIFS(Table1[Estimação (horas)],Table1[Tabela],Plano_V3!E329,Table1[Campo],Plano_V3!F329)</f>
        <v>0.5</v>
      </c>
      <c r="J329" s="93">
        <f t="shared" si="41"/>
        <v>6.25E-2</v>
      </c>
      <c r="K329" s="93">
        <f>SUMIFS(Table1[Horas efetivas],Table1[Tabela],Plano_V3!E329,Table1[Campo],Plano_V3!F329)</f>
        <v>0.5</v>
      </c>
      <c r="L329" s="93">
        <f t="shared" si="42"/>
        <v>6.25E-2</v>
      </c>
      <c r="M329" s="93">
        <f t="shared" si="43"/>
        <v>1</v>
      </c>
      <c r="N329" s="98" t="s">
        <v>39</v>
      </c>
      <c r="O329" s="99">
        <f t="shared" si="44"/>
        <v>6.25E-2</v>
      </c>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87"/>
      <c r="AU329" s="87"/>
      <c r="AV329" s="87"/>
      <c r="AW329" s="100"/>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87"/>
      <c r="EJ329" s="87"/>
      <c r="EK329" s="87"/>
      <c r="EL329" s="100"/>
      <c r="EM329" s="100"/>
      <c r="EN329" s="100"/>
      <c r="EO329" s="100"/>
      <c r="EP329" s="100"/>
      <c r="EQ329" s="100"/>
    </row>
    <row r="330" spans="1:147" outlineLevel="1">
      <c r="A330" s="31" t="str">
        <f t="shared" si="45"/>
        <v>modesg_inp_emss_scibscore_scp2</v>
      </c>
      <c r="B330" s="76" t="s">
        <v>28</v>
      </c>
      <c r="C330" s="77" t="s">
        <v>178</v>
      </c>
      <c r="D330" s="73" t="s">
        <v>40</v>
      </c>
      <c r="E330" s="75" t="s">
        <v>210</v>
      </c>
      <c r="F330" s="73" t="s">
        <v>280</v>
      </c>
      <c r="G330" s="73" t="str">
        <f>INDEX(Auxiliar!$B$16:$B$23,MATCH(Plano_V3!H330,Auxiliar!$C$16:$C$23,0),1)</f>
        <v>1. Concluído</v>
      </c>
      <c r="H330" s="73">
        <f>VLOOKUP(A330,'Aux - pivots1'!$A:$B,2,0)</f>
        <v>1</v>
      </c>
      <c r="I330" s="93">
        <f>SUMIFS(Table1[Estimação (horas)],Table1[Tabela],Plano_V3!E330,Table1[Campo],Plano_V3!F330)</f>
        <v>0.5</v>
      </c>
      <c r="J330" s="93">
        <f t="shared" si="41"/>
        <v>6.25E-2</v>
      </c>
      <c r="K330" s="93">
        <f>SUMIFS(Table1[Horas efetivas],Table1[Tabela],Plano_V3!E330,Table1[Campo],Plano_V3!F330)</f>
        <v>0.5</v>
      </c>
      <c r="L330" s="93">
        <f t="shared" si="42"/>
        <v>6.25E-2</v>
      </c>
      <c r="M330" s="93">
        <f t="shared" si="43"/>
        <v>1</v>
      </c>
      <c r="N330" s="98" t="s">
        <v>39</v>
      </c>
      <c r="O330" s="99">
        <f t="shared" si="44"/>
        <v>6.25E-2</v>
      </c>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87"/>
      <c r="AU330" s="87"/>
      <c r="AV330" s="87"/>
      <c r="AW330" s="100"/>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87"/>
      <c r="EJ330" s="87"/>
      <c r="EK330" s="87"/>
      <c r="EL330" s="100"/>
      <c r="EM330" s="100"/>
      <c r="EN330" s="100"/>
      <c r="EO330" s="100"/>
      <c r="EP330" s="100"/>
      <c r="EQ330" s="100"/>
    </row>
    <row r="331" spans="1:147" outlineLevel="1">
      <c r="A331" s="31" t="str">
        <f t="shared" si="45"/>
        <v>modesg_inp_emss_scibscore_scp3</v>
      </c>
      <c r="B331" s="76" t="s">
        <v>28</v>
      </c>
      <c r="C331" s="77" t="s">
        <v>178</v>
      </c>
      <c r="D331" s="73" t="s">
        <v>40</v>
      </c>
      <c r="E331" s="75" t="s">
        <v>210</v>
      </c>
      <c r="F331" s="73" t="s">
        <v>281</v>
      </c>
      <c r="G331" s="73" t="str">
        <f>INDEX(Auxiliar!$B$16:$B$23,MATCH(Plano_V3!H331,Auxiliar!$C$16:$C$23,0),1)</f>
        <v>1. Concluído</v>
      </c>
      <c r="H331" s="73">
        <f>VLOOKUP(A331,'Aux - pivots1'!$A:$B,2,0)</f>
        <v>1</v>
      </c>
      <c r="I331" s="93">
        <f>SUMIFS(Table1[Estimação (horas)],Table1[Tabela],Plano_V3!E331,Table1[Campo],Plano_V3!F331)</f>
        <v>0.5</v>
      </c>
      <c r="J331" s="93">
        <f t="shared" si="41"/>
        <v>6.25E-2</v>
      </c>
      <c r="K331" s="93">
        <f>SUMIFS(Table1[Horas efetivas],Table1[Tabela],Plano_V3!E331,Table1[Campo],Plano_V3!F331)</f>
        <v>0.5</v>
      </c>
      <c r="L331" s="93">
        <f t="shared" si="42"/>
        <v>6.25E-2</v>
      </c>
      <c r="M331" s="93">
        <f t="shared" si="43"/>
        <v>1</v>
      </c>
      <c r="N331" s="98" t="s">
        <v>39</v>
      </c>
      <c r="O331" s="99">
        <f t="shared" si="44"/>
        <v>6.25E-2</v>
      </c>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87"/>
      <c r="AU331" s="87"/>
      <c r="AV331" s="87"/>
      <c r="AW331" s="100"/>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87"/>
      <c r="EJ331" s="87"/>
      <c r="EK331" s="87"/>
      <c r="EL331" s="100"/>
      <c r="EM331" s="100"/>
      <c r="EN331" s="100"/>
      <c r="EO331" s="100"/>
      <c r="EP331" s="100"/>
      <c r="EQ331" s="100"/>
    </row>
    <row r="332" spans="1:147" outlineLevel="1">
      <c r="A332" s="31" t="str">
        <f t="shared" si="45"/>
        <v>modesg_inp_emss_sciborigem_scp1</v>
      </c>
      <c r="B332" s="76" t="s">
        <v>28</v>
      </c>
      <c r="C332" s="77" t="s">
        <v>178</v>
      </c>
      <c r="D332" s="73" t="s">
        <v>40</v>
      </c>
      <c r="E332" s="75" t="s">
        <v>210</v>
      </c>
      <c r="F332" s="73" t="s">
        <v>282</v>
      </c>
      <c r="G332" s="73" t="str">
        <f>INDEX(Auxiliar!$B$16:$B$23,MATCH(Plano_V3!H332,Auxiliar!$C$16:$C$23,0),1)</f>
        <v>1. Concluído</v>
      </c>
      <c r="H332" s="73">
        <f>VLOOKUP(A332,'Aux - pivots1'!$A:$B,2,0)</f>
        <v>1</v>
      </c>
      <c r="I332" s="93">
        <f>SUMIFS(Table1[Estimação (horas)],Table1[Tabela],Plano_V3!E332,Table1[Campo],Plano_V3!F332)</f>
        <v>0.5</v>
      </c>
      <c r="J332" s="93">
        <f t="shared" si="41"/>
        <v>6.25E-2</v>
      </c>
      <c r="K332" s="93">
        <f>SUMIFS(Table1[Horas efetivas],Table1[Tabela],Plano_V3!E332,Table1[Campo],Plano_V3!F332)</f>
        <v>0.5</v>
      </c>
      <c r="L332" s="93">
        <f t="shared" si="42"/>
        <v>6.25E-2</v>
      </c>
      <c r="M332" s="93">
        <f t="shared" si="43"/>
        <v>1</v>
      </c>
      <c r="N332" s="98" t="s">
        <v>39</v>
      </c>
      <c r="O332" s="99">
        <f t="shared" si="44"/>
        <v>6.25E-2</v>
      </c>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87"/>
      <c r="AU332" s="87"/>
      <c r="AV332" s="87"/>
      <c r="AW332" s="100"/>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87"/>
      <c r="EJ332" s="87"/>
      <c r="EK332" s="87"/>
      <c r="EL332" s="100"/>
      <c r="EM332" s="100"/>
      <c r="EN332" s="100"/>
      <c r="EO332" s="100"/>
      <c r="EP332" s="100"/>
      <c r="EQ332" s="100"/>
    </row>
    <row r="333" spans="1:147" outlineLevel="1">
      <c r="A333" s="31" t="str">
        <f t="shared" si="45"/>
        <v>modesg_inp_emss_sciborigem_scp2</v>
      </c>
      <c r="B333" s="76" t="s">
        <v>28</v>
      </c>
      <c r="C333" s="77" t="s">
        <v>178</v>
      </c>
      <c r="D333" s="73" t="s">
        <v>40</v>
      </c>
      <c r="E333" s="75" t="s">
        <v>210</v>
      </c>
      <c r="F333" s="73" t="s">
        <v>283</v>
      </c>
      <c r="G333" s="73" t="str">
        <f>INDEX(Auxiliar!$B$16:$B$23,MATCH(Plano_V3!H333,Auxiliar!$C$16:$C$23,0),1)</f>
        <v>1. Concluído</v>
      </c>
      <c r="H333" s="73">
        <f>VLOOKUP(A333,'Aux - pivots1'!$A:$B,2,0)</f>
        <v>1</v>
      </c>
      <c r="I333" s="93">
        <f>SUMIFS(Table1[Estimação (horas)],Table1[Tabela],Plano_V3!E333,Table1[Campo],Plano_V3!F333)</f>
        <v>0.5</v>
      </c>
      <c r="J333" s="93">
        <f t="shared" si="41"/>
        <v>6.25E-2</v>
      </c>
      <c r="K333" s="93">
        <f>SUMIFS(Table1[Horas efetivas],Table1[Tabela],Plano_V3!E333,Table1[Campo],Plano_V3!F333)</f>
        <v>0.5</v>
      </c>
      <c r="L333" s="93">
        <f t="shared" si="42"/>
        <v>6.25E-2</v>
      </c>
      <c r="M333" s="93">
        <f t="shared" si="43"/>
        <v>1</v>
      </c>
      <c r="N333" s="98" t="s">
        <v>39</v>
      </c>
      <c r="O333" s="99">
        <f t="shared" si="44"/>
        <v>6.25E-2</v>
      </c>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87"/>
      <c r="AU333" s="87"/>
      <c r="AV333" s="87"/>
      <c r="AW333" s="100"/>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87"/>
      <c r="EJ333" s="87"/>
      <c r="EK333" s="87"/>
      <c r="EL333" s="100"/>
      <c r="EM333" s="100"/>
      <c r="EN333" s="100"/>
      <c r="EO333" s="100"/>
      <c r="EP333" s="100"/>
      <c r="EQ333" s="100"/>
    </row>
    <row r="334" spans="1:147" outlineLevel="1">
      <c r="A334" s="31" t="str">
        <f t="shared" si="45"/>
        <v>modesg_inp_emss_sciborigem_scp3</v>
      </c>
      <c r="B334" s="76" t="s">
        <v>28</v>
      </c>
      <c r="C334" s="77" t="s">
        <v>178</v>
      </c>
      <c r="D334" s="73" t="s">
        <v>40</v>
      </c>
      <c r="E334" s="75" t="s">
        <v>210</v>
      </c>
      <c r="F334" s="73" t="s">
        <v>284</v>
      </c>
      <c r="G334" s="73" t="str">
        <f>INDEX(Auxiliar!$B$16:$B$23,MATCH(Plano_V3!H334,Auxiliar!$C$16:$C$23,0),1)</f>
        <v>1. Concluído</v>
      </c>
      <c r="H334" s="73">
        <f>VLOOKUP(A334,'Aux - pivots1'!$A:$B,2,0)</f>
        <v>1</v>
      </c>
      <c r="I334" s="93">
        <f>SUMIFS(Table1[Estimação (horas)],Table1[Tabela],Plano_V3!E334,Table1[Campo],Plano_V3!F334)</f>
        <v>0.5</v>
      </c>
      <c r="J334" s="93">
        <f t="shared" si="41"/>
        <v>6.25E-2</v>
      </c>
      <c r="K334" s="93">
        <f>SUMIFS(Table1[Horas efetivas],Table1[Tabela],Plano_V3!E334,Table1[Campo],Plano_V3!F334)</f>
        <v>0.5</v>
      </c>
      <c r="L334" s="93">
        <f t="shared" si="42"/>
        <v>6.25E-2</v>
      </c>
      <c r="M334" s="93">
        <f t="shared" si="43"/>
        <v>1</v>
      </c>
      <c r="N334" s="98" t="s">
        <v>39</v>
      </c>
      <c r="O334" s="99">
        <f t="shared" si="44"/>
        <v>6.25E-2</v>
      </c>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87"/>
      <c r="AU334" s="87"/>
      <c r="AV334" s="87"/>
      <c r="AW334" s="100"/>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87"/>
      <c r="EJ334" s="87"/>
      <c r="EK334" s="87"/>
      <c r="EL334" s="100"/>
      <c r="EM334" s="100"/>
      <c r="EN334" s="100"/>
      <c r="EO334" s="100"/>
      <c r="EP334" s="100"/>
      <c r="EQ334" s="100"/>
    </row>
    <row r="335" spans="1:147" outlineLevel="1">
      <c r="A335" s="31" t="str">
        <f t="shared" si="45"/>
        <v>modesg_inp_emss_scibano_info</v>
      </c>
      <c r="B335" s="76" t="s">
        <v>28</v>
      </c>
      <c r="C335" s="77" t="s">
        <v>178</v>
      </c>
      <c r="D335" s="73" t="s">
        <v>40</v>
      </c>
      <c r="E335" s="75" t="s">
        <v>210</v>
      </c>
      <c r="F335" s="73" t="s">
        <v>285</v>
      </c>
      <c r="G335" s="73" t="str">
        <f>INDEX(Auxiliar!$B$16:$B$23,MATCH(Plano_V3!H335,Auxiliar!$C$16:$C$23,0),1)</f>
        <v>1. Concluído</v>
      </c>
      <c r="H335" s="73">
        <f>VLOOKUP(A335,'Aux - pivots1'!$A:$B,2,0)</f>
        <v>1</v>
      </c>
      <c r="I335" s="93">
        <f>SUMIFS(Table1[Estimação (horas)],Table1[Tabela],Plano_V3!E335,Table1[Campo],Plano_V3!F335)</f>
        <v>0.5</v>
      </c>
      <c r="J335" s="93">
        <f t="shared" si="41"/>
        <v>6.25E-2</v>
      </c>
      <c r="K335" s="93">
        <f>SUMIFS(Table1[Horas efetivas],Table1[Tabela],Plano_V3!E335,Table1[Campo],Plano_V3!F335)</f>
        <v>0.5</v>
      </c>
      <c r="L335" s="93">
        <f t="shared" si="42"/>
        <v>6.25E-2</v>
      </c>
      <c r="M335" s="93">
        <f t="shared" si="43"/>
        <v>1</v>
      </c>
      <c r="N335" s="98" t="s">
        <v>39</v>
      </c>
      <c r="O335" s="99">
        <f t="shared" si="44"/>
        <v>6.25E-2</v>
      </c>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87"/>
      <c r="AU335" s="87"/>
      <c r="AV335" s="87"/>
      <c r="AW335" s="100"/>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87"/>
      <c r="EJ335" s="87"/>
      <c r="EK335" s="87"/>
      <c r="EL335" s="100"/>
      <c r="EM335" s="100"/>
      <c r="EN335" s="100"/>
      <c r="EO335" s="100"/>
      <c r="EP335" s="100"/>
      <c r="EQ335" s="100"/>
    </row>
    <row r="336" spans="1:147" outlineLevel="1">
      <c r="A336" s="31" t="str">
        <f t="shared" si="45"/>
        <v>modesg_inp_emss_scibdivida_total</v>
      </c>
      <c r="B336" s="76" t="s">
        <v>28</v>
      </c>
      <c r="C336" s="77" t="s">
        <v>178</v>
      </c>
      <c r="D336" s="73" t="s">
        <v>40</v>
      </c>
      <c r="E336" s="75" t="s">
        <v>210</v>
      </c>
      <c r="F336" s="73" t="s">
        <v>286</v>
      </c>
      <c r="G336" s="73" t="str">
        <f>INDEX(Auxiliar!$B$16:$B$23,MATCH(Plano_V3!H336,Auxiliar!$C$16:$C$23,0),1)</f>
        <v>1. Concluído</v>
      </c>
      <c r="H336" s="73">
        <f>VLOOKUP(A336,'Aux - pivots1'!$A:$B,2,0)</f>
        <v>1</v>
      </c>
      <c r="I336" s="93">
        <f>SUMIFS(Table1[Estimação (horas)],Table1[Tabela],Plano_V3!E336,Table1[Campo],Plano_V3!F336)</f>
        <v>0.5</v>
      </c>
      <c r="J336" s="93">
        <f t="shared" ref="J336:J369" si="46">I336/8</f>
        <v>6.25E-2</v>
      </c>
      <c r="K336" s="93">
        <f>SUMIFS(Table1[Horas efetivas],Table1[Tabela],Plano_V3!E336,Table1[Campo],Plano_V3!F336)</f>
        <v>0.5</v>
      </c>
      <c r="L336" s="93">
        <f t="shared" si="42"/>
        <v>6.25E-2</v>
      </c>
      <c r="M336" s="93">
        <f t="shared" si="43"/>
        <v>1</v>
      </c>
      <c r="N336" s="98" t="s">
        <v>39</v>
      </c>
      <c r="O336" s="99">
        <f t="shared" si="44"/>
        <v>6.25E-2</v>
      </c>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87"/>
      <c r="AU336" s="87"/>
      <c r="AV336" s="87"/>
      <c r="AW336" s="100"/>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87"/>
      <c r="EJ336" s="87"/>
      <c r="EK336" s="87"/>
      <c r="EL336" s="100"/>
      <c r="EM336" s="100"/>
      <c r="EN336" s="100"/>
      <c r="EO336" s="100"/>
      <c r="EP336" s="100"/>
      <c r="EQ336" s="100"/>
    </row>
    <row r="337" spans="1:147" outlineLevel="1">
      <c r="A337" s="31" t="str">
        <f t="shared" si="45"/>
        <v>modesg_inp_emss_scibcapital_proprio</v>
      </c>
      <c r="B337" s="76" t="s">
        <v>28</v>
      </c>
      <c r="C337" s="77" t="s">
        <v>178</v>
      </c>
      <c r="D337" s="73" t="s">
        <v>40</v>
      </c>
      <c r="E337" s="75" t="s">
        <v>210</v>
      </c>
      <c r="F337" s="73" t="s">
        <v>287</v>
      </c>
      <c r="G337" s="73" t="str">
        <f>INDEX(Auxiliar!$B$16:$B$23,MATCH(Plano_V3!H337,Auxiliar!$C$16:$C$23,0),1)</f>
        <v>1. Concluído</v>
      </c>
      <c r="H337" s="73">
        <f>VLOOKUP(A337,'Aux - pivots1'!$A:$B,2,0)</f>
        <v>1</v>
      </c>
      <c r="I337" s="93">
        <f>SUMIFS(Table1[Estimação (horas)],Table1[Tabela],Plano_V3!E337,Table1[Campo],Plano_V3!F337)</f>
        <v>0.5</v>
      </c>
      <c r="J337" s="93">
        <f t="shared" si="46"/>
        <v>6.25E-2</v>
      </c>
      <c r="K337" s="93">
        <f>SUMIFS(Table1[Horas efetivas],Table1[Tabela],Plano_V3!E337,Table1[Campo],Plano_V3!F337)</f>
        <v>0.5</v>
      </c>
      <c r="L337" s="93">
        <f t="shared" ref="L337:L369" si="47">K337/8</f>
        <v>6.25E-2</v>
      </c>
      <c r="M337" s="93">
        <f t="shared" ref="M337:M369" si="48">L337/J337</f>
        <v>1</v>
      </c>
      <c r="N337" s="98" t="s">
        <v>39</v>
      </c>
      <c r="O337" s="99">
        <f t="shared" si="44"/>
        <v>6.25E-2</v>
      </c>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87"/>
      <c r="AU337" s="87"/>
      <c r="AV337" s="87"/>
      <c r="AW337" s="100"/>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87"/>
      <c r="EJ337" s="87"/>
      <c r="EK337" s="87"/>
      <c r="EL337" s="100"/>
      <c r="EM337" s="100"/>
      <c r="EN337" s="100"/>
      <c r="EO337" s="100"/>
      <c r="EP337" s="100"/>
      <c r="EQ337" s="100"/>
    </row>
    <row r="338" spans="1:147" outlineLevel="1">
      <c r="A338" s="31" t="str">
        <f t="shared" si="45"/>
        <v>modesg_inp_emss_naceref_date</v>
      </c>
      <c r="B338" s="76" t="s">
        <v>28</v>
      </c>
      <c r="C338" s="77" t="s">
        <v>178</v>
      </c>
      <c r="D338" s="73" t="s">
        <v>40</v>
      </c>
      <c r="E338" s="75" t="s">
        <v>211</v>
      </c>
      <c r="F338" s="73" t="s">
        <v>73</v>
      </c>
      <c r="G338" s="73" t="str">
        <f>INDEX(Auxiliar!$B$16:$B$23,MATCH(Plano_V3!H338,Auxiliar!$C$16:$C$23,0),1)</f>
        <v>1. Concluído</v>
      </c>
      <c r="H338" s="73">
        <f>VLOOKUP(A338,'Aux - pivots1'!$A:$B,2,0)</f>
        <v>1</v>
      </c>
      <c r="I338" s="93">
        <f>SUMIFS(Table1[Estimação (horas)],Table1[Tabela],Plano_V3!E338,Table1[Campo],Plano_V3!F338)</f>
        <v>0.5</v>
      </c>
      <c r="J338" s="93">
        <f t="shared" si="46"/>
        <v>6.25E-2</v>
      </c>
      <c r="K338" s="93">
        <f>SUMIFS(Table1[Horas efetivas],Table1[Tabela],Plano_V3!E338,Table1[Campo],Plano_V3!F338)</f>
        <v>0.5</v>
      </c>
      <c r="L338" s="93">
        <f t="shared" si="47"/>
        <v>6.25E-2</v>
      </c>
      <c r="M338" s="93">
        <f t="shared" si="48"/>
        <v>1</v>
      </c>
      <c r="N338" s="98" t="s">
        <v>39</v>
      </c>
      <c r="O338" s="99">
        <f t="shared" si="44"/>
        <v>6.25E-2</v>
      </c>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87"/>
      <c r="AU338" s="87"/>
      <c r="AV338" s="87"/>
      <c r="AW338" s="100"/>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87"/>
      <c r="EJ338" s="87"/>
      <c r="EK338" s="87"/>
      <c r="EL338" s="100"/>
      <c r="EM338" s="100"/>
      <c r="EN338" s="100"/>
      <c r="EO338" s="100"/>
      <c r="EP338" s="100"/>
      <c r="EQ338" s="100"/>
    </row>
    <row r="339" spans="1:147" outlineLevel="1">
      <c r="A339" s="31" t="str">
        <f t="shared" si="45"/>
        <v>modesg_inp_emss_naceano</v>
      </c>
      <c r="B339" s="76" t="s">
        <v>28</v>
      </c>
      <c r="C339" s="77" t="s">
        <v>178</v>
      </c>
      <c r="D339" s="73" t="s">
        <v>40</v>
      </c>
      <c r="E339" s="75" t="s">
        <v>211</v>
      </c>
      <c r="F339" s="73" t="s">
        <v>288</v>
      </c>
      <c r="G339" s="73" t="str">
        <f>INDEX(Auxiliar!$B$16:$B$23,MATCH(Plano_V3!H339,Auxiliar!$C$16:$C$23,0),1)</f>
        <v>1. Concluído</v>
      </c>
      <c r="H339" s="73">
        <f>VLOOKUP(A339,'Aux - pivots1'!$A:$B,2,0)</f>
        <v>1</v>
      </c>
      <c r="I339" s="93">
        <f>SUMIFS(Table1[Estimação (horas)],Table1[Tabela],Plano_V3!E339,Table1[Campo],Plano_V3!F339)</f>
        <v>0.5</v>
      </c>
      <c r="J339" s="93">
        <f t="shared" si="46"/>
        <v>6.25E-2</v>
      </c>
      <c r="K339" s="93">
        <f>SUMIFS(Table1[Horas efetivas],Table1[Tabela],Plano_V3!E339,Table1[Campo],Plano_V3!F339)</f>
        <v>0.5</v>
      </c>
      <c r="L339" s="93">
        <f t="shared" si="47"/>
        <v>6.25E-2</v>
      </c>
      <c r="M339" s="93">
        <f t="shared" si="48"/>
        <v>1</v>
      </c>
      <c r="N339" s="98" t="s">
        <v>39</v>
      </c>
      <c r="O339" s="99">
        <f t="shared" si="44"/>
        <v>6.25E-2</v>
      </c>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87"/>
      <c r="AU339" s="87"/>
      <c r="AV339" s="87"/>
      <c r="AW339" s="100"/>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87"/>
      <c r="EJ339" s="87"/>
      <c r="EK339" s="87"/>
      <c r="EL339" s="100"/>
      <c r="EM339" s="100"/>
      <c r="EN339" s="100"/>
      <c r="EO339" s="100"/>
      <c r="EP339" s="100"/>
      <c r="EQ339" s="100"/>
    </row>
    <row r="340" spans="1:147" outlineLevel="1">
      <c r="A340" s="31" t="str">
        <f t="shared" si="45"/>
        <v>modesg_inp_emss_nacenome_pais</v>
      </c>
      <c r="B340" s="76" t="s">
        <v>28</v>
      </c>
      <c r="C340" s="77" t="s">
        <v>178</v>
      </c>
      <c r="D340" s="73" t="s">
        <v>40</v>
      </c>
      <c r="E340" s="75" t="s">
        <v>211</v>
      </c>
      <c r="F340" s="73" t="s">
        <v>214</v>
      </c>
      <c r="G340" s="73" t="str">
        <f>INDEX(Auxiliar!$B$16:$B$23,MATCH(Plano_V3!H340,Auxiliar!$C$16:$C$23,0),1)</f>
        <v>1. Concluído</v>
      </c>
      <c r="H340" s="73">
        <f>VLOOKUP(A340,'Aux - pivots1'!$A:$B,2,0)</f>
        <v>1</v>
      </c>
      <c r="I340" s="93">
        <f>SUMIFS(Table1[Estimação (horas)],Table1[Tabela],Plano_V3!E340,Table1[Campo],Plano_V3!F340)</f>
        <v>0.5</v>
      </c>
      <c r="J340" s="93">
        <f t="shared" si="46"/>
        <v>6.25E-2</v>
      </c>
      <c r="K340" s="93">
        <f>SUMIFS(Table1[Horas efetivas],Table1[Tabela],Plano_V3!E340,Table1[Campo],Plano_V3!F340)</f>
        <v>0.5</v>
      </c>
      <c r="L340" s="93">
        <f t="shared" si="47"/>
        <v>6.25E-2</v>
      </c>
      <c r="M340" s="93">
        <f t="shared" si="48"/>
        <v>1</v>
      </c>
      <c r="N340" s="98" t="s">
        <v>39</v>
      </c>
      <c r="O340" s="99">
        <f t="shared" si="44"/>
        <v>6.25E-2</v>
      </c>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87"/>
      <c r="AU340" s="87"/>
      <c r="AV340" s="87"/>
      <c r="AW340" s="100"/>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87"/>
      <c r="EJ340" s="87"/>
      <c r="EK340" s="87"/>
      <c r="EL340" s="100"/>
      <c r="EM340" s="100"/>
      <c r="EN340" s="100"/>
      <c r="EO340" s="100"/>
      <c r="EP340" s="100"/>
      <c r="EQ340" s="100"/>
    </row>
    <row r="341" spans="1:147" outlineLevel="1">
      <c r="A341" s="31" t="str">
        <f t="shared" si="45"/>
        <v>modesg_inp_emss_nacecod_nace_esg</v>
      </c>
      <c r="B341" s="76" t="s">
        <v>28</v>
      </c>
      <c r="C341" s="77" t="s">
        <v>178</v>
      </c>
      <c r="D341" s="73" t="s">
        <v>40</v>
      </c>
      <c r="E341" s="75" t="s">
        <v>211</v>
      </c>
      <c r="F341" s="73" t="s">
        <v>272</v>
      </c>
      <c r="G341" s="73" t="str">
        <f>INDEX(Auxiliar!$B$16:$B$23,MATCH(Plano_V3!H341,Auxiliar!$C$16:$C$23,0),1)</f>
        <v>1. Concluído</v>
      </c>
      <c r="H341" s="73">
        <f>VLOOKUP(A341,'Aux - pivots1'!$A:$B,2,0)</f>
        <v>1</v>
      </c>
      <c r="I341" s="93">
        <f>SUMIFS(Table1[Estimação (horas)],Table1[Tabela],Plano_V3!E341,Table1[Campo],Plano_V3!F341)</f>
        <v>0.6</v>
      </c>
      <c r="J341" s="93">
        <f t="shared" si="46"/>
        <v>7.4999999999999997E-2</v>
      </c>
      <c r="K341" s="93">
        <f>SUMIFS(Table1[Horas efetivas],Table1[Tabela],Plano_V3!E341,Table1[Campo],Plano_V3!F341)</f>
        <v>0.6</v>
      </c>
      <c r="L341" s="93">
        <f t="shared" si="47"/>
        <v>7.4999999999999997E-2</v>
      </c>
      <c r="M341" s="93">
        <f t="shared" si="48"/>
        <v>1</v>
      </c>
      <c r="N341" s="98" t="s">
        <v>39</v>
      </c>
      <c r="O341" s="99">
        <f t="shared" si="44"/>
        <v>7.4999999999999997E-2</v>
      </c>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87"/>
      <c r="AU341" s="87"/>
      <c r="AV341" s="87"/>
      <c r="AW341" s="100"/>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87"/>
      <c r="EJ341" s="87"/>
      <c r="EK341" s="87"/>
      <c r="EL341" s="100"/>
      <c r="EM341" s="100"/>
      <c r="EN341" s="100"/>
      <c r="EO341" s="100"/>
      <c r="EP341" s="100"/>
      <c r="EQ341" s="100"/>
    </row>
    <row r="342" spans="1:147" outlineLevel="1">
      <c r="A342" s="31" t="str">
        <f t="shared" si="45"/>
        <v>modesg_inp_emss_nacecod_class_indust</v>
      </c>
      <c r="B342" s="76" t="s">
        <v>28</v>
      </c>
      <c r="C342" s="77" t="s">
        <v>178</v>
      </c>
      <c r="D342" s="73" t="s">
        <v>40</v>
      </c>
      <c r="E342" s="75" t="s">
        <v>211</v>
      </c>
      <c r="F342" s="73" t="s">
        <v>289</v>
      </c>
      <c r="G342" s="73" t="str">
        <f>INDEX(Auxiliar!$B$16:$B$23,MATCH(Plano_V3!H342,Auxiliar!$C$16:$C$23,0),1)</f>
        <v>1. Concluído</v>
      </c>
      <c r="H342" s="73">
        <f>VLOOKUP(A342,'Aux - pivots1'!$A:$B,2,0)</f>
        <v>1</v>
      </c>
      <c r="I342" s="93">
        <f>SUMIFS(Table1[Estimação (horas)],Table1[Tabela],Plano_V3!E342,Table1[Campo],Plano_V3!F342)</f>
        <v>0.5</v>
      </c>
      <c r="J342" s="93">
        <f t="shared" si="46"/>
        <v>6.25E-2</v>
      </c>
      <c r="K342" s="93">
        <f>SUMIFS(Table1[Horas efetivas],Table1[Tabela],Plano_V3!E342,Table1[Campo],Plano_V3!F342)</f>
        <v>0.5</v>
      </c>
      <c r="L342" s="93">
        <f t="shared" si="47"/>
        <v>6.25E-2</v>
      </c>
      <c r="M342" s="93">
        <f t="shared" si="48"/>
        <v>1</v>
      </c>
      <c r="N342" s="98" t="s">
        <v>39</v>
      </c>
      <c r="O342" s="99">
        <f t="shared" si="44"/>
        <v>6.25E-2</v>
      </c>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87"/>
      <c r="AU342" s="87"/>
      <c r="AV342" s="87"/>
      <c r="AW342" s="100"/>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87"/>
      <c r="EJ342" s="87"/>
      <c r="EK342" s="87"/>
      <c r="EL342" s="100"/>
      <c r="EM342" s="100"/>
      <c r="EN342" s="100"/>
      <c r="EO342" s="100"/>
      <c r="EP342" s="100"/>
      <c r="EQ342" s="100"/>
    </row>
    <row r="343" spans="1:147" outlineLevel="1">
      <c r="A343" s="31" t="str">
        <f t="shared" si="45"/>
        <v>modesg_inp_emss_nacenivel_classificacao_1</v>
      </c>
      <c r="B343" s="76" t="s">
        <v>28</v>
      </c>
      <c r="C343" s="77" t="s">
        <v>178</v>
      </c>
      <c r="D343" s="73" t="s">
        <v>40</v>
      </c>
      <c r="E343" s="75" t="s">
        <v>211</v>
      </c>
      <c r="F343" s="73" t="s">
        <v>1826</v>
      </c>
      <c r="G343" s="73" t="str">
        <f>INDEX(Auxiliar!$B$16:$B$23,MATCH(Plano_V3!H343,Auxiliar!$C$16:$C$23,0),1)</f>
        <v>1. Concluído</v>
      </c>
      <c r="H343" s="73">
        <f>VLOOKUP(A343,'Aux - pivots1'!$A:$B,2,0)</f>
        <v>1</v>
      </c>
      <c r="I343" s="93">
        <f>SUMIFS(Table1[Estimação (horas)],Table1[Tabela],Plano_V3!E343,Table1[Campo],Plano_V3!F343)</f>
        <v>0.5</v>
      </c>
      <c r="J343" s="93">
        <f t="shared" si="46"/>
        <v>6.25E-2</v>
      </c>
      <c r="K343" s="93">
        <f>SUMIFS(Table1[Horas efetivas],Table1[Tabela],Plano_V3!E343,Table1[Campo],Plano_V3!F343)</f>
        <v>0.5</v>
      </c>
      <c r="L343" s="93">
        <f t="shared" si="47"/>
        <v>6.25E-2</v>
      </c>
      <c r="M343" s="93">
        <f t="shared" si="48"/>
        <v>1</v>
      </c>
      <c r="N343" s="98" t="s">
        <v>39</v>
      </c>
      <c r="O343" s="99">
        <f t="shared" si="44"/>
        <v>6.25E-2</v>
      </c>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87"/>
      <c r="AU343" s="87"/>
      <c r="AV343" s="87"/>
      <c r="AW343" s="100"/>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87"/>
      <c r="EJ343" s="87"/>
      <c r="EK343" s="87"/>
      <c r="EL343" s="100"/>
      <c r="EM343" s="100"/>
      <c r="EN343" s="100"/>
      <c r="EO343" s="100"/>
      <c r="EP343" s="100"/>
      <c r="EQ343" s="100"/>
    </row>
    <row r="344" spans="1:147" outlineLevel="1">
      <c r="A344" s="31" t="str">
        <f t="shared" si="45"/>
        <v>modesg_inp_emss_naceclasse_ativo</v>
      </c>
      <c r="B344" s="76" t="s">
        <v>28</v>
      </c>
      <c r="C344" s="77" t="s">
        <v>178</v>
      </c>
      <c r="D344" s="73" t="s">
        <v>40</v>
      </c>
      <c r="E344" s="75" t="s">
        <v>211</v>
      </c>
      <c r="F344" s="73" t="s">
        <v>1827</v>
      </c>
      <c r="G344" s="73" t="str">
        <f>INDEX(Auxiliar!$B$16:$B$23,MATCH(Plano_V3!H344,Auxiliar!$C$16:$C$23,0),1)</f>
        <v>1. Concluído</v>
      </c>
      <c r="H344" s="73">
        <f>VLOOKUP(A344,'Aux - pivots1'!$A:$B,2,0)</f>
        <v>1</v>
      </c>
      <c r="I344" s="93">
        <f>SUMIFS(Table1[Estimação (horas)],Table1[Tabela],Plano_V3!E344,Table1[Campo],Plano_V3!F344)</f>
        <v>0.5</v>
      </c>
      <c r="J344" s="93">
        <f t="shared" si="46"/>
        <v>6.25E-2</v>
      </c>
      <c r="K344" s="93">
        <f>SUMIFS(Table1[Horas efetivas],Table1[Tabela],Plano_V3!E344,Table1[Campo],Plano_V3!F344)</f>
        <v>0.5</v>
      </c>
      <c r="L344" s="93">
        <f t="shared" si="47"/>
        <v>6.25E-2</v>
      </c>
      <c r="M344" s="93">
        <f t="shared" si="48"/>
        <v>1</v>
      </c>
      <c r="N344" s="98" t="s">
        <v>39</v>
      </c>
      <c r="O344" s="99">
        <f t="shared" si="44"/>
        <v>6.25E-2</v>
      </c>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87"/>
      <c r="AU344" s="87"/>
      <c r="AV344" s="87"/>
      <c r="AW344" s="100"/>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87"/>
      <c r="EJ344" s="87"/>
      <c r="EK344" s="87"/>
      <c r="EL344" s="100"/>
      <c r="EM344" s="100"/>
      <c r="EN344" s="100"/>
      <c r="EO344" s="100"/>
      <c r="EP344" s="100"/>
      <c r="EQ344" s="100"/>
    </row>
    <row r="345" spans="1:147" outlineLevel="1">
      <c r="A345" s="31" t="str">
        <f t="shared" si="45"/>
        <v>modesg_inp_emss_naceopcao_metodologia</v>
      </c>
      <c r="B345" s="76" t="s">
        <v>28</v>
      </c>
      <c r="C345" s="77" t="s">
        <v>178</v>
      </c>
      <c r="D345" s="73" t="s">
        <v>40</v>
      </c>
      <c r="E345" s="75" t="s">
        <v>211</v>
      </c>
      <c r="F345" s="73" t="s">
        <v>1828</v>
      </c>
      <c r="G345" s="73" t="str">
        <f>INDEX(Auxiliar!$B$16:$B$23,MATCH(Plano_V3!H345,Auxiliar!$C$16:$C$23,0),1)</f>
        <v>1. Concluído</v>
      </c>
      <c r="H345" s="73">
        <f>VLOOKUP(A345,'Aux - pivots1'!$A:$B,2,0)</f>
        <v>1</v>
      </c>
      <c r="I345" s="93">
        <f>SUMIFS(Table1[Estimação (horas)],Table1[Tabela],Plano_V3!E345,Table1[Campo],Plano_V3!F345)</f>
        <v>0.5</v>
      </c>
      <c r="J345" s="93">
        <f t="shared" si="46"/>
        <v>6.25E-2</v>
      </c>
      <c r="K345" s="93">
        <f>SUMIFS(Table1[Horas efetivas],Table1[Tabela],Plano_V3!E345,Table1[Campo],Plano_V3!F345)</f>
        <v>0.5</v>
      </c>
      <c r="L345" s="93">
        <f t="shared" si="47"/>
        <v>6.25E-2</v>
      </c>
      <c r="M345" s="93">
        <f t="shared" si="48"/>
        <v>1</v>
      </c>
      <c r="N345" s="98" t="s">
        <v>39</v>
      </c>
      <c r="O345" s="99">
        <f t="shared" si="44"/>
        <v>6.25E-2</v>
      </c>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87"/>
      <c r="AU345" s="87"/>
      <c r="AV345" s="87"/>
      <c r="AW345" s="100"/>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87"/>
      <c r="EJ345" s="87"/>
      <c r="EK345" s="87"/>
      <c r="EL345" s="100"/>
      <c r="EM345" s="100"/>
      <c r="EN345" s="100"/>
      <c r="EO345" s="100"/>
      <c r="EP345" s="100"/>
      <c r="EQ345" s="100"/>
    </row>
    <row r="346" spans="1:147" outlineLevel="1">
      <c r="A346" s="31" t="str">
        <f t="shared" si="45"/>
        <v>modesg_inp_emss_naceunidade_funcional</v>
      </c>
      <c r="B346" s="76" t="s">
        <v>28</v>
      </c>
      <c r="C346" s="77" t="s">
        <v>178</v>
      </c>
      <c r="D346" s="73" t="s">
        <v>40</v>
      </c>
      <c r="E346" s="75" t="s">
        <v>211</v>
      </c>
      <c r="F346" s="73" t="s">
        <v>222</v>
      </c>
      <c r="G346" s="73" t="str">
        <f>INDEX(Auxiliar!$B$16:$B$23,MATCH(Plano_V3!H346,Auxiliar!$C$16:$C$23,0),1)</f>
        <v>1. Concluído</v>
      </c>
      <c r="H346" s="73">
        <f>VLOOKUP(A346,'Aux - pivots1'!$A:$B,2,0)</f>
        <v>1</v>
      </c>
      <c r="I346" s="93">
        <f>SUMIFS(Table1[Estimação (horas)],Table1[Tabela],Plano_V3!E346,Table1[Campo],Plano_V3!F346)</f>
        <v>0.6</v>
      </c>
      <c r="J346" s="93">
        <f t="shared" si="46"/>
        <v>7.4999999999999997E-2</v>
      </c>
      <c r="K346" s="93">
        <f>SUMIFS(Table1[Horas efetivas],Table1[Tabela],Plano_V3!E346,Table1[Campo],Plano_V3!F346)</f>
        <v>0.6</v>
      </c>
      <c r="L346" s="93">
        <f t="shared" si="47"/>
        <v>7.4999999999999997E-2</v>
      </c>
      <c r="M346" s="93">
        <f t="shared" si="48"/>
        <v>1</v>
      </c>
      <c r="N346" s="98" t="s">
        <v>39</v>
      </c>
      <c r="O346" s="99">
        <f t="shared" si="44"/>
        <v>7.4999999999999997E-2</v>
      </c>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87"/>
      <c r="AU346" s="87"/>
      <c r="AV346" s="87"/>
      <c r="AW346" s="100"/>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87"/>
      <c r="EJ346" s="87"/>
      <c r="EK346" s="87"/>
      <c r="EL346" s="100"/>
      <c r="EM346" s="100"/>
      <c r="EN346" s="100"/>
      <c r="EO346" s="100"/>
      <c r="EP346" s="100"/>
      <c r="EQ346" s="100"/>
    </row>
    <row r="347" spans="1:147" outlineLevel="1">
      <c r="A347" s="31" t="str">
        <f t="shared" si="45"/>
        <v>modesg_inp_emss_naceunidades_fator_de_emissao</v>
      </c>
      <c r="B347" s="76" t="s">
        <v>28</v>
      </c>
      <c r="C347" s="77" t="s">
        <v>178</v>
      </c>
      <c r="D347" s="73" t="s">
        <v>40</v>
      </c>
      <c r="E347" s="75" t="s">
        <v>211</v>
      </c>
      <c r="F347" s="73" t="s">
        <v>293</v>
      </c>
      <c r="G347" s="73" t="str">
        <f>INDEX(Auxiliar!$B$16:$B$23,MATCH(Plano_V3!H347,Auxiliar!$C$16:$C$23,0),1)</f>
        <v>1. Concluído</v>
      </c>
      <c r="H347" s="73">
        <f>VLOOKUP(A347,'Aux - pivots1'!$A:$B,2,0)</f>
        <v>1</v>
      </c>
      <c r="I347" s="93">
        <f>SUMIFS(Table1[Estimação (horas)],Table1[Tabela],Plano_V3!E347,Table1[Campo],Plano_V3!F347)</f>
        <v>0.5</v>
      </c>
      <c r="J347" s="93">
        <f t="shared" si="46"/>
        <v>6.25E-2</v>
      </c>
      <c r="K347" s="93">
        <f>SUMIFS(Table1[Horas efetivas],Table1[Tabela],Plano_V3!E347,Table1[Campo],Plano_V3!F347)</f>
        <v>0.5</v>
      </c>
      <c r="L347" s="93">
        <f t="shared" si="47"/>
        <v>6.25E-2</v>
      </c>
      <c r="M347" s="93">
        <f t="shared" si="48"/>
        <v>1</v>
      </c>
      <c r="N347" s="98" t="s">
        <v>39</v>
      </c>
      <c r="O347" s="99">
        <f t="shared" si="44"/>
        <v>6.25E-2</v>
      </c>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87"/>
      <c r="AU347" s="87"/>
      <c r="AV347" s="87"/>
      <c r="AW347" s="100"/>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87"/>
      <c r="EJ347" s="87"/>
      <c r="EK347" s="87"/>
      <c r="EL347" s="100"/>
      <c r="EM347" s="100"/>
      <c r="EN347" s="100"/>
      <c r="EO347" s="100"/>
      <c r="EP347" s="100"/>
      <c r="EQ347" s="100"/>
    </row>
    <row r="348" spans="1:147" outlineLevel="1">
      <c r="A348" s="31" t="str">
        <f t="shared" si="45"/>
        <v>modesg_inp_emss_nacescore_qualidade</v>
      </c>
      <c r="B348" s="76" t="s">
        <v>28</v>
      </c>
      <c r="C348" s="77" t="s">
        <v>178</v>
      </c>
      <c r="D348" s="73" t="s">
        <v>40</v>
      </c>
      <c r="E348" s="75" t="s">
        <v>211</v>
      </c>
      <c r="F348" s="73" t="s">
        <v>50</v>
      </c>
      <c r="G348" s="73" t="str">
        <f>INDEX(Auxiliar!$B$16:$B$23,MATCH(Plano_V3!H348,Auxiliar!$C$16:$C$23,0),1)</f>
        <v>1. Concluído</v>
      </c>
      <c r="H348" s="73">
        <f>VLOOKUP(A348,'Aux - pivots1'!$A:$B,2,0)</f>
        <v>1</v>
      </c>
      <c r="I348" s="93">
        <f>SUMIFS(Table1[Estimação (horas)],Table1[Tabela],Plano_V3!E348,Table1[Campo],Plano_V3!F348)</f>
        <v>0.5</v>
      </c>
      <c r="J348" s="93">
        <f t="shared" si="46"/>
        <v>6.25E-2</v>
      </c>
      <c r="K348" s="93">
        <f>SUMIFS(Table1[Horas efetivas],Table1[Tabela],Plano_V3!E348,Table1[Campo],Plano_V3!F348)</f>
        <v>0.5</v>
      </c>
      <c r="L348" s="93">
        <f t="shared" si="47"/>
        <v>6.25E-2</v>
      </c>
      <c r="M348" s="93">
        <f t="shared" si="48"/>
        <v>1</v>
      </c>
      <c r="N348" s="98" t="s">
        <v>39</v>
      </c>
      <c r="O348" s="99">
        <f t="shared" si="44"/>
        <v>6.25E-2</v>
      </c>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87"/>
      <c r="AU348" s="87"/>
      <c r="AV348" s="87"/>
      <c r="AW348" s="100"/>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87"/>
      <c r="EJ348" s="87"/>
      <c r="EK348" s="87"/>
      <c r="EL348" s="100"/>
      <c r="EM348" s="100"/>
      <c r="EN348" s="100"/>
      <c r="EO348" s="100"/>
      <c r="EP348" s="100"/>
      <c r="EQ348" s="100"/>
    </row>
    <row r="349" spans="1:147" outlineLevel="1">
      <c r="A349" s="31" t="str">
        <f t="shared" si="45"/>
        <v>modesg_inp_emss_nacescp1_ftr_emss</v>
      </c>
      <c r="B349" s="76" t="s">
        <v>28</v>
      </c>
      <c r="C349" s="77" t="s">
        <v>178</v>
      </c>
      <c r="D349" s="73" t="s">
        <v>40</v>
      </c>
      <c r="E349" s="75" t="s">
        <v>211</v>
      </c>
      <c r="F349" s="73" t="s">
        <v>225</v>
      </c>
      <c r="G349" s="73" t="str">
        <f>INDEX(Auxiliar!$B$16:$B$23,MATCH(Plano_V3!H349,Auxiliar!$C$16:$C$23,0),1)</f>
        <v>1. Concluído</v>
      </c>
      <c r="H349" s="73">
        <f>VLOOKUP(A349,'Aux - pivots1'!$A:$B,2,0)</f>
        <v>1</v>
      </c>
      <c r="I349" s="93">
        <f>SUMIFS(Table1[Estimação (horas)],Table1[Tabela],Plano_V3!E349,Table1[Campo],Plano_V3!F349)</f>
        <v>0.6</v>
      </c>
      <c r="J349" s="93">
        <f t="shared" si="46"/>
        <v>7.4999999999999997E-2</v>
      </c>
      <c r="K349" s="93">
        <f>SUMIFS(Table1[Horas efetivas],Table1[Tabela],Plano_V3!E349,Table1[Campo],Plano_V3!F349)</f>
        <v>0.6</v>
      </c>
      <c r="L349" s="93">
        <f t="shared" si="47"/>
        <v>7.4999999999999997E-2</v>
      </c>
      <c r="M349" s="93">
        <f t="shared" si="48"/>
        <v>1</v>
      </c>
      <c r="N349" s="98" t="s">
        <v>39</v>
      </c>
      <c r="O349" s="99">
        <f t="shared" si="44"/>
        <v>7.4999999999999997E-2</v>
      </c>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7"/>
      <c r="AU349" s="87"/>
      <c r="AV349" s="87"/>
      <c r="AW349" s="100"/>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87"/>
      <c r="EJ349" s="87"/>
      <c r="EK349" s="87"/>
      <c r="EL349" s="100"/>
      <c r="EM349" s="100"/>
      <c r="EN349" s="100"/>
      <c r="EO349" s="100"/>
      <c r="EP349" s="100"/>
      <c r="EQ349" s="100"/>
    </row>
    <row r="350" spans="1:147" outlineLevel="1">
      <c r="A350" s="31" t="str">
        <f t="shared" si="45"/>
        <v>modesg_inp_emss_nacescp2_ftr_emss</v>
      </c>
      <c r="B350" s="76" t="s">
        <v>28</v>
      </c>
      <c r="C350" s="77" t="s">
        <v>178</v>
      </c>
      <c r="D350" s="73" t="s">
        <v>40</v>
      </c>
      <c r="E350" s="75" t="s">
        <v>211</v>
      </c>
      <c r="F350" s="73" t="s">
        <v>226</v>
      </c>
      <c r="G350" s="73" t="str">
        <f>INDEX(Auxiliar!$B$16:$B$23,MATCH(Plano_V3!H350,Auxiliar!$C$16:$C$23,0),1)</f>
        <v>1. Concluído</v>
      </c>
      <c r="H350" s="73">
        <f>VLOOKUP(A350,'Aux - pivots1'!$A:$B,2,0)</f>
        <v>1</v>
      </c>
      <c r="I350" s="93">
        <f>SUMIFS(Table1[Estimação (horas)],Table1[Tabela],Plano_V3!E350,Table1[Campo],Plano_V3!F350)</f>
        <v>0.6</v>
      </c>
      <c r="J350" s="93">
        <f t="shared" si="46"/>
        <v>7.4999999999999997E-2</v>
      </c>
      <c r="K350" s="93">
        <f>SUMIFS(Table1[Horas efetivas],Table1[Tabela],Plano_V3!E350,Table1[Campo],Plano_V3!F350)</f>
        <v>0.6</v>
      </c>
      <c r="L350" s="93">
        <f t="shared" si="47"/>
        <v>7.4999999999999997E-2</v>
      </c>
      <c r="M350" s="93">
        <f t="shared" si="48"/>
        <v>1</v>
      </c>
      <c r="N350" s="98" t="s">
        <v>39</v>
      </c>
      <c r="O350" s="99">
        <f t="shared" si="44"/>
        <v>7.4999999999999997E-2</v>
      </c>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87"/>
      <c r="AU350" s="87"/>
      <c r="AV350" s="87"/>
      <c r="AW350" s="100"/>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87"/>
      <c r="EJ350" s="87"/>
      <c r="EK350" s="87"/>
      <c r="EL350" s="100"/>
      <c r="EM350" s="100"/>
      <c r="EN350" s="100"/>
      <c r="EO350" s="100"/>
      <c r="EP350" s="100"/>
      <c r="EQ350" s="100"/>
    </row>
    <row r="351" spans="1:147" outlineLevel="1">
      <c r="A351" s="31" t="str">
        <f t="shared" si="45"/>
        <v>modesg_inp_emss_nacescp3_ftr_emss</v>
      </c>
      <c r="B351" s="76" t="s">
        <v>28</v>
      </c>
      <c r="C351" s="77" t="s">
        <v>178</v>
      </c>
      <c r="D351" s="73" t="s">
        <v>40</v>
      </c>
      <c r="E351" s="75" t="s">
        <v>211</v>
      </c>
      <c r="F351" s="73" t="s">
        <v>227</v>
      </c>
      <c r="G351" s="73" t="str">
        <f>INDEX(Auxiliar!$B$16:$B$23,MATCH(Plano_V3!H351,Auxiliar!$C$16:$C$23,0),1)</f>
        <v>1. Concluído</v>
      </c>
      <c r="H351" s="73">
        <f>VLOOKUP(A351,'Aux - pivots1'!$A:$B,2,0)</f>
        <v>1</v>
      </c>
      <c r="I351" s="93">
        <f>SUMIFS(Table1[Estimação (horas)],Table1[Tabela],Plano_V3!E351,Table1[Campo],Plano_V3!F351)</f>
        <v>0.6</v>
      </c>
      <c r="J351" s="93">
        <f t="shared" si="46"/>
        <v>7.4999999999999997E-2</v>
      </c>
      <c r="K351" s="93">
        <f>SUMIFS(Table1[Horas efetivas],Table1[Tabela],Plano_V3!E351,Table1[Campo],Plano_V3!F351)</f>
        <v>0.6</v>
      </c>
      <c r="L351" s="93">
        <f t="shared" si="47"/>
        <v>7.4999999999999997E-2</v>
      </c>
      <c r="M351" s="93">
        <f t="shared" si="48"/>
        <v>1</v>
      </c>
      <c r="N351" s="98" t="s">
        <v>39</v>
      </c>
      <c r="O351" s="99">
        <f t="shared" si="44"/>
        <v>7.4999999999999997E-2</v>
      </c>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87"/>
      <c r="AU351" s="87"/>
      <c r="AV351" s="87"/>
      <c r="AW351" s="100"/>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87"/>
      <c r="EJ351" s="87"/>
      <c r="EK351" s="87"/>
      <c r="EL351" s="100"/>
      <c r="EM351" s="100"/>
      <c r="EN351" s="100"/>
      <c r="EO351" s="100"/>
      <c r="EP351" s="100"/>
      <c r="EQ351" s="100"/>
    </row>
    <row r="352" spans="1:147" outlineLevel="1">
      <c r="A352" s="31" t="str">
        <f t="shared" si="45"/>
        <v>modesg_inp_emss_bens_imoveisref_date</v>
      </c>
      <c r="B352" s="76" t="s">
        <v>28</v>
      </c>
      <c r="C352" s="77" t="s">
        <v>178</v>
      </c>
      <c r="D352" s="73" t="s">
        <v>40</v>
      </c>
      <c r="E352" s="75" t="s">
        <v>212</v>
      </c>
      <c r="F352" s="73" t="s">
        <v>73</v>
      </c>
      <c r="G352" s="73" t="str">
        <f>INDEX(Auxiliar!$B$16:$B$23,MATCH(Plano_V3!H352,Auxiliar!$C$16:$C$23,0),1)</f>
        <v>1. Concluído</v>
      </c>
      <c r="H352" s="73">
        <f>VLOOKUP(A352,'Aux - pivots1'!$A:$B,2,0)</f>
        <v>1</v>
      </c>
      <c r="I352" s="93">
        <f>SUMIFS(Table1[Estimação (horas)],Table1[Tabela],Plano_V3!E352,Table1[Campo],Plano_V3!F352)</f>
        <v>0.5</v>
      </c>
      <c r="J352" s="93">
        <f t="shared" si="46"/>
        <v>6.25E-2</v>
      </c>
      <c r="K352" s="93">
        <f>SUMIFS(Table1[Horas efetivas],Table1[Tabela],Plano_V3!E352,Table1[Campo],Plano_V3!F352)</f>
        <v>0.5</v>
      </c>
      <c r="L352" s="93">
        <f t="shared" si="47"/>
        <v>6.25E-2</v>
      </c>
      <c r="M352" s="93">
        <f t="shared" si="48"/>
        <v>1</v>
      </c>
      <c r="N352" s="98" t="s">
        <v>39</v>
      </c>
      <c r="O352" s="99">
        <f t="shared" si="44"/>
        <v>6.25E-2</v>
      </c>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87"/>
      <c r="AU352" s="87"/>
      <c r="AV352" s="87"/>
      <c r="AW352" s="100"/>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87"/>
      <c r="EJ352" s="87"/>
      <c r="EK352" s="87"/>
      <c r="EL352" s="100"/>
      <c r="EM352" s="100"/>
      <c r="EN352" s="100"/>
      <c r="EO352" s="100"/>
      <c r="EP352" s="100"/>
      <c r="EQ352" s="100"/>
    </row>
    <row r="353" spans="1:147" outlineLevel="1">
      <c r="A353" s="31" t="str">
        <f t="shared" si="45"/>
        <v>modesg_inp_emss_bens_imoveisnome_pais</v>
      </c>
      <c r="B353" s="76" t="s">
        <v>28</v>
      </c>
      <c r="C353" s="77" t="s">
        <v>178</v>
      </c>
      <c r="D353" s="73" t="s">
        <v>40</v>
      </c>
      <c r="E353" s="75" t="s">
        <v>212</v>
      </c>
      <c r="F353" s="73" t="s">
        <v>214</v>
      </c>
      <c r="G353" s="73" t="str">
        <f>INDEX(Auxiliar!$B$16:$B$23,MATCH(Plano_V3!H353,Auxiliar!$C$16:$C$23,0),1)</f>
        <v>1. Concluído</v>
      </c>
      <c r="H353" s="73">
        <f>VLOOKUP(A353,'Aux - pivots1'!$A:$B,2,0)</f>
        <v>1</v>
      </c>
      <c r="I353" s="93">
        <f>SUMIFS(Table1[Estimação (horas)],Table1[Tabela],Plano_V3!E353,Table1[Campo],Plano_V3!F353)</f>
        <v>0.5</v>
      </c>
      <c r="J353" s="93">
        <f t="shared" si="46"/>
        <v>6.25E-2</v>
      </c>
      <c r="K353" s="93">
        <f>SUMIFS(Table1[Horas efetivas],Table1[Tabela],Plano_V3!E353,Table1[Campo],Plano_V3!F353)</f>
        <v>0.5</v>
      </c>
      <c r="L353" s="93">
        <f t="shared" si="47"/>
        <v>6.25E-2</v>
      </c>
      <c r="M353" s="93">
        <f t="shared" si="48"/>
        <v>1</v>
      </c>
      <c r="N353" s="98" t="s">
        <v>39</v>
      </c>
      <c r="O353" s="99">
        <f t="shared" si="44"/>
        <v>6.25E-2</v>
      </c>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87"/>
      <c r="AU353" s="87"/>
      <c r="AV353" s="87"/>
      <c r="AW353" s="100"/>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87"/>
      <c r="EJ353" s="87"/>
      <c r="EK353" s="87"/>
      <c r="EL353" s="100"/>
      <c r="EM353" s="100"/>
      <c r="EN353" s="100"/>
      <c r="EO353" s="100"/>
      <c r="EP353" s="100"/>
      <c r="EQ353" s="100"/>
    </row>
    <row r="354" spans="1:147" outlineLevel="1">
      <c r="A354" s="31" t="str">
        <f t="shared" si="45"/>
        <v>modesg_inp_emss_bens_imoveisnome_estado</v>
      </c>
      <c r="B354" s="76" t="s">
        <v>28</v>
      </c>
      <c r="C354" s="77" t="s">
        <v>178</v>
      </c>
      <c r="D354" s="73" t="s">
        <v>40</v>
      </c>
      <c r="E354" s="75" t="s">
        <v>212</v>
      </c>
      <c r="F354" s="73" t="s">
        <v>215</v>
      </c>
      <c r="G354" s="73" t="str">
        <f>INDEX(Auxiliar!$B$16:$B$23,MATCH(Plano_V3!H354,Auxiliar!$C$16:$C$23,0),1)</f>
        <v>1. Concluído</v>
      </c>
      <c r="H354" s="73">
        <f>VLOOKUP(A354,'Aux - pivots1'!$A:$B,2,0)</f>
        <v>1</v>
      </c>
      <c r="I354" s="93">
        <f>SUMIFS(Table1[Estimação (horas)],Table1[Tabela],Plano_V3!E354,Table1[Campo],Plano_V3!F354)</f>
        <v>0.5</v>
      </c>
      <c r="J354" s="93">
        <f t="shared" si="46"/>
        <v>6.25E-2</v>
      </c>
      <c r="K354" s="93">
        <f>SUMIFS(Table1[Horas efetivas],Table1[Tabela],Plano_V3!E354,Table1[Campo],Plano_V3!F354)</f>
        <v>0.5</v>
      </c>
      <c r="L354" s="93">
        <f t="shared" si="47"/>
        <v>6.25E-2</v>
      </c>
      <c r="M354" s="93">
        <f t="shared" si="48"/>
        <v>1</v>
      </c>
      <c r="N354" s="98" t="s">
        <v>39</v>
      </c>
      <c r="O354" s="99">
        <f t="shared" si="44"/>
        <v>6.25E-2</v>
      </c>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7"/>
      <c r="AU354" s="87"/>
      <c r="AV354" s="87"/>
      <c r="AW354" s="100"/>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87"/>
      <c r="EJ354" s="87"/>
      <c r="EK354" s="87"/>
      <c r="EL354" s="100"/>
      <c r="EM354" s="100"/>
      <c r="EN354" s="100"/>
      <c r="EO354" s="100"/>
      <c r="EP354" s="100"/>
      <c r="EQ354" s="100"/>
    </row>
    <row r="355" spans="1:147" outlineLevel="1">
      <c r="A355" s="31" t="str">
        <f t="shared" si="45"/>
        <v>modesg_inp_emss_bens_imoveisclasse_ativo</v>
      </c>
      <c r="B355" s="76" t="s">
        <v>28</v>
      </c>
      <c r="C355" s="77" t="s">
        <v>178</v>
      </c>
      <c r="D355" s="73" t="s">
        <v>40</v>
      </c>
      <c r="E355" s="75" t="s">
        <v>212</v>
      </c>
      <c r="F355" s="73" t="s">
        <v>1827</v>
      </c>
      <c r="G355" s="73" t="str">
        <f>INDEX(Auxiliar!$B$16:$B$23,MATCH(Plano_V3!H355,Auxiliar!$C$16:$C$23,0),1)</f>
        <v>1. Concluído</v>
      </c>
      <c r="H355" s="73">
        <f>VLOOKUP(A355,'Aux - pivots1'!$A:$B,2,0)</f>
        <v>1</v>
      </c>
      <c r="I355" s="93">
        <f>SUMIFS(Table1[Estimação (horas)],Table1[Tabela],Plano_V3!E355,Table1[Campo],Plano_V3!F355)</f>
        <v>0.5</v>
      </c>
      <c r="J355" s="93">
        <f t="shared" si="46"/>
        <v>6.25E-2</v>
      </c>
      <c r="K355" s="93">
        <f>SUMIFS(Table1[Horas efetivas],Table1[Tabela],Plano_V3!E355,Table1[Campo],Plano_V3!F355)</f>
        <v>0.5</v>
      </c>
      <c r="L355" s="93">
        <f t="shared" si="47"/>
        <v>6.25E-2</v>
      </c>
      <c r="M355" s="93">
        <f t="shared" si="48"/>
        <v>1</v>
      </c>
      <c r="N355" s="98" t="s">
        <v>39</v>
      </c>
      <c r="O355" s="99">
        <f t="shared" si="44"/>
        <v>6.25E-2</v>
      </c>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87"/>
      <c r="AU355" s="87"/>
      <c r="AV355" s="87"/>
      <c r="AW355" s="100"/>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87"/>
      <c r="EJ355" s="87"/>
      <c r="EK355" s="87"/>
      <c r="EL355" s="100"/>
      <c r="EM355" s="100"/>
      <c r="EN355" s="100"/>
      <c r="EO355" s="100"/>
      <c r="EP355" s="100"/>
      <c r="EQ355" s="100"/>
    </row>
    <row r="356" spans="1:147" outlineLevel="1">
      <c r="A356" s="31" t="str">
        <f t="shared" si="45"/>
        <v>modesg_inp_emss_bens_imoveistipo_fator_emissao</v>
      </c>
      <c r="B356" s="76" t="s">
        <v>28</v>
      </c>
      <c r="C356" s="77" t="s">
        <v>178</v>
      </c>
      <c r="D356" s="73" t="s">
        <v>40</v>
      </c>
      <c r="E356" s="75" t="s">
        <v>212</v>
      </c>
      <c r="F356" s="73" t="s">
        <v>1225</v>
      </c>
      <c r="G356" s="73" t="str">
        <f>INDEX(Auxiliar!$B$16:$B$23,MATCH(Plano_V3!H356,Auxiliar!$C$16:$C$23,0),1)</f>
        <v>1. Concluído</v>
      </c>
      <c r="H356" s="73">
        <f>VLOOKUP(A356,'Aux - pivots1'!$A:$B,2,0)</f>
        <v>1</v>
      </c>
      <c r="I356" s="93">
        <f>SUMIFS(Table1[Estimação (horas)],Table1[Tabela],Plano_V3!E356,Table1[Campo],Plano_V3!F356)</f>
        <v>1</v>
      </c>
      <c r="J356" s="93">
        <f t="shared" si="46"/>
        <v>0.125</v>
      </c>
      <c r="K356" s="93">
        <f>SUMIFS(Table1[Horas efetivas],Table1[Tabela],Plano_V3!E356,Table1[Campo],Plano_V3!F356)</f>
        <v>1</v>
      </c>
      <c r="L356" s="93">
        <f t="shared" si="47"/>
        <v>0.125</v>
      </c>
      <c r="M356" s="93">
        <f t="shared" si="48"/>
        <v>1</v>
      </c>
      <c r="N356" s="98" t="s">
        <v>39</v>
      </c>
      <c r="O356" s="99">
        <f t="shared" ref="O356:O419" si="49">J356-SUM(P356:EQ356)</f>
        <v>0.125</v>
      </c>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87"/>
      <c r="AU356" s="87"/>
      <c r="AV356" s="87"/>
      <c r="AW356" s="100"/>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87"/>
      <c r="EJ356" s="87"/>
      <c r="EK356" s="87"/>
      <c r="EL356" s="100"/>
      <c r="EM356" s="100"/>
      <c r="EN356" s="100"/>
      <c r="EO356" s="100"/>
      <c r="EP356" s="100"/>
      <c r="EQ356" s="100"/>
    </row>
    <row r="357" spans="1:147" outlineLevel="1">
      <c r="A357" s="31" t="str">
        <f t="shared" si="45"/>
        <v>modesg_inp_emss_bens_imoveisregiao</v>
      </c>
      <c r="B357" s="76" t="s">
        <v>28</v>
      </c>
      <c r="C357" s="77" t="s">
        <v>178</v>
      </c>
      <c r="D357" s="73" t="s">
        <v>40</v>
      </c>
      <c r="E357" s="75" t="s">
        <v>212</v>
      </c>
      <c r="F357" s="73" t="s">
        <v>1854</v>
      </c>
      <c r="G357" s="73" t="str">
        <f>INDEX(Auxiliar!$B$16:$B$23,MATCH(Plano_V3!H357,Auxiliar!$C$16:$C$23,0),1)</f>
        <v>1. Concluído</v>
      </c>
      <c r="H357" s="73">
        <f>VLOOKUP(A357,'Aux - pivots1'!$A:$B,2,0)</f>
        <v>1</v>
      </c>
      <c r="I357" s="93">
        <f>SUMIFS(Table1[Estimação (horas)],Table1[Tabela],Plano_V3!E357,Table1[Campo],Plano_V3!F357)</f>
        <v>0.5</v>
      </c>
      <c r="J357" s="93">
        <f t="shared" si="46"/>
        <v>6.25E-2</v>
      </c>
      <c r="K357" s="93">
        <f>SUMIFS(Table1[Horas efetivas],Table1[Tabela],Plano_V3!E357,Table1[Campo],Plano_V3!F357)</f>
        <v>0.5</v>
      </c>
      <c r="L357" s="93">
        <f t="shared" si="47"/>
        <v>6.25E-2</v>
      </c>
      <c r="M357" s="93">
        <f t="shared" si="48"/>
        <v>1</v>
      </c>
      <c r="N357" s="98" t="s">
        <v>39</v>
      </c>
      <c r="O357" s="99">
        <f t="shared" si="49"/>
        <v>6.25E-2</v>
      </c>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87"/>
      <c r="AU357" s="87"/>
      <c r="AV357" s="87"/>
      <c r="AW357" s="100"/>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87"/>
      <c r="EJ357" s="87"/>
      <c r="EK357" s="87"/>
      <c r="EL357" s="100"/>
      <c r="EM357" s="100"/>
      <c r="EN357" s="100"/>
      <c r="EO357" s="100"/>
      <c r="EP357" s="100"/>
      <c r="EQ357" s="100"/>
    </row>
    <row r="358" spans="1:147" outlineLevel="1">
      <c r="A358" s="31" t="str">
        <f t="shared" ref="A358:A421" si="50">E358&amp;F358</f>
        <v>modesg_inp_emss_bens_imoveistipo_bem</v>
      </c>
      <c r="B358" s="76" t="s">
        <v>28</v>
      </c>
      <c r="C358" s="77" t="s">
        <v>178</v>
      </c>
      <c r="D358" s="73" t="s">
        <v>40</v>
      </c>
      <c r="E358" s="75" t="s">
        <v>212</v>
      </c>
      <c r="F358" s="73" t="s">
        <v>295</v>
      </c>
      <c r="G358" s="73" t="str">
        <f>INDEX(Auxiliar!$B$16:$B$23,MATCH(Plano_V3!H358,Auxiliar!$C$16:$C$23,0),1)</f>
        <v>1. Concluído</v>
      </c>
      <c r="H358" s="73">
        <f>VLOOKUP(A358,'Aux - pivots1'!$A:$B,2,0)</f>
        <v>1</v>
      </c>
      <c r="I358" s="93">
        <f>SUMIFS(Table1[Estimação (horas)],Table1[Tabela],Plano_V3!E358,Table1[Campo],Plano_V3!F358)</f>
        <v>0.5</v>
      </c>
      <c r="J358" s="93">
        <f t="shared" si="46"/>
        <v>6.25E-2</v>
      </c>
      <c r="K358" s="93">
        <f>SUMIFS(Table1[Horas efetivas],Table1[Tabela],Plano_V3!E358,Table1[Campo],Plano_V3!F358)</f>
        <v>0.5</v>
      </c>
      <c r="L358" s="93">
        <f t="shared" si="47"/>
        <v>6.25E-2</v>
      </c>
      <c r="M358" s="93">
        <f t="shared" si="48"/>
        <v>1</v>
      </c>
      <c r="N358" s="98" t="s">
        <v>39</v>
      </c>
      <c r="O358" s="99">
        <f t="shared" si="49"/>
        <v>6.25E-2</v>
      </c>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87"/>
      <c r="AU358" s="87"/>
      <c r="AV358" s="87"/>
      <c r="AW358" s="100"/>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87"/>
      <c r="EJ358" s="87"/>
      <c r="EK358" s="87"/>
      <c r="EL358" s="100"/>
      <c r="EM358" s="100"/>
      <c r="EN358" s="100"/>
      <c r="EO358" s="100"/>
      <c r="EP358" s="100"/>
      <c r="EQ358" s="100"/>
    </row>
    <row r="359" spans="1:147" outlineLevel="1">
      <c r="A359" s="31" t="str">
        <f t="shared" si="50"/>
        <v>modesg_inp_emss_bens_imoveistipo_finalidade_bem</v>
      </c>
      <c r="B359" s="76" t="s">
        <v>28</v>
      </c>
      <c r="C359" s="77" t="s">
        <v>178</v>
      </c>
      <c r="D359" s="73" t="s">
        <v>40</v>
      </c>
      <c r="E359" s="75" t="s">
        <v>212</v>
      </c>
      <c r="F359" s="73" t="s">
        <v>296</v>
      </c>
      <c r="G359" s="73" t="str">
        <f>INDEX(Auxiliar!$B$16:$B$23,MATCH(Plano_V3!H359,Auxiliar!$C$16:$C$23,0),1)</f>
        <v>1. Concluído</v>
      </c>
      <c r="H359" s="73">
        <f>VLOOKUP(A359,'Aux - pivots1'!$A:$B,2,0)</f>
        <v>1</v>
      </c>
      <c r="I359" s="93">
        <f>SUMIFS(Table1[Estimação (horas)],Table1[Tabela],Plano_V3!E359,Table1[Campo],Plano_V3!F359)</f>
        <v>0.5</v>
      </c>
      <c r="J359" s="93">
        <f t="shared" si="46"/>
        <v>6.25E-2</v>
      </c>
      <c r="K359" s="93">
        <f>SUMIFS(Table1[Horas efetivas],Table1[Tabela],Plano_V3!E359,Table1[Campo],Plano_V3!F359)</f>
        <v>0.5</v>
      </c>
      <c r="L359" s="93">
        <f t="shared" si="47"/>
        <v>6.25E-2</v>
      </c>
      <c r="M359" s="93">
        <f t="shared" si="48"/>
        <v>1</v>
      </c>
      <c r="N359" s="98" t="s">
        <v>39</v>
      </c>
      <c r="O359" s="99">
        <f t="shared" si="49"/>
        <v>6.25E-2</v>
      </c>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87"/>
      <c r="AU359" s="87"/>
      <c r="AV359" s="87"/>
      <c r="AW359" s="100"/>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87"/>
      <c r="EJ359" s="87"/>
      <c r="EK359" s="87"/>
      <c r="EL359" s="100"/>
      <c r="EM359" s="100"/>
      <c r="EN359" s="100"/>
      <c r="EO359" s="100"/>
      <c r="EP359" s="100"/>
      <c r="EQ359" s="100"/>
    </row>
    <row r="360" spans="1:147" outlineLevel="1">
      <c r="A360" s="31" t="str">
        <f t="shared" si="50"/>
        <v>modesg_inp_emss_bens_imoveisepc</v>
      </c>
      <c r="B360" s="76" t="s">
        <v>28</v>
      </c>
      <c r="C360" s="77" t="s">
        <v>178</v>
      </c>
      <c r="D360" s="73" t="s">
        <v>40</v>
      </c>
      <c r="E360" s="75" t="s">
        <v>212</v>
      </c>
      <c r="F360" s="73" t="s">
        <v>47</v>
      </c>
      <c r="G360" s="73" t="str">
        <f>INDEX(Auxiliar!$B$16:$B$23,MATCH(Plano_V3!H360,Auxiliar!$C$16:$C$23,0),1)</f>
        <v>1. Concluído</v>
      </c>
      <c r="H360" s="73">
        <f>VLOOKUP(A360,'Aux - pivots1'!$A:$B,2,0)</f>
        <v>1</v>
      </c>
      <c r="I360" s="93">
        <f>SUMIFS(Table1[Estimação (horas)],Table1[Tabela],Plano_V3!E360,Table1[Campo],Plano_V3!F360)</f>
        <v>0.5</v>
      </c>
      <c r="J360" s="93">
        <f t="shared" si="46"/>
        <v>6.25E-2</v>
      </c>
      <c r="K360" s="93">
        <f>SUMIFS(Table1[Horas efetivas],Table1[Tabela],Plano_V3!E360,Table1[Campo],Plano_V3!F360)</f>
        <v>0.5</v>
      </c>
      <c r="L360" s="93">
        <f t="shared" si="47"/>
        <v>6.25E-2</v>
      </c>
      <c r="M360" s="93">
        <f t="shared" si="48"/>
        <v>1</v>
      </c>
      <c r="N360" s="98" t="s">
        <v>39</v>
      </c>
      <c r="O360" s="99">
        <f t="shared" si="49"/>
        <v>6.25E-2</v>
      </c>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87"/>
      <c r="AU360" s="87"/>
      <c r="AV360" s="87"/>
      <c r="AW360" s="100"/>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87"/>
      <c r="EJ360" s="87"/>
      <c r="EK360" s="87"/>
      <c r="EL360" s="100"/>
      <c r="EM360" s="100"/>
      <c r="EN360" s="100"/>
      <c r="EO360" s="100"/>
      <c r="EP360" s="100"/>
      <c r="EQ360" s="100"/>
    </row>
    <row r="361" spans="1:147" outlineLevel="1">
      <c r="A361" s="31" t="str">
        <f t="shared" si="50"/>
        <v>modesg_inp_emss_bens_imoveisflg_ftr_emss_area</v>
      </c>
      <c r="B361" s="76" t="s">
        <v>28</v>
      </c>
      <c r="C361" s="77" t="s">
        <v>178</v>
      </c>
      <c r="D361" s="73" t="s">
        <v>40</v>
      </c>
      <c r="E361" s="75" t="s">
        <v>212</v>
      </c>
      <c r="F361" s="73" t="s">
        <v>297</v>
      </c>
      <c r="G361" s="73" t="str">
        <f>INDEX(Auxiliar!$B$16:$B$23,MATCH(Plano_V3!H361,Auxiliar!$C$16:$C$23,0),1)</f>
        <v>0. Cancelado</v>
      </c>
      <c r="H361" s="73">
        <f>VLOOKUP(A361,'Aux - pivots1'!$A:$B,2,0)</f>
        <v>0</v>
      </c>
      <c r="I361" s="93">
        <f>SUMIFS(Table1[Estimação (horas)],Table1[Tabela],Plano_V3!E361,Table1[Campo],Plano_V3!F361)</f>
        <v>0.5</v>
      </c>
      <c r="J361" s="93">
        <f t="shared" si="46"/>
        <v>6.25E-2</v>
      </c>
      <c r="K361" s="93">
        <f>SUMIFS(Table1[Horas efetivas],Table1[Tabela],Plano_V3!E361,Table1[Campo],Plano_V3!F361)</f>
        <v>0</v>
      </c>
      <c r="L361" s="93">
        <f t="shared" si="47"/>
        <v>0</v>
      </c>
      <c r="M361" s="93">
        <f t="shared" si="48"/>
        <v>0</v>
      </c>
      <c r="N361" s="98" t="s">
        <v>39</v>
      </c>
      <c r="O361" s="99">
        <f t="shared" si="49"/>
        <v>6.25E-2</v>
      </c>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87"/>
      <c r="AU361" s="87"/>
      <c r="AV361" s="87"/>
      <c r="AW361" s="100"/>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87"/>
      <c r="EJ361" s="87"/>
      <c r="EK361" s="87"/>
      <c r="EL361" s="100"/>
      <c r="EM361" s="100"/>
      <c r="EN361" s="100"/>
      <c r="EO361" s="100"/>
      <c r="EP361" s="100"/>
      <c r="EQ361" s="100"/>
    </row>
    <row r="362" spans="1:147" outlineLevel="1">
      <c r="A362" s="31" t="str">
        <f t="shared" si="50"/>
        <v>modesg_inp_emss_bens_imoveisnome_unidade_funcional</v>
      </c>
      <c r="B362" s="76" t="s">
        <v>28</v>
      </c>
      <c r="C362" s="77" t="s">
        <v>178</v>
      </c>
      <c r="D362" s="73" t="s">
        <v>40</v>
      </c>
      <c r="E362" s="75" t="s">
        <v>212</v>
      </c>
      <c r="F362" s="73" t="s">
        <v>221</v>
      </c>
      <c r="G362" s="73" t="str">
        <f>INDEX(Auxiliar!$B$16:$B$23,MATCH(Plano_V3!H362,Auxiliar!$C$16:$C$23,0),1)</f>
        <v>1. Concluído</v>
      </c>
      <c r="H362" s="73">
        <f>VLOOKUP(A362,'Aux - pivots1'!$A:$B,2,0)</f>
        <v>1</v>
      </c>
      <c r="I362" s="93">
        <f>SUMIFS(Table1[Estimação (horas)],Table1[Tabela],Plano_V3!E362,Table1[Campo],Plano_V3!F362)</f>
        <v>0.5</v>
      </c>
      <c r="J362" s="93">
        <f t="shared" si="46"/>
        <v>6.25E-2</v>
      </c>
      <c r="K362" s="93">
        <f>SUMIFS(Table1[Horas efetivas],Table1[Tabela],Plano_V3!E362,Table1[Campo],Plano_V3!F362)</f>
        <v>0.5</v>
      </c>
      <c r="L362" s="93">
        <f t="shared" si="47"/>
        <v>6.25E-2</v>
      </c>
      <c r="M362" s="93">
        <f t="shared" si="48"/>
        <v>1</v>
      </c>
      <c r="N362" s="98" t="s">
        <v>39</v>
      </c>
      <c r="O362" s="99">
        <f t="shared" si="49"/>
        <v>6.25E-2</v>
      </c>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87"/>
      <c r="AU362" s="87"/>
      <c r="AV362" s="87"/>
      <c r="AW362" s="100"/>
      <c r="AX362" s="87"/>
      <c r="AY362" s="87"/>
      <c r="AZ362" s="87"/>
      <c r="BA362" s="87"/>
      <c r="BB362" s="87"/>
      <c r="BC362" s="87"/>
      <c r="BD362" s="87"/>
      <c r="BE362" s="87"/>
      <c r="BF362" s="87"/>
      <c r="BG362" s="87"/>
      <c r="BH362" s="87"/>
      <c r="BI362" s="87"/>
      <c r="BJ362" s="87"/>
      <c r="BK362" s="87"/>
      <c r="BL362" s="87"/>
      <c r="BM362" s="87"/>
      <c r="BN362" s="87"/>
      <c r="BO362" s="87"/>
      <c r="BP362" s="87"/>
      <c r="BQ362" s="87"/>
      <c r="BR362" s="87"/>
      <c r="BS362" s="87"/>
      <c r="BT362" s="87"/>
      <c r="BU362" s="87"/>
      <c r="BV362" s="87"/>
      <c r="BW362" s="87"/>
      <c r="BX362" s="87"/>
      <c r="BY362" s="87"/>
      <c r="BZ362" s="87"/>
      <c r="CA362" s="87"/>
      <c r="CB362" s="87"/>
      <c r="CC362" s="87"/>
      <c r="CD362" s="87"/>
      <c r="CE362" s="87"/>
      <c r="CF362" s="87"/>
      <c r="CG362" s="87"/>
      <c r="CH362" s="87"/>
      <c r="CI362" s="87"/>
      <c r="CJ362" s="87"/>
      <c r="CK362" s="87"/>
      <c r="CL362" s="87"/>
      <c r="CM362" s="87"/>
      <c r="CN362" s="87"/>
      <c r="CO362" s="87"/>
      <c r="CP362" s="87"/>
      <c r="CQ362" s="87"/>
      <c r="CR362" s="87"/>
      <c r="CS362" s="87"/>
      <c r="CT362" s="87"/>
      <c r="CU362" s="87"/>
      <c r="CV362" s="87"/>
      <c r="CW362" s="87"/>
      <c r="CX362" s="87"/>
      <c r="CY362" s="87"/>
      <c r="CZ362" s="87"/>
      <c r="DA362" s="87"/>
      <c r="DB362" s="87"/>
      <c r="DC362" s="87"/>
      <c r="DD362" s="87"/>
      <c r="DE362" s="87"/>
      <c r="DF362" s="87"/>
      <c r="DG362" s="87"/>
      <c r="DH362" s="87"/>
      <c r="DI362" s="87"/>
      <c r="DJ362" s="87"/>
      <c r="DK362" s="87"/>
      <c r="DL362" s="87"/>
      <c r="DM362" s="87"/>
      <c r="DN362" s="87"/>
      <c r="DO362" s="87"/>
      <c r="DP362" s="87"/>
      <c r="DQ362" s="87"/>
      <c r="DR362" s="87"/>
      <c r="DS362" s="87"/>
      <c r="DT362" s="87"/>
      <c r="DU362" s="87"/>
      <c r="DV362" s="87"/>
      <c r="DW362" s="87"/>
      <c r="DX362" s="87"/>
      <c r="DY362" s="87"/>
      <c r="DZ362" s="87"/>
      <c r="EA362" s="87"/>
      <c r="EB362" s="87"/>
      <c r="EC362" s="87"/>
      <c r="ED362" s="87"/>
      <c r="EE362" s="87"/>
      <c r="EF362" s="87"/>
      <c r="EG362" s="87"/>
      <c r="EH362" s="87"/>
      <c r="EI362" s="87"/>
      <c r="EJ362" s="87"/>
      <c r="EK362" s="87"/>
      <c r="EL362" s="100"/>
      <c r="EM362" s="100"/>
      <c r="EN362" s="100"/>
      <c r="EO362" s="100"/>
      <c r="EP362" s="100"/>
      <c r="EQ362" s="100"/>
    </row>
    <row r="363" spans="1:147" outlineLevel="1">
      <c r="A363" s="31" t="str">
        <f t="shared" si="50"/>
        <v>modesg_inp_emss_bens_imoveisunidade_funcional</v>
      </c>
      <c r="B363" s="76" t="s">
        <v>28</v>
      </c>
      <c r="C363" s="77" t="s">
        <v>178</v>
      </c>
      <c r="D363" s="73" t="s">
        <v>40</v>
      </c>
      <c r="E363" s="75" t="s">
        <v>212</v>
      </c>
      <c r="F363" s="73" t="s">
        <v>222</v>
      </c>
      <c r="G363" s="73" t="str">
        <f>INDEX(Auxiliar!$B$16:$B$23,MATCH(Plano_V3!H363,Auxiliar!$C$16:$C$23,0),1)</f>
        <v>1. Concluído</v>
      </c>
      <c r="H363" s="73">
        <f>VLOOKUP(A363,'Aux - pivots1'!$A:$B,2,0)</f>
        <v>1</v>
      </c>
      <c r="I363" s="93">
        <f>SUMIFS(Table1[Estimação (horas)],Table1[Tabela],Plano_V3!E363,Table1[Campo],Plano_V3!F363)</f>
        <v>0.5</v>
      </c>
      <c r="J363" s="93">
        <f t="shared" si="46"/>
        <v>6.25E-2</v>
      </c>
      <c r="K363" s="93">
        <f>SUMIFS(Table1[Horas efetivas],Table1[Tabela],Plano_V3!E363,Table1[Campo],Plano_V3!F363)</f>
        <v>0.5</v>
      </c>
      <c r="L363" s="93">
        <f t="shared" si="47"/>
        <v>6.25E-2</v>
      </c>
      <c r="M363" s="93">
        <f t="shared" si="48"/>
        <v>1</v>
      </c>
      <c r="N363" s="98" t="s">
        <v>39</v>
      </c>
      <c r="O363" s="99">
        <f t="shared" si="49"/>
        <v>6.25E-2</v>
      </c>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87"/>
      <c r="AU363" s="87"/>
      <c r="AV363" s="87"/>
      <c r="AW363" s="100"/>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87"/>
      <c r="EJ363" s="87"/>
      <c r="EK363" s="87"/>
      <c r="EL363" s="100"/>
      <c r="EM363" s="100"/>
      <c r="EN363" s="100"/>
      <c r="EO363" s="100"/>
      <c r="EP363" s="100"/>
      <c r="EQ363" s="100"/>
    </row>
    <row r="364" spans="1:147" outlineLevel="1">
      <c r="A364" s="31" t="str">
        <f t="shared" si="50"/>
        <v>modesg_inp_emss_bens_imoveisnome_fator_emissao</v>
      </c>
      <c r="B364" s="76" t="s">
        <v>28</v>
      </c>
      <c r="C364" s="77" t="s">
        <v>178</v>
      </c>
      <c r="D364" s="73" t="s">
        <v>40</v>
      </c>
      <c r="E364" s="75" t="s">
        <v>212</v>
      </c>
      <c r="F364" s="73" t="s">
        <v>223</v>
      </c>
      <c r="G364" s="73" t="str">
        <f>INDEX(Auxiliar!$B$16:$B$23,MATCH(Plano_V3!H364,Auxiliar!$C$16:$C$23,0),1)</f>
        <v>1. Concluído</v>
      </c>
      <c r="H364" s="73">
        <f>VLOOKUP(A364,'Aux - pivots1'!$A:$B,2,0)</f>
        <v>1</v>
      </c>
      <c r="I364" s="93">
        <f>SUMIFS(Table1[Estimação (horas)],Table1[Tabela],Plano_V3!E364,Table1[Campo],Plano_V3!F364)</f>
        <v>0.5</v>
      </c>
      <c r="J364" s="93">
        <f t="shared" si="46"/>
        <v>6.25E-2</v>
      </c>
      <c r="K364" s="93">
        <f>SUMIFS(Table1[Horas efetivas],Table1[Tabela],Plano_V3!E364,Table1[Campo],Plano_V3!F364)</f>
        <v>0.5</v>
      </c>
      <c r="L364" s="93">
        <f t="shared" si="47"/>
        <v>6.25E-2</v>
      </c>
      <c r="M364" s="93">
        <f t="shared" si="48"/>
        <v>1</v>
      </c>
      <c r="N364" s="98" t="s">
        <v>39</v>
      </c>
      <c r="O364" s="99">
        <f t="shared" si="49"/>
        <v>6.25E-2</v>
      </c>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87"/>
      <c r="AU364" s="87"/>
      <c r="AV364" s="87"/>
      <c r="AW364" s="100"/>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87"/>
      <c r="EJ364" s="87"/>
      <c r="EK364" s="87"/>
      <c r="EL364" s="100"/>
      <c r="EM364" s="100"/>
      <c r="EN364" s="100"/>
      <c r="EO364" s="100"/>
      <c r="EP364" s="100"/>
      <c r="EQ364" s="100"/>
    </row>
    <row r="365" spans="1:147" outlineLevel="1">
      <c r="A365" s="31" t="str">
        <f t="shared" si="50"/>
        <v>modesg_inp_emss_bens_imoveisunidade_fator_de_emissao</v>
      </c>
      <c r="B365" s="76" t="s">
        <v>28</v>
      </c>
      <c r="C365" s="77" t="s">
        <v>178</v>
      </c>
      <c r="D365" s="73" t="s">
        <v>40</v>
      </c>
      <c r="E365" s="75" t="s">
        <v>212</v>
      </c>
      <c r="F365" s="73" t="s">
        <v>224</v>
      </c>
      <c r="G365" s="73" t="str">
        <f>INDEX(Auxiliar!$B$16:$B$23,MATCH(Plano_V3!H365,Auxiliar!$C$16:$C$23,0),1)</f>
        <v>1. Concluído</v>
      </c>
      <c r="H365" s="73">
        <f>VLOOKUP(A365,'Aux - pivots1'!$A:$B,2,0)</f>
        <v>1</v>
      </c>
      <c r="I365" s="93">
        <f>SUMIFS(Table1[Estimação (horas)],Table1[Tabela],Plano_V3!E365,Table1[Campo],Plano_V3!F365)</f>
        <v>0.5</v>
      </c>
      <c r="J365" s="93">
        <f t="shared" si="46"/>
        <v>6.25E-2</v>
      </c>
      <c r="K365" s="93">
        <f>SUMIFS(Table1[Horas efetivas],Table1[Tabela],Plano_V3!E365,Table1[Campo],Plano_V3!F365)</f>
        <v>0.5</v>
      </c>
      <c r="L365" s="93">
        <f t="shared" si="47"/>
        <v>6.25E-2</v>
      </c>
      <c r="M365" s="93">
        <f t="shared" si="48"/>
        <v>1</v>
      </c>
      <c r="N365" s="98" t="s">
        <v>39</v>
      </c>
      <c r="O365" s="99">
        <f t="shared" si="49"/>
        <v>6.25E-2</v>
      </c>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87"/>
      <c r="AU365" s="87"/>
      <c r="AV365" s="87"/>
      <c r="AW365" s="100"/>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87"/>
      <c r="EJ365" s="87"/>
      <c r="EK365" s="87"/>
      <c r="EL365" s="100"/>
      <c r="EM365" s="100"/>
      <c r="EN365" s="100"/>
      <c r="EO365" s="100"/>
      <c r="EP365" s="100"/>
      <c r="EQ365" s="100"/>
    </row>
    <row r="366" spans="1:147" outlineLevel="1">
      <c r="A366" s="31" t="str">
        <f t="shared" si="50"/>
        <v>modesg_inp_emss_bens_imoveisscore_qualidade</v>
      </c>
      <c r="B366" s="76" t="s">
        <v>28</v>
      </c>
      <c r="C366" s="77" t="s">
        <v>178</v>
      </c>
      <c r="D366" s="73" t="s">
        <v>40</v>
      </c>
      <c r="E366" s="75" t="s">
        <v>212</v>
      </c>
      <c r="F366" s="73" t="s">
        <v>50</v>
      </c>
      <c r="G366" s="73" t="str">
        <f>INDEX(Auxiliar!$B$16:$B$23,MATCH(Plano_V3!H366,Auxiliar!$C$16:$C$23,0),1)</f>
        <v>1. Concluído</v>
      </c>
      <c r="H366" s="73">
        <f>VLOOKUP(A366,'Aux - pivots1'!$A:$B,2,0)</f>
        <v>1</v>
      </c>
      <c r="I366" s="93">
        <f>SUMIFS(Table1[Estimação (horas)],Table1[Tabela],Plano_V3!E366,Table1[Campo],Plano_V3!F366)</f>
        <v>0.5</v>
      </c>
      <c r="J366" s="93">
        <f t="shared" si="46"/>
        <v>6.25E-2</v>
      </c>
      <c r="K366" s="93">
        <f>SUMIFS(Table1[Horas efetivas],Table1[Tabela],Plano_V3!E366,Table1[Campo],Plano_V3!F366)</f>
        <v>0.5</v>
      </c>
      <c r="L366" s="93">
        <f t="shared" si="47"/>
        <v>6.25E-2</v>
      </c>
      <c r="M366" s="93">
        <f t="shared" si="48"/>
        <v>1</v>
      </c>
      <c r="N366" s="98" t="s">
        <v>39</v>
      </c>
      <c r="O366" s="99">
        <f t="shared" si="49"/>
        <v>6.25E-2</v>
      </c>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87"/>
      <c r="AU366" s="87"/>
      <c r="AV366" s="87"/>
      <c r="AW366" s="100"/>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87"/>
      <c r="EJ366" s="87"/>
      <c r="EK366" s="87"/>
      <c r="EL366" s="100"/>
      <c r="EM366" s="100"/>
      <c r="EN366" s="100"/>
      <c r="EO366" s="100"/>
      <c r="EP366" s="100"/>
      <c r="EQ366" s="100"/>
    </row>
    <row r="367" spans="1:147" outlineLevel="1">
      <c r="A367" s="31" t="str">
        <f t="shared" si="50"/>
        <v>modesg_inp_emss_bens_imoveisano_fator_emissao</v>
      </c>
      <c r="B367" s="76" t="s">
        <v>28</v>
      </c>
      <c r="C367" s="77" t="s">
        <v>178</v>
      </c>
      <c r="D367" s="73" t="s">
        <v>40</v>
      </c>
      <c r="E367" s="75" t="s">
        <v>212</v>
      </c>
      <c r="F367" s="73" t="s">
        <v>1853</v>
      </c>
      <c r="G367" s="73" t="str">
        <f>INDEX(Auxiliar!$B$16:$B$23,MATCH(Plano_V3!H367,Auxiliar!$C$16:$C$23,0),1)</f>
        <v>1. Concluído</v>
      </c>
      <c r="H367" s="73">
        <f>VLOOKUP(A367,'Aux - pivots1'!$A:$B,2,0)</f>
        <v>1</v>
      </c>
      <c r="I367" s="93">
        <f>SUMIFS(Table1[Estimação (horas)],Table1[Tabela],Plano_V3!E367,Table1[Campo],Plano_V3!F367)</f>
        <v>0.5</v>
      </c>
      <c r="J367" s="93">
        <f t="shared" si="46"/>
        <v>6.25E-2</v>
      </c>
      <c r="K367" s="93">
        <f>SUMIFS(Table1[Horas efetivas],Table1[Tabela],Plano_V3!E367,Table1[Campo],Plano_V3!F367)</f>
        <v>0.5</v>
      </c>
      <c r="L367" s="93">
        <f t="shared" si="47"/>
        <v>6.25E-2</v>
      </c>
      <c r="M367" s="93">
        <f t="shared" si="48"/>
        <v>1</v>
      </c>
      <c r="N367" s="98" t="s">
        <v>39</v>
      </c>
      <c r="O367" s="99">
        <f t="shared" si="49"/>
        <v>6.25E-2</v>
      </c>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87"/>
      <c r="AU367" s="87"/>
      <c r="AV367" s="87"/>
      <c r="AW367" s="100"/>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87"/>
      <c r="EJ367" s="87"/>
      <c r="EK367" s="87"/>
      <c r="EL367" s="100"/>
      <c r="EM367" s="100"/>
      <c r="EN367" s="100"/>
      <c r="EO367" s="100"/>
      <c r="EP367" s="100"/>
      <c r="EQ367" s="100"/>
    </row>
    <row r="368" spans="1:147" outlineLevel="1">
      <c r="A368" s="31" t="str">
        <f t="shared" si="50"/>
        <v>modesg_inp_emss_bens_imoveisscp1_ftr_emss</v>
      </c>
      <c r="B368" s="76" t="s">
        <v>28</v>
      </c>
      <c r="C368" s="77" t="s">
        <v>178</v>
      </c>
      <c r="D368" s="73" t="s">
        <v>40</v>
      </c>
      <c r="E368" s="75" t="s">
        <v>212</v>
      </c>
      <c r="F368" s="73" t="s">
        <v>225</v>
      </c>
      <c r="G368" s="73" t="str">
        <f>INDEX(Auxiliar!$B$16:$B$23,MATCH(Plano_V3!H368,Auxiliar!$C$16:$C$23,0),1)</f>
        <v>1. Concluído</v>
      </c>
      <c r="H368" s="73">
        <f>VLOOKUP(A368,'Aux - pivots1'!$A:$B,2,0)</f>
        <v>1</v>
      </c>
      <c r="I368" s="93">
        <f>SUMIFS(Table1[Estimação (horas)],Table1[Tabela],Plano_V3!E368,Table1[Campo],Plano_V3!F368)</f>
        <v>0.6</v>
      </c>
      <c r="J368" s="93">
        <f t="shared" si="46"/>
        <v>7.4999999999999997E-2</v>
      </c>
      <c r="K368" s="93">
        <f>SUMIFS(Table1[Horas efetivas],Table1[Tabela],Plano_V3!E368,Table1[Campo],Plano_V3!F368)</f>
        <v>0.6</v>
      </c>
      <c r="L368" s="93">
        <f t="shared" si="47"/>
        <v>7.4999999999999997E-2</v>
      </c>
      <c r="M368" s="93">
        <f t="shared" si="48"/>
        <v>1</v>
      </c>
      <c r="N368" s="98" t="s">
        <v>39</v>
      </c>
      <c r="O368" s="99">
        <f t="shared" si="49"/>
        <v>7.4999999999999997E-2</v>
      </c>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87"/>
      <c r="AU368" s="87"/>
      <c r="AV368" s="87"/>
      <c r="AW368" s="100"/>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87"/>
      <c r="EJ368" s="87"/>
      <c r="EK368" s="87"/>
      <c r="EL368" s="100"/>
      <c r="EM368" s="100"/>
      <c r="EN368" s="100"/>
      <c r="EO368" s="100"/>
      <c r="EP368" s="100"/>
      <c r="EQ368" s="100"/>
    </row>
    <row r="369" spans="1:147" outlineLevel="1">
      <c r="A369" s="31" t="str">
        <f t="shared" si="50"/>
        <v>modesg_inp_emss_bens_imoveisscp2_ftr_emss</v>
      </c>
      <c r="B369" s="76" t="s">
        <v>28</v>
      </c>
      <c r="C369" s="77" t="s">
        <v>178</v>
      </c>
      <c r="D369" s="73" t="s">
        <v>40</v>
      </c>
      <c r="E369" s="75" t="s">
        <v>212</v>
      </c>
      <c r="F369" s="73" t="s">
        <v>226</v>
      </c>
      <c r="G369" s="73" t="str">
        <f>INDEX(Auxiliar!$B$16:$B$23,MATCH(Plano_V3!H369,Auxiliar!$C$16:$C$23,0),1)</f>
        <v>1. Concluído</v>
      </c>
      <c r="H369" s="73">
        <f>VLOOKUP(A369,'Aux - pivots1'!$A:$B,2,0)</f>
        <v>1</v>
      </c>
      <c r="I369" s="93">
        <f>SUMIFS(Table1[Estimação (horas)],Table1[Tabela],Plano_V3!E369,Table1[Campo],Plano_V3!F369)</f>
        <v>0.6</v>
      </c>
      <c r="J369" s="93">
        <f t="shared" si="46"/>
        <v>7.4999999999999997E-2</v>
      </c>
      <c r="K369" s="93">
        <f>SUMIFS(Table1[Horas efetivas],Table1[Tabela],Plano_V3!E369,Table1[Campo],Plano_V3!F369)</f>
        <v>0.6</v>
      </c>
      <c r="L369" s="93">
        <f t="shared" si="47"/>
        <v>7.4999999999999997E-2</v>
      </c>
      <c r="M369" s="93">
        <f t="shared" si="48"/>
        <v>1</v>
      </c>
      <c r="N369" s="98" t="s">
        <v>39</v>
      </c>
      <c r="O369" s="99">
        <f t="shared" si="49"/>
        <v>7.4999999999999997E-2</v>
      </c>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87"/>
      <c r="AU369" s="87"/>
      <c r="AV369" s="87"/>
      <c r="AW369" s="100"/>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87"/>
      <c r="EJ369" s="87"/>
      <c r="EK369" s="87"/>
      <c r="EL369" s="100"/>
      <c r="EM369" s="100"/>
      <c r="EN369" s="100"/>
      <c r="EO369" s="100"/>
      <c r="EP369" s="100"/>
      <c r="EQ369" s="100"/>
    </row>
    <row r="370" spans="1:147" outlineLevel="1">
      <c r="A370" s="31" t="str">
        <f t="shared" si="50"/>
        <v>Re-testesn.a.</v>
      </c>
      <c r="B370" s="76" t="s">
        <v>28</v>
      </c>
      <c r="C370" s="77" t="s">
        <v>178</v>
      </c>
      <c r="D370" s="73" t="s">
        <v>40</v>
      </c>
      <c r="E370" s="75" t="s">
        <v>53</v>
      </c>
      <c r="F370" s="73" t="s">
        <v>38</v>
      </c>
      <c r="G370" s="73" t="s">
        <v>300</v>
      </c>
      <c r="H370" s="73"/>
      <c r="I370" s="93">
        <f>J370*8</f>
        <v>16</v>
      </c>
      <c r="J370" s="93">
        <v>2</v>
      </c>
      <c r="K370" s="93"/>
      <c r="L370" s="93"/>
      <c r="M370" s="176">
        <v>0.25</v>
      </c>
      <c r="N370" s="96"/>
      <c r="O370" s="99">
        <f t="shared" si="49"/>
        <v>2</v>
      </c>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87"/>
      <c r="AU370" s="87"/>
      <c r="AV370" s="87"/>
      <c r="AW370" s="100"/>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87"/>
      <c r="EJ370" s="87"/>
      <c r="EK370" s="87"/>
      <c r="EL370" s="100"/>
      <c r="EM370" s="100"/>
      <c r="EN370" s="100"/>
      <c r="EO370" s="100"/>
      <c r="EP370" s="100"/>
      <c r="EQ370" s="100"/>
    </row>
    <row r="371" spans="1:147">
      <c r="A371" s="113" t="str">
        <f t="shared" si="50"/>
        <v/>
      </c>
      <c r="B371" s="72" t="s">
        <v>28</v>
      </c>
      <c r="C371" s="105" t="s">
        <v>301</v>
      </c>
      <c r="D371" s="105"/>
      <c r="E371" s="112"/>
      <c r="F371" s="105"/>
      <c r="G371" s="105"/>
      <c r="H371" s="105"/>
      <c r="I371" s="108">
        <f>SUM(I372:I455)</f>
        <v>796.3875000000013</v>
      </c>
      <c r="J371" s="108">
        <f>ROUNDUP(I371/8,0)</f>
        <v>100</v>
      </c>
      <c r="K371" s="108"/>
      <c r="L371" s="108"/>
      <c r="M371" s="108"/>
      <c r="N371" s="96"/>
      <c r="O371" s="99">
        <f t="shared" si="49"/>
        <v>0</v>
      </c>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87"/>
      <c r="AU371" s="87"/>
      <c r="AV371" s="87"/>
      <c r="AW371" s="100"/>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v>1</v>
      </c>
      <c r="BU371" s="87">
        <v>1</v>
      </c>
      <c r="BV371" s="87">
        <v>1</v>
      </c>
      <c r="BW371" s="87">
        <v>1</v>
      </c>
      <c r="BX371" s="87">
        <v>0.5</v>
      </c>
      <c r="BY371" s="87">
        <v>1</v>
      </c>
      <c r="BZ371" s="87">
        <v>1</v>
      </c>
      <c r="CA371" s="87">
        <v>1</v>
      </c>
      <c r="CB371" s="87">
        <v>1</v>
      </c>
      <c r="CC371" s="87">
        <v>0.5</v>
      </c>
      <c r="CD371" s="87">
        <v>1</v>
      </c>
      <c r="CE371" s="87">
        <v>1</v>
      </c>
      <c r="CF371" s="87">
        <v>1</v>
      </c>
      <c r="CG371" s="87">
        <v>1</v>
      </c>
      <c r="CH371" s="87">
        <v>0.5</v>
      </c>
      <c r="CI371" s="87">
        <v>1</v>
      </c>
      <c r="CJ371" s="87">
        <v>1</v>
      </c>
      <c r="CK371" s="87">
        <v>1</v>
      </c>
      <c r="CL371" s="87">
        <v>1</v>
      </c>
      <c r="CM371" s="87">
        <v>0.5</v>
      </c>
      <c r="CN371" s="87">
        <v>1</v>
      </c>
      <c r="CO371" s="87">
        <v>1</v>
      </c>
      <c r="CP371" s="87">
        <v>1</v>
      </c>
      <c r="CQ371" s="87">
        <v>1</v>
      </c>
      <c r="CR371" s="87">
        <v>0.5</v>
      </c>
      <c r="CS371" s="87">
        <v>1</v>
      </c>
      <c r="CT371" s="87">
        <v>1</v>
      </c>
      <c r="CU371" s="87">
        <v>1</v>
      </c>
      <c r="CV371" s="87">
        <v>1</v>
      </c>
      <c r="CW371" s="87">
        <v>2</v>
      </c>
      <c r="CX371" s="87">
        <v>2</v>
      </c>
      <c r="CY371" s="87">
        <v>2</v>
      </c>
      <c r="CZ371" s="87">
        <v>2</v>
      </c>
      <c r="DA371" s="87">
        <v>2</v>
      </c>
      <c r="DB371" s="87">
        <v>2</v>
      </c>
      <c r="DC371" s="87">
        <v>2</v>
      </c>
      <c r="DD371" s="87">
        <v>2</v>
      </c>
      <c r="DE371" s="87">
        <v>2</v>
      </c>
      <c r="DF371" s="87">
        <v>2</v>
      </c>
      <c r="DG371" s="87">
        <v>2</v>
      </c>
      <c r="DH371" s="87">
        <v>2</v>
      </c>
      <c r="DI371" s="87">
        <v>2</v>
      </c>
      <c r="DJ371" s="87">
        <v>2</v>
      </c>
      <c r="DK371" s="87">
        <v>2</v>
      </c>
      <c r="DL371" s="87">
        <v>2</v>
      </c>
      <c r="DM371" s="87">
        <v>2</v>
      </c>
      <c r="DN371" s="87">
        <v>2</v>
      </c>
      <c r="DO371" s="87">
        <v>2</v>
      </c>
      <c r="DP371" s="87">
        <v>2</v>
      </c>
      <c r="DQ371" s="87">
        <v>2</v>
      </c>
      <c r="DR371" s="87">
        <v>2</v>
      </c>
      <c r="DS371" s="87">
        <v>2</v>
      </c>
      <c r="DT371" s="87">
        <v>2</v>
      </c>
      <c r="DU371" s="87">
        <v>2</v>
      </c>
      <c r="DV371" s="87">
        <v>2</v>
      </c>
      <c r="DW371" s="87">
        <v>2</v>
      </c>
      <c r="DX371" s="87">
        <v>2</v>
      </c>
      <c r="DY371" s="87">
        <v>2</v>
      </c>
      <c r="DZ371" s="87">
        <v>2</v>
      </c>
      <c r="EA371" s="87">
        <v>2</v>
      </c>
      <c r="EB371" s="87">
        <v>2</v>
      </c>
      <c r="EC371" s="87">
        <v>2</v>
      </c>
      <c r="ED371" s="87">
        <v>2</v>
      </c>
      <c r="EE371" s="87">
        <v>2</v>
      </c>
      <c r="EF371" s="87">
        <v>2</v>
      </c>
      <c r="EG371" s="87">
        <v>1.5</v>
      </c>
      <c r="EH371" s="87"/>
      <c r="EI371" s="87"/>
      <c r="EJ371" s="87"/>
      <c r="EK371" s="87"/>
      <c r="EL371" s="100"/>
      <c r="EM371" s="100"/>
      <c r="EN371" s="100"/>
      <c r="EO371" s="100"/>
      <c r="EP371" s="100"/>
      <c r="EQ371" s="100"/>
    </row>
    <row r="372" spans="1:147" outlineLevel="1">
      <c r="A372" s="31" t="str">
        <f t="shared" si="50"/>
        <v>modesg_out_bens_imoveisn.a.</v>
      </c>
      <c r="B372" s="76" t="s">
        <v>28</v>
      </c>
      <c r="C372" s="77" t="s">
        <v>301</v>
      </c>
      <c r="D372" s="73" t="s">
        <v>36</v>
      </c>
      <c r="E372" s="75" t="s">
        <v>302</v>
      </c>
      <c r="F372" s="73" t="s">
        <v>38</v>
      </c>
      <c r="G372" s="73" t="str">
        <f>INDEX(Auxiliar!$B$16:$B$23,MATCH(Plano_V3!H372,Auxiliar!$C$16:$C$23,0),1)</f>
        <v>1. Concluído</v>
      </c>
      <c r="H372" s="73">
        <f>VLOOKUP(A372,'Aux - pivots1'!$A:$B,2,0)</f>
        <v>1</v>
      </c>
      <c r="I372" s="93">
        <f>SUMIFS(Table1[Estimação (horas)],Table1[Tabela],Plano_V3!E372,Table1[Campo],Plano_V3!F372)</f>
        <v>8</v>
      </c>
      <c r="J372" s="93">
        <f t="shared" ref="J372:J435" si="51">I372/8</f>
        <v>1</v>
      </c>
      <c r="K372" s="93">
        <f>SUMIFS(Table1[Horas efetivas],Table1[Tabela],Plano_V3!E372,Table1[Campo],Plano_V3!F372)</f>
        <v>8</v>
      </c>
      <c r="L372" s="93">
        <f t="shared" ref="L372:L435" si="52">K372/8</f>
        <v>1</v>
      </c>
      <c r="M372" s="93">
        <f t="shared" ref="M372:M435" si="53">L372/J372</f>
        <v>1</v>
      </c>
      <c r="N372" s="96" t="s">
        <v>303</v>
      </c>
      <c r="O372" s="99">
        <f t="shared" si="49"/>
        <v>1</v>
      </c>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87"/>
      <c r="AU372" s="87"/>
      <c r="AV372" s="87"/>
      <c r="AW372" s="100"/>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87"/>
      <c r="EJ372" s="87"/>
      <c r="EK372" s="87"/>
      <c r="EL372" s="100"/>
      <c r="EM372" s="100"/>
      <c r="EN372" s="100"/>
      <c r="EO372" s="100"/>
      <c r="EP372" s="100"/>
      <c r="EQ372" s="100"/>
    </row>
    <row r="373" spans="1:147" outlineLevel="1">
      <c r="A373" s="31" t="str">
        <f t="shared" si="50"/>
        <v>modesg_out_bens_imoveiscempbem</v>
      </c>
      <c r="B373" s="76" t="s">
        <v>28</v>
      </c>
      <c r="C373" s="77" t="s">
        <v>301</v>
      </c>
      <c r="D373" s="73" t="s">
        <v>40</v>
      </c>
      <c r="E373" s="75" t="s">
        <v>302</v>
      </c>
      <c r="F373" s="73" t="s">
        <v>41</v>
      </c>
      <c r="G373" s="73" t="str">
        <f>INDEX(Auxiliar!$B$16:$B$23,MATCH(Plano_V3!H373,Auxiliar!$C$16:$C$23,0),1)</f>
        <v>1. Concluído</v>
      </c>
      <c r="H373" s="73">
        <f>VLOOKUP(A373,'Aux - pivots1'!$A:$B,2,0)</f>
        <v>1</v>
      </c>
      <c r="I373" s="93">
        <f>SUMIFS(Table1[Estimação (horas)],Table1[Tabela],Plano_V3!E373,Table1[Campo],Plano_V3!F373)</f>
        <v>4.0999999999999996</v>
      </c>
      <c r="J373" s="93">
        <f t="shared" si="51"/>
        <v>0.51249999999999996</v>
      </c>
      <c r="K373" s="93">
        <f>SUMIFS(Table1[Horas efetivas],Table1[Tabela],Plano_V3!E373,Table1[Campo],Plano_V3!F373)</f>
        <v>4.0999999999999996</v>
      </c>
      <c r="L373" s="93">
        <f t="shared" si="52"/>
        <v>0.51249999999999996</v>
      </c>
      <c r="M373" s="93">
        <f t="shared" si="53"/>
        <v>1</v>
      </c>
      <c r="N373" s="96" t="s">
        <v>303</v>
      </c>
      <c r="O373" s="99">
        <f t="shared" si="49"/>
        <v>0.51249999999999996</v>
      </c>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87"/>
      <c r="AU373" s="87"/>
      <c r="AV373" s="87"/>
      <c r="AW373" s="100"/>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87"/>
      <c r="EJ373" s="87"/>
      <c r="EK373" s="87"/>
      <c r="EL373" s="100"/>
      <c r="EM373" s="100"/>
      <c r="EN373" s="100"/>
      <c r="EO373" s="100"/>
      <c r="EP373" s="100"/>
      <c r="EQ373" s="100"/>
    </row>
    <row r="374" spans="1:147" outlineLevel="1">
      <c r="A374" s="31" t="str">
        <f t="shared" si="50"/>
        <v>modesg_out_bens_imoveisckbalbem</v>
      </c>
      <c r="B374" s="76" t="s">
        <v>28</v>
      </c>
      <c r="C374" s="77" t="s">
        <v>301</v>
      </c>
      <c r="D374" s="73" t="s">
        <v>40</v>
      </c>
      <c r="E374" s="75" t="s">
        <v>302</v>
      </c>
      <c r="F374" s="73" t="s">
        <v>43</v>
      </c>
      <c r="G374" s="73" t="str">
        <f>INDEX(Auxiliar!$B$16:$B$23,MATCH(Plano_V3!H374,Auxiliar!$C$16:$C$23,0),1)</f>
        <v>1. Concluído</v>
      </c>
      <c r="H374" s="73">
        <f>VLOOKUP(A374,'Aux - pivots1'!$A:$B,2,0)</f>
        <v>1</v>
      </c>
      <c r="I374" s="93">
        <f>SUMIFS(Table1[Estimação (horas)],Table1[Tabela],Plano_V3!E374,Table1[Campo],Plano_V3!F374)</f>
        <v>4.0999999999999996</v>
      </c>
      <c r="J374" s="93">
        <f t="shared" si="51"/>
        <v>0.51249999999999996</v>
      </c>
      <c r="K374" s="93">
        <f>SUMIFS(Table1[Horas efetivas],Table1[Tabela],Plano_V3!E374,Table1[Campo],Plano_V3!F374)</f>
        <v>4.0999999999999996</v>
      </c>
      <c r="L374" s="93">
        <f t="shared" si="52"/>
        <v>0.51249999999999996</v>
      </c>
      <c r="M374" s="93">
        <f t="shared" si="53"/>
        <v>1</v>
      </c>
      <c r="N374" s="96" t="s">
        <v>303</v>
      </c>
      <c r="O374" s="99">
        <f t="shared" si="49"/>
        <v>0.51249999999999996</v>
      </c>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87"/>
      <c r="AU374" s="87"/>
      <c r="AV374" s="87"/>
      <c r="AW374" s="100"/>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87"/>
      <c r="EJ374" s="87"/>
      <c r="EK374" s="87"/>
      <c r="EL374" s="100"/>
      <c r="EM374" s="100"/>
      <c r="EN374" s="100"/>
      <c r="EO374" s="100"/>
      <c r="EP374" s="100"/>
      <c r="EQ374" s="100"/>
    </row>
    <row r="375" spans="1:147" outlineLevel="1">
      <c r="A375" s="31" t="str">
        <f t="shared" si="50"/>
        <v>modesg_out_bens_imoveisckctabem</v>
      </c>
      <c r="B375" s="76" t="s">
        <v>28</v>
      </c>
      <c r="C375" s="77" t="s">
        <v>301</v>
      </c>
      <c r="D375" s="73" t="s">
        <v>40</v>
      </c>
      <c r="E375" s="75" t="s">
        <v>302</v>
      </c>
      <c r="F375" s="73" t="s">
        <v>44</v>
      </c>
      <c r="G375" s="73" t="str">
        <f>INDEX(Auxiliar!$B$16:$B$23,MATCH(Plano_V3!H375,Auxiliar!$C$16:$C$23,0),1)</f>
        <v>1. Concluído</v>
      </c>
      <c r="H375" s="73">
        <f>VLOOKUP(A375,'Aux - pivots1'!$A:$B,2,0)</f>
        <v>1</v>
      </c>
      <c r="I375" s="93">
        <f>SUMIFS(Table1[Estimação (horas)],Table1[Tabela],Plano_V3!E375,Table1[Campo],Plano_V3!F375)</f>
        <v>4.0999999999999996</v>
      </c>
      <c r="J375" s="93">
        <f t="shared" si="51"/>
        <v>0.51249999999999996</v>
      </c>
      <c r="K375" s="93">
        <f>SUMIFS(Table1[Horas efetivas],Table1[Tabela],Plano_V3!E375,Table1[Campo],Plano_V3!F375)</f>
        <v>4.0999999999999996</v>
      </c>
      <c r="L375" s="93">
        <f t="shared" si="52"/>
        <v>0.51249999999999996</v>
      </c>
      <c r="M375" s="93">
        <f t="shared" si="53"/>
        <v>1</v>
      </c>
      <c r="N375" s="96" t="s">
        <v>303</v>
      </c>
      <c r="O375" s="99">
        <f t="shared" si="49"/>
        <v>0.51249999999999996</v>
      </c>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87"/>
      <c r="AU375" s="87"/>
      <c r="AV375" s="87"/>
      <c r="AW375" s="100"/>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87"/>
      <c r="EJ375" s="87"/>
      <c r="EK375" s="87"/>
      <c r="EL375" s="100"/>
      <c r="EM375" s="100"/>
      <c r="EN375" s="100"/>
      <c r="EO375" s="100"/>
      <c r="EP375" s="100"/>
      <c r="EQ375" s="100"/>
    </row>
    <row r="376" spans="1:147" outlineLevel="1">
      <c r="A376" s="31" t="str">
        <f t="shared" si="50"/>
        <v>modesg_out_bens_imoveisckrefbem</v>
      </c>
      <c r="B376" s="76" t="s">
        <v>28</v>
      </c>
      <c r="C376" s="77" t="s">
        <v>301</v>
      </c>
      <c r="D376" s="73" t="s">
        <v>40</v>
      </c>
      <c r="E376" s="75" t="s">
        <v>302</v>
      </c>
      <c r="F376" s="73" t="s">
        <v>45</v>
      </c>
      <c r="G376" s="73" t="str">
        <f>INDEX(Auxiliar!$B$16:$B$23,MATCH(Plano_V3!H376,Auxiliar!$C$16:$C$23,0),1)</f>
        <v>1. Concluído</v>
      </c>
      <c r="H376" s="73">
        <f>VLOOKUP(A376,'Aux - pivots1'!$A:$B,2,0)</f>
        <v>1</v>
      </c>
      <c r="I376" s="93">
        <f>SUMIFS(Table1[Estimação (horas)],Table1[Tabela],Plano_V3!E376,Table1[Campo],Plano_V3!F376)</f>
        <v>4.0999999999999996</v>
      </c>
      <c r="J376" s="93">
        <f t="shared" si="51"/>
        <v>0.51249999999999996</v>
      </c>
      <c r="K376" s="93">
        <f>SUMIFS(Table1[Horas efetivas],Table1[Tabela],Plano_V3!E376,Table1[Campo],Plano_V3!F376)</f>
        <v>4.0999999999999996</v>
      </c>
      <c r="L376" s="93">
        <f t="shared" si="52"/>
        <v>0.51249999999999996</v>
      </c>
      <c r="M376" s="93">
        <f t="shared" si="53"/>
        <v>1</v>
      </c>
      <c r="N376" s="96" t="s">
        <v>303</v>
      </c>
      <c r="O376" s="99">
        <f t="shared" si="49"/>
        <v>0.51249999999999996</v>
      </c>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87"/>
      <c r="AU376" s="87"/>
      <c r="AV376" s="87"/>
      <c r="AW376" s="100"/>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87"/>
      <c r="EJ376" s="87"/>
      <c r="EK376" s="87"/>
      <c r="EL376" s="100"/>
      <c r="EM376" s="100"/>
      <c r="EN376" s="100"/>
      <c r="EO376" s="100"/>
      <c r="EP376" s="100"/>
      <c r="EQ376" s="100"/>
    </row>
    <row r="377" spans="1:147" outlineLevel="1">
      <c r="A377" s="31" t="str">
        <f t="shared" si="50"/>
        <v>modesg_out_bens_imoveisflg_rsc_fsc_agd</v>
      </c>
      <c r="B377" s="76" t="s">
        <v>28</v>
      </c>
      <c r="C377" s="77" t="s">
        <v>301</v>
      </c>
      <c r="D377" s="73" t="s">
        <v>40</v>
      </c>
      <c r="E377" s="75" t="s">
        <v>302</v>
      </c>
      <c r="F377" s="73" t="s">
        <v>273</v>
      </c>
      <c r="G377" s="73" t="str">
        <f>INDEX(Auxiliar!$B$16:$B$23,MATCH(Plano_V3!H377,Auxiliar!$C$16:$C$23,0),1)</f>
        <v>4. Validação EF</v>
      </c>
      <c r="H377" s="73">
        <f>VLOOKUP(A377,'Aux - pivots1'!$A:$B,2,0)</f>
        <v>4</v>
      </c>
      <c r="I377" s="93">
        <f>SUMIFS(Table1[Estimação (horas)],Table1[Tabela],Plano_V3!E377,Table1[Campo],Plano_V3!F377)</f>
        <v>16.100000000000001</v>
      </c>
      <c r="J377" s="93">
        <f t="shared" si="51"/>
        <v>2.0125000000000002</v>
      </c>
      <c r="K377" s="93">
        <f>SUMIFS(Table1[Horas efetivas],Table1[Tabela],Plano_V3!E377,Table1[Campo],Plano_V3!F377)</f>
        <v>4.0250000000000004</v>
      </c>
      <c r="L377" s="93">
        <f t="shared" si="52"/>
        <v>0.50312500000000004</v>
      </c>
      <c r="M377" s="93">
        <f t="shared" si="53"/>
        <v>0.25</v>
      </c>
      <c r="N377" s="96" t="s">
        <v>303</v>
      </c>
      <c r="O377" s="99">
        <f t="shared" si="49"/>
        <v>2.0125000000000002</v>
      </c>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87"/>
      <c r="AU377" s="87"/>
      <c r="AV377" s="87"/>
      <c r="AW377" s="100"/>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87"/>
      <c r="EJ377" s="87"/>
      <c r="EK377" s="87"/>
      <c r="EL377" s="100"/>
      <c r="EM377" s="100"/>
      <c r="EN377" s="100"/>
      <c r="EO377" s="100"/>
      <c r="EP377" s="100"/>
      <c r="EQ377" s="100"/>
    </row>
    <row r="378" spans="1:147" outlineLevel="1">
      <c r="A378" s="31" t="str">
        <f t="shared" si="50"/>
        <v>modesg_out_bens_imoveisflg_rsc_fsc_crnc</v>
      </c>
      <c r="B378" s="76" t="s">
        <v>28</v>
      </c>
      <c r="C378" s="77" t="s">
        <v>301</v>
      </c>
      <c r="D378" s="73" t="s">
        <v>40</v>
      </c>
      <c r="E378" s="75" t="s">
        <v>302</v>
      </c>
      <c r="F378" s="73" t="s">
        <v>274</v>
      </c>
      <c r="G378" s="73" t="str">
        <f>INDEX(Auxiliar!$B$16:$B$23,MATCH(Plano_V3!H378,Auxiliar!$C$16:$C$23,0),1)</f>
        <v>4. Validação EF</v>
      </c>
      <c r="H378" s="73">
        <f>VLOOKUP(A378,'Aux - pivots1'!$A:$B,2,0)</f>
        <v>4</v>
      </c>
      <c r="I378" s="93">
        <f>SUMIFS(Table1[Estimação (horas)],Table1[Tabela],Plano_V3!E378,Table1[Campo],Plano_V3!F378)</f>
        <v>16.100000000000001</v>
      </c>
      <c r="J378" s="93">
        <f t="shared" si="51"/>
        <v>2.0125000000000002</v>
      </c>
      <c r="K378" s="93">
        <f>SUMIFS(Table1[Horas efetivas],Table1[Tabela],Plano_V3!E378,Table1[Campo],Plano_V3!F378)</f>
        <v>4.0250000000000004</v>
      </c>
      <c r="L378" s="93">
        <f t="shared" si="52"/>
        <v>0.50312500000000004</v>
      </c>
      <c r="M378" s="93">
        <f t="shared" si="53"/>
        <v>0.25</v>
      </c>
      <c r="N378" s="96" t="s">
        <v>303</v>
      </c>
      <c r="O378" s="99">
        <f t="shared" si="49"/>
        <v>2.0125000000000002</v>
      </c>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87"/>
      <c r="AU378" s="87"/>
      <c r="AV378" s="87"/>
      <c r="AW378" s="100"/>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87"/>
      <c r="EJ378" s="87"/>
      <c r="EK378" s="87"/>
      <c r="EL378" s="100"/>
      <c r="EM378" s="100"/>
      <c r="EN378" s="100"/>
      <c r="EO378" s="100"/>
      <c r="EP378" s="100"/>
      <c r="EQ378" s="100"/>
    </row>
    <row r="379" spans="1:147" outlineLevel="1">
      <c r="A379" s="31" t="str">
        <f t="shared" si="50"/>
        <v>modesg_out_bens_imoveisorigem_flg_rsc_fsc_agd</v>
      </c>
      <c r="B379" s="76" t="s">
        <v>28</v>
      </c>
      <c r="C379" s="77" t="s">
        <v>301</v>
      </c>
      <c r="D379" s="73" t="s">
        <v>40</v>
      </c>
      <c r="E379" s="75" t="s">
        <v>302</v>
      </c>
      <c r="F379" s="73" t="s">
        <v>304</v>
      </c>
      <c r="G379" s="73" t="str">
        <f>INDEX(Auxiliar!$B$16:$B$23,MATCH(Plano_V3!H379,Auxiliar!$C$16:$C$23,0),1)</f>
        <v>4. Validação EF</v>
      </c>
      <c r="H379" s="73">
        <f>VLOOKUP(A379,'Aux - pivots1'!$A:$B,2,0)</f>
        <v>4</v>
      </c>
      <c r="I379" s="93">
        <f>SUMIFS(Table1[Estimação (horas)],Table1[Tabela],Plano_V3!E379,Table1[Campo],Plano_V3!F379)</f>
        <v>4.0999999999999996</v>
      </c>
      <c r="J379" s="93">
        <f t="shared" si="51"/>
        <v>0.51249999999999996</v>
      </c>
      <c r="K379" s="93">
        <f>SUMIFS(Table1[Horas efetivas],Table1[Tabela],Plano_V3!E379,Table1[Campo],Plano_V3!F379)</f>
        <v>1.0249999999999999</v>
      </c>
      <c r="L379" s="93">
        <f t="shared" si="52"/>
        <v>0.12812499999999999</v>
      </c>
      <c r="M379" s="93">
        <f t="shared" si="53"/>
        <v>0.25</v>
      </c>
      <c r="N379" s="96" t="s">
        <v>303</v>
      </c>
      <c r="O379" s="99">
        <f t="shared" si="49"/>
        <v>0.51249999999999996</v>
      </c>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87"/>
      <c r="AU379" s="87"/>
      <c r="AV379" s="87"/>
      <c r="AW379" s="100"/>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87"/>
      <c r="EJ379" s="87"/>
      <c r="EK379" s="87"/>
      <c r="EL379" s="100"/>
      <c r="EM379" s="100"/>
      <c r="EN379" s="100"/>
      <c r="EO379" s="100"/>
      <c r="EP379" s="100"/>
      <c r="EQ379" s="100"/>
    </row>
    <row r="380" spans="1:147" outlineLevel="1">
      <c r="A380" s="31" t="str">
        <f t="shared" si="50"/>
        <v>modesg_out_bens_imoveisorigem_flg_rsc_fsc_crnc</v>
      </c>
      <c r="B380" s="76" t="s">
        <v>28</v>
      </c>
      <c r="C380" s="77" t="s">
        <v>301</v>
      </c>
      <c r="D380" s="73" t="s">
        <v>40</v>
      </c>
      <c r="E380" s="75" t="s">
        <v>302</v>
      </c>
      <c r="F380" s="73" t="s">
        <v>305</v>
      </c>
      <c r="G380" s="73" t="str">
        <f>INDEX(Auxiliar!$B$16:$B$23,MATCH(Plano_V3!H380,Auxiliar!$C$16:$C$23,0),1)</f>
        <v>4. Validação EF</v>
      </c>
      <c r="H380" s="73">
        <f>VLOOKUP(A380,'Aux - pivots1'!$A:$B,2,0)</f>
        <v>4</v>
      </c>
      <c r="I380" s="93">
        <f>SUMIFS(Table1[Estimação (horas)],Table1[Tabela],Plano_V3!E380,Table1[Campo],Plano_V3!F380)</f>
        <v>4.0999999999999996</v>
      </c>
      <c r="J380" s="93">
        <f t="shared" si="51"/>
        <v>0.51249999999999996</v>
      </c>
      <c r="K380" s="93">
        <f>SUMIFS(Table1[Horas efetivas],Table1[Tabela],Plano_V3!E380,Table1[Campo],Plano_V3!F380)</f>
        <v>1.0249999999999999</v>
      </c>
      <c r="L380" s="93">
        <f t="shared" si="52"/>
        <v>0.12812499999999999</v>
      </c>
      <c r="M380" s="93">
        <f t="shared" si="53"/>
        <v>0.25</v>
      </c>
      <c r="N380" s="96" t="s">
        <v>303</v>
      </c>
      <c r="O380" s="99">
        <f t="shared" si="49"/>
        <v>0.51249999999999996</v>
      </c>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87"/>
      <c r="AU380" s="87"/>
      <c r="AV380" s="87"/>
      <c r="AW380" s="100"/>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87"/>
      <c r="EJ380" s="87"/>
      <c r="EK380" s="87"/>
      <c r="EL380" s="100"/>
      <c r="EM380" s="100"/>
      <c r="EN380" s="100"/>
      <c r="EO380" s="100"/>
      <c r="EP380" s="100"/>
      <c r="EQ380" s="100"/>
    </row>
    <row r="381" spans="1:147" outlineLevel="1">
      <c r="A381" s="31" t="str">
        <f t="shared" si="50"/>
        <v>modesg_out_bens_imoveisorigem_scp1_emss</v>
      </c>
      <c r="B381" s="76" t="s">
        <v>28</v>
      </c>
      <c r="C381" s="77" t="s">
        <v>301</v>
      </c>
      <c r="D381" s="73" t="s">
        <v>40</v>
      </c>
      <c r="E381" s="75" t="s">
        <v>302</v>
      </c>
      <c r="F381" s="73" t="s">
        <v>306</v>
      </c>
      <c r="G381" s="73" t="str">
        <f>INDEX(Auxiliar!$B$16:$B$23,MATCH(Plano_V3!H381,Auxiliar!$C$16:$C$23,0),1)</f>
        <v>2. Em Teste</v>
      </c>
      <c r="H381" s="73">
        <f>VLOOKUP(A381,'Aux - pivots1'!$A:$B,2,0)</f>
        <v>2</v>
      </c>
      <c r="I381" s="93">
        <f>SUMIFS(Table1[Estimação (horas)],Table1[Tabela],Plano_V3!E381,Table1[Campo],Plano_V3!F381)</f>
        <v>4.0999999999999996</v>
      </c>
      <c r="J381" s="93">
        <f t="shared" si="51"/>
        <v>0.51249999999999996</v>
      </c>
      <c r="K381" s="93">
        <f>SUMIFS(Table1[Horas efetivas],Table1[Tabela],Plano_V3!E381,Table1[Campo],Plano_V3!F381)</f>
        <v>2.0499999999999998</v>
      </c>
      <c r="L381" s="93">
        <f t="shared" si="52"/>
        <v>0.25624999999999998</v>
      </c>
      <c r="M381" s="93">
        <f t="shared" si="53"/>
        <v>0.5</v>
      </c>
      <c r="N381" s="96" t="s">
        <v>303</v>
      </c>
      <c r="O381" s="99">
        <f t="shared" si="49"/>
        <v>0.51249999999999996</v>
      </c>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87"/>
      <c r="AU381" s="87"/>
      <c r="AV381" s="87"/>
      <c r="AW381" s="100"/>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87"/>
      <c r="EJ381" s="87"/>
      <c r="EK381" s="87"/>
      <c r="EL381" s="100"/>
      <c r="EM381" s="100"/>
      <c r="EN381" s="100"/>
      <c r="EO381" s="100"/>
      <c r="EP381" s="100"/>
      <c r="EQ381" s="100"/>
    </row>
    <row r="382" spans="1:147" outlineLevel="1">
      <c r="A382" s="31" t="str">
        <f t="shared" si="50"/>
        <v>modesg_out_bens_imoveisorigem_scp2_emss</v>
      </c>
      <c r="B382" s="76" t="s">
        <v>28</v>
      </c>
      <c r="C382" s="77" t="s">
        <v>301</v>
      </c>
      <c r="D382" s="73" t="s">
        <v>40</v>
      </c>
      <c r="E382" s="75" t="s">
        <v>302</v>
      </c>
      <c r="F382" s="73" t="s">
        <v>307</v>
      </c>
      <c r="G382" s="73" t="str">
        <f>INDEX(Auxiliar!$B$16:$B$23,MATCH(Plano_V3!H382,Auxiliar!$C$16:$C$23,0),1)</f>
        <v>2. Em Teste</v>
      </c>
      <c r="H382" s="73">
        <f>VLOOKUP(A382,'Aux - pivots1'!$A:$B,2,0)</f>
        <v>2</v>
      </c>
      <c r="I382" s="93">
        <f>SUMIFS(Table1[Estimação (horas)],Table1[Tabela],Plano_V3!E382,Table1[Campo],Plano_V3!F382)</f>
        <v>4.0999999999999996</v>
      </c>
      <c r="J382" s="93">
        <f t="shared" si="51"/>
        <v>0.51249999999999996</v>
      </c>
      <c r="K382" s="93">
        <f>SUMIFS(Table1[Horas efetivas],Table1[Tabela],Plano_V3!E382,Table1[Campo],Plano_V3!F382)</f>
        <v>2.0499999999999998</v>
      </c>
      <c r="L382" s="93">
        <f t="shared" si="52"/>
        <v>0.25624999999999998</v>
      </c>
      <c r="M382" s="93">
        <f t="shared" si="53"/>
        <v>0.5</v>
      </c>
      <c r="N382" s="96" t="s">
        <v>303</v>
      </c>
      <c r="O382" s="99">
        <f t="shared" si="49"/>
        <v>0.51249999999999996</v>
      </c>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87"/>
      <c r="AU382" s="87"/>
      <c r="AV382" s="87"/>
      <c r="AW382" s="100"/>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87"/>
      <c r="EJ382" s="87"/>
      <c r="EK382" s="87"/>
      <c r="EL382" s="100"/>
      <c r="EM382" s="100"/>
      <c r="EN382" s="100"/>
      <c r="EO382" s="100"/>
      <c r="EP382" s="100"/>
      <c r="EQ382" s="100"/>
    </row>
    <row r="383" spans="1:147" outlineLevel="1">
      <c r="A383" s="31" t="str">
        <f t="shared" si="50"/>
        <v>modesg_out_bens_imoveisorigem_scp3_emss</v>
      </c>
      <c r="B383" s="76" t="s">
        <v>28</v>
      </c>
      <c r="C383" s="77" t="s">
        <v>301</v>
      </c>
      <c r="D383" s="73" t="s">
        <v>40</v>
      </c>
      <c r="E383" s="75" t="s">
        <v>302</v>
      </c>
      <c r="F383" s="73" t="s">
        <v>308</v>
      </c>
      <c r="G383" s="73" t="str">
        <f>INDEX(Auxiliar!$B$16:$B$23,MATCH(Plano_V3!H383,Auxiliar!$C$16:$C$23,0),1)</f>
        <v>2. Em Teste</v>
      </c>
      <c r="H383" s="73">
        <f>VLOOKUP(A383,'Aux - pivots1'!$A:$B,2,0)</f>
        <v>2</v>
      </c>
      <c r="I383" s="93">
        <f>SUMIFS(Table1[Estimação (horas)],Table1[Tabela],Plano_V3!E383,Table1[Campo],Plano_V3!F383)</f>
        <v>4.0999999999999996</v>
      </c>
      <c r="J383" s="93">
        <f t="shared" si="51"/>
        <v>0.51249999999999996</v>
      </c>
      <c r="K383" s="93">
        <f>SUMIFS(Table1[Horas efetivas],Table1[Tabela],Plano_V3!E383,Table1[Campo],Plano_V3!F383)</f>
        <v>2.0499999999999998</v>
      </c>
      <c r="L383" s="93">
        <f t="shared" si="52"/>
        <v>0.25624999999999998</v>
      </c>
      <c r="M383" s="93">
        <f t="shared" si="53"/>
        <v>0.5</v>
      </c>
      <c r="N383" s="96" t="s">
        <v>303</v>
      </c>
      <c r="O383" s="99">
        <f t="shared" si="49"/>
        <v>0.51249999999999996</v>
      </c>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87"/>
      <c r="AU383" s="87"/>
      <c r="AV383" s="87"/>
      <c r="AW383" s="100"/>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87"/>
      <c r="EJ383" s="87"/>
      <c r="EK383" s="87"/>
      <c r="EL383" s="100"/>
      <c r="EM383" s="100"/>
      <c r="EN383" s="100"/>
      <c r="EO383" s="100"/>
      <c r="EP383" s="100"/>
      <c r="EQ383" s="100"/>
    </row>
    <row r="384" spans="1:147" outlineLevel="1">
      <c r="A384" s="31" t="str">
        <f t="shared" si="50"/>
        <v>modesg_out_bens_imoveisref_date</v>
      </c>
      <c r="B384" s="76" t="s">
        <v>28</v>
      </c>
      <c r="C384" s="77" t="s">
        <v>301</v>
      </c>
      <c r="D384" s="73" t="s">
        <v>40</v>
      </c>
      <c r="E384" s="75" t="s">
        <v>302</v>
      </c>
      <c r="F384" s="73" t="s">
        <v>73</v>
      </c>
      <c r="G384" s="73" t="str">
        <f>INDEX(Auxiliar!$B$16:$B$23,MATCH(Plano_V3!H384,Auxiliar!$C$16:$C$23,0),1)</f>
        <v>1. Concluído</v>
      </c>
      <c r="H384" s="73">
        <f>VLOOKUP(A384,'Aux - pivots1'!$A:$B,2,0)</f>
        <v>1</v>
      </c>
      <c r="I384" s="93">
        <f>SUMIFS(Table1[Estimação (horas)],Table1[Tabela],Plano_V3!E384,Table1[Campo],Plano_V3!F384)</f>
        <v>4.0999999999999996</v>
      </c>
      <c r="J384" s="93">
        <f t="shared" si="51"/>
        <v>0.51249999999999996</v>
      </c>
      <c r="K384" s="93">
        <f>SUMIFS(Table1[Horas efetivas],Table1[Tabela],Plano_V3!E384,Table1[Campo],Plano_V3!F384)</f>
        <v>4.0999999999999996</v>
      </c>
      <c r="L384" s="93">
        <f t="shared" si="52"/>
        <v>0.51249999999999996</v>
      </c>
      <c r="M384" s="93">
        <f t="shared" si="53"/>
        <v>1</v>
      </c>
      <c r="N384" s="96" t="s">
        <v>303</v>
      </c>
      <c r="O384" s="99">
        <f t="shared" si="49"/>
        <v>0.51249999999999996</v>
      </c>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87"/>
      <c r="AU384" s="87"/>
      <c r="AV384" s="87"/>
      <c r="AW384" s="100"/>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87"/>
      <c r="EJ384" s="87"/>
      <c r="EK384" s="87"/>
      <c r="EL384" s="100"/>
      <c r="EM384" s="100"/>
      <c r="EN384" s="100"/>
      <c r="EO384" s="100"/>
      <c r="EP384" s="100"/>
      <c r="EQ384" s="100"/>
    </row>
    <row r="385" spans="1:147" outlineLevel="1">
      <c r="A385" s="31" t="str">
        <f t="shared" si="50"/>
        <v>modesg_out_bens_imoveisscp1_emss</v>
      </c>
      <c r="B385" s="76" t="s">
        <v>28</v>
      </c>
      <c r="C385" s="77" t="s">
        <v>301</v>
      </c>
      <c r="D385" s="73" t="s">
        <v>40</v>
      </c>
      <c r="E385" s="75" t="s">
        <v>302</v>
      </c>
      <c r="F385" s="73" t="s">
        <v>276</v>
      </c>
      <c r="G385" s="73" t="str">
        <f>INDEX(Auxiliar!$B$16:$B$23,MATCH(Plano_V3!H385,Auxiliar!$C$16:$C$23,0),1)</f>
        <v>2. Em Teste</v>
      </c>
      <c r="H385" s="73">
        <f>VLOOKUP(A385,'Aux - pivots1'!$A:$B,2,0)</f>
        <v>2</v>
      </c>
      <c r="I385" s="93">
        <f>SUMIFS(Table1[Estimação (horas)],Table1[Tabela],Plano_V3!E385,Table1[Campo],Plano_V3!F385)</f>
        <v>8.1</v>
      </c>
      <c r="J385" s="93">
        <f t="shared" si="51"/>
        <v>1.0125</v>
      </c>
      <c r="K385" s="93">
        <f>SUMIFS(Table1[Horas efetivas],Table1[Tabela],Plano_V3!E385,Table1[Campo],Plano_V3!F385)</f>
        <v>4.05</v>
      </c>
      <c r="L385" s="93">
        <f t="shared" si="52"/>
        <v>0.50624999999999998</v>
      </c>
      <c r="M385" s="93">
        <f t="shared" si="53"/>
        <v>0.5</v>
      </c>
      <c r="N385" s="96" t="s">
        <v>303</v>
      </c>
      <c r="O385" s="99">
        <f t="shared" si="49"/>
        <v>1.0125</v>
      </c>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87"/>
      <c r="AU385" s="87"/>
      <c r="AV385" s="87"/>
      <c r="AW385" s="100"/>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87"/>
      <c r="EJ385" s="87"/>
      <c r="EK385" s="87"/>
      <c r="EL385" s="100"/>
      <c r="EM385" s="100"/>
      <c r="EN385" s="100"/>
      <c r="EO385" s="100"/>
      <c r="EP385" s="100"/>
      <c r="EQ385" s="100"/>
    </row>
    <row r="386" spans="1:147" outlineLevel="1">
      <c r="A386" s="31" t="str">
        <f t="shared" si="50"/>
        <v>modesg_out_bens_imoveisscp2_emss</v>
      </c>
      <c r="B386" s="76" t="s">
        <v>28</v>
      </c>
      <c r="C386" s="77" t="s">
        <v>301</v>
      </c>
      <c r="D386" s="73" t="s">
        <v>40</v>
      </c>
      <c r="E386" s="75" t="s">
        <v>302</v>
      </c>
      <c r="F386" s="73" t="s">
        <v>277</v>
      </c>
      <c r="G386" s="73" t="str">
        <f>INDEX(Auxiliar!$B$16:$B$23,MATCH(Plano_V3!H386,Auxiliar!$C$16:$C$23,0),1)</f>
        <v>2. Em Teste</v>
      </c>
      <c r="H386" s="73">
        <f>VLOOKUP(A386,'Aux - pivots1'!$A:$B,2,0)</f>
        <v>2</v>
      </c>
      <c r="I386" s="93">
        <f>SUMIFS(Table1[Estimação (horas)],Table1[Tabela],Plano_V3!E386,Table1[Campo],Plano_V3!F386)</f>
        <v>8.1</v>
      </c>
      <c r="J386" s="93">
        <f t="shared" si="51"/>
        <v>1.0125</v>
      </c>
      <c r="K386" s="93">
        <f>SUMIFS(Table1[Horas efetivas],Table1[Tabela],Plano_V3!E386,Table1[Campo],Plano_V3!F386)</f>
        <v>4.05</v>
      </c>
      <c r="L386" s="93">
        <f t="shared" si="52"/>
        <v>0.50624999999999998</v>
      </c>
      <c r="M386" s="93">
        <f t="shared" si="53"/>
        <v>0.5</v>
      </c>
      <c r="N386" s="96" t="s">
        <v>303</v>
      </c>
      <c r="O386" s="99">
        <f t="shared" si="49"/>
        <v>1.0125</v>
      </c>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87"/>
      <c r="AU386" s="87"/>
      <c r="AV386" s="87"/>
      <c r="AW386" s="100"/>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87"/>
      <c r="EJ386" s="87"/>
      <c r="EK386" s="87"/>
      <c r="EL386" s="100"/>
      <c r="EM386" s="100"/>
      <c r="EN386" s="100"/>
      <c r="EO386" s="100"/>
      <c r="EP386" s="100"/>
      <c r="EQ386" s="100"/>
    </row>
    <row r="387" spans="1:147" outlineLevel="1">
      <c r="A387" s="31" t="str">
        <f t="shared" si="50"/>
        <v>modesg_out_bens_imoveisscp3_emss</v>
      </c>
      <c r="B387" s="76" t="s">
        <v>28</v>
      </c>
      <c r="C387" s="77" t="s">
        <v>301</v>
      </c>
      <c r="D387" s="73" t="s">
        <v>40</v>
      </c>
      <c r="E387" s="75" t="s">
        <v>302</v>
      </c>
      <c r="F387" s="73" t="s">
        <v>278</v>
      </c>
      <c r="G387" s="73" t="str">
        <f>INDEX(Auxiliar!$B$16:$B$23,MATCH(Plano_V3!H387,Auxiliar!$C$16:$C$23,0),1)</f>
        <v>1. Concluído</v>
      </c>
      <c r="H387" s="73">
        <f>VLOOKUP(A387,'Aux - pivots1'!$A:$B,2,0)</f>
        <v>1</v>
      </c>
      <c r="I387" s="93">
        <f>SUMIFS(Table1[Estimação (horas)],Table1[Tabela],Plano_V3!E387,Table1[Campo],Plano_V3!F387)</f>
        <v>4.0999999999999996</v>
      </c>
      <c r="J387" s="93">
        <f t="shared" si="51"/>
        <v>0.51249999999999996</v>
      </c>
      <c r="K387" s="93">
        <f>SUMIFS(Table1[Horas efetivas],Table1[Tabela],Plano_V3!E387,Table1[Campo],Plano_V3!F387)</f>
        <v>4.0999999999999996</v>
      </c>
      <c r="L387" s="93">
        <f t="shared" si="52"/>
        <v>0.51249999999999996</v>
      </c>
      <c r="M387" s="93">
        <f t="shared" si="53"/>
        <v>1</v>
      </c>
      <c r="N387" s="96" t="s">
        <v>303</v>
      </c>
      <c r="O387" s="99">
        <f t="shared" si="49"/>
        <v>0.51249999999999996</v>
      </c>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87"/>
      <c r="AU387" s="87"/>
      <c r="AV387" s="87"/>
      <c r="AW387" s="100"/>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87"/>
      <c r="EJ387" s="87"/>
      <c r="EK387" s="87"/>
      <c r="EL387" s="100"/>
      <c r="EM387" s="100"/>
      <c r="EN387" s="100"/>
      <c r="EO387" s="100"/>
      <c r="EP387" s="100"/>
      <c r="EQ387" s="100"/>
    </row>
    <row r="388" spans="1:147" outlineLevel="1">
      <c r="A388" s="31" t="str">
        <f t="shared" si="50"/>
        <v>modesg_out_bens_imoveisunidade_funcional_scp1_emss</v>
      </c>
      <c r="B388" s="76" t="s">
        <v>28</v>
      </c>
      <c r="C388" s="77" t="s">
        <v>301</v>
      </c>
      <c r="D388" s="73" t="s">
        <v>40</v>
      </c>
      <c r="E388" s="75" t="s">
        <v>302</v>
      </c>
      <c r="F388" s="73" t="s">
        <v>309</v>
      </c>
      <c r="G388" s="73" t="str">
        <f>INDEX(Auxiliar!$B$16:$B$23,MATCH(Plano_V3!H388,Auxiliar!$C$16:$C$23,0),1)</f>
        <v>2. Em Teste</v>
      </c>
      <c r="H388" s="73">
        <f>VLOOKUP(A388,'Aux - pivots1'!$A:$B,2,0)</f>
        <v>2</v>
      </c>
      <c r="I388" s="93">
        <f>SUMIFS(Table1[Estimação (horas)],Table1[Tabela],Plano_V3!E388,Table1[Campo],Plano_V3!F388)</f>
        <v>4.0999999999999996</v>
      </c>
      <c r="J388" s="93">
        <f t="shared" si="51"/>
        <v>0.51249999999999996</v>
      </c>
      <c r="K388" s="93">
        <f>SUMIFS(Table1[Horas efetivas],Table1[Tabela],Plano_V3!E388,Table1[Campo],Plano_V3!F388)</f>
        <v>2.0499999999999998</v>
      </c>
      <c r="L388" s="93">
        <f t="shared" si="52"/>
        <v>0.25624999999999998</v>
      </c>
      <c r="M388" s="93">
        <f t="shared" si="53"/>
        <v>0.5</v>
      </c>
      <c r="N388" s="96" t="s">
        <v>303</v>
      </c>
      <c r="O388" s="99">
        <f t="shared" si="49"/>
        <v>0.51249999999999996</v>
      </c>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87"/>
      <c r="AU388" s="87"/>
      <c r="AV388" s="87"/>
      <c r="AW388" s="100"/>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87"/>
      <c r="EJ388" s="87"/>
      <c r="EK388" s="87"/>
      <c r="EL388" s="100"/>
      <c r="EM388" s="100"/>
      <c r="EN388" s="100"/>
      <c r="EO388" s="100"/>
      <c r="EP388" s="100"/>
      <c r="EQ388" s="100"/>
    </row>
    <row r="389" spans="1:147" outlineLevel="1">
      <c r="A389" s="31" t="str">
        <f t="shared" si="50"/>
        <v>modesg_out_bens_imoveisunidade_funcional_scp2_emss</v>
      </c>
      <c r="B389" s="76" t="s">
        <v>28</v>
      </c>
      <c r="C389" s="77" t="s">
        <v>301</v>
      </c>
      <c r="D389" s="73" t="s">
        <v>40</v>
      </c>
      <c r="E389" s="75" t="s">
        <v>302</v>
      </c>
      <c r="F389" s="73" t="s">
        <v>310</v>
      </c>
      <c r="G389" s="73" t="str">
        <f>INDEX(Auxiliar!$B$16:$B$23,MATCH(Plano_V3!H389,Auxiliar!$C$16:$C$23,0),1)</f>
        <v>2. Em Teste</v>
      </c>
      <c r="H389" s="73">
        <f>VLOOKUP(A389,'Aux - pivots1'!$A:$B,2,0)</f>
        <v>2</v>
      </c>
      <c r="I389" s="93">
        <f>SUMIFS(Table1[Estimação (horas)],Table1[Tabela],Plano_V3!E389,Table1[Campo],Plano_V3!F389)</f>
        <v>4.0999999999999996</v>
      </c>
      <c r="J389" s="93">
        <f t="shared" si="51"/>
        <v>0.51249999999999996</v>
      </c>
      <c r="K389" s="93">
        <f>SUMIFS(Table1[Horas efetivas],Table1[Tabela],Plano_V3!E389,Table1[Campo],Plano_V3!F389)</f>
        <v>2.0499999999999998</v>
      </c>
      <c r="L389" s="93">
        <f t="shared" si="52"/>
        <v>0.25624999999999998</v>
      </c>
      <c r="M389" s="93">
        <f t="shared" si="53"/>
        <v>0.5</v>
      </c>
      <c r="N389" s="96" t="s">
        <v>303</v>
      </c>
      <c r="O389" s="99">
        <f t="shared" si="49"/>
        <v>0.51249999999999996</v>
      </c>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87"/>
      <c r="AU389" s="87"/>
      <c r="AV389" s="87"/>
      <c r="AW389" s="100"/>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87"/>
      <c r="EJ389" s="87"/>
      <c r="EK389" s="87"/>
      <c r="EL389" s="100"/>
      <c r="EM389" s="100"/>
      <c r="EN389" s="100"/>
      <c r="EO389" s="100"/>
      <c r="EP389" s="100"/>
      <c r="EQ389" s="100"/>
    </row>
    <row r="390" spans="1:147" outlineLevel="1">
      <c r="A390" s="31" t="str">
        <f t="shared" si="50"/>
        <v>modesg_out_bens_imoveisunidade_funcional_scp3_emss</v>
      </c>
      <c r="B390" s="76" t="s">
        <v>28</v>
      </c>
      <c r="C390" s="77" t="s">
        <v>301</v>
      </c>
      <c r="D390" s="73" t="s">
        <v>40</v>
      </c>
      <c r="E390" s="75" t="s">
        <v>302</v>
      </c>
      <c r="F390" s="73" t="s">
        <v>311</v>
      </c>
      <c r="G390" s="73" t="str">
        <f>INDEX(Auxiliar!$B$16:$B$23,MATCH(Plano_V3!H390,Auxiliar!$C$16:$C$23,0),1)</f>
        <v>2. Em Teste</v>
      </c>
      <c r="H390" s="73">
        <f>VLOOKUP(A390,'Aux - pivots1'!$A:$B,2,0)</f>
        <v>2</v>
      </c>
      <c r="I390" s="93">
        <f>SUMIFS(Table1[Estimação (horas)],Table1[Tabela],Plano_V3!E390,Table1[Campo],Plano_V3!F390)</f>
        <v>4.0999999999999996</v>
      </c>
      <c r="J390" s="93">
        <f t="shared" si="51"/>
        <v>0.51249999999999996</v>
      </c>
      <c r="K390" s="93">
        <f>SUMIFS(Table1[Horas efetivas],Table1[Tabela],Plano_V3!E390,Table1[Campo],Plano_V3!F390)</f>
        <v>2.0499999999999998</v>
      </c>
      <c r="L390" s="93">
        <f t="shared" si="52"/>
        <v>0.25624999999999998</v>
      </c>
      <c r="M390" s="93">
        <f t="shared" si="53"/>
        <v>0.5</v>
      </c>
      <c r="N390" s="96" t="s">
        <v>303</v>
      </c>
      <c r="O390" s="99">
        <f t="shared" si="49"/>
        <v>0.51249999999999996</v>
      </c>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87"/>
      <c r="AU390" s="87"/>
      <c r="AV390" s="87"/>
      <c r="AW390" s="100"/>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87"/>
      <c r="EJ390" s="87"/>
      <c r="EK390" s="87"/>
      <c r="EL390" s="100"/>
      <c r="EM390" s="100"/>
      <c r="EN390" s="100"/>
      <c r="EO390" s="100"/>
      <c r="EP390" s="100"/>
      <c r="EQ390" s="100"/>
    </row>
    <row r="391" spans="1:147" outlineLevel="1">
      <c r="A391" s="31" t="str">
        <f t="shared" si="50"/>
        <v>modesg_out_empr_info_nfinn.a.</v>
      </c>
      <c r="B391" s="76" t="s">
        <v>28</v>
      </c>
      <c r="C391" s="77" t="s">
        <v>301</v>
      </c>
      <c r="D391" s="73" t="s">
        <v>36</v>
      </c>
      <c r="E391" s="75" t="s">
        <v>312</v>
      </c>
      <c r="F391" s="73" t="s">
        <v>38</v>
      </c>
      <c r="G391" s="73" t="str">
        <f>INDEX(Auxiliar!$B$16:$B$23,MATCH(Plano_V3!H391,Auxiliar!$C$16:$C$23,0),1)</f>
        <v>1. Concluído</v>
      </c>
      <c r="H391" s="73">
        <f>VLOOKUP(A391,'Aux - pivots1'!$A:$B,2,0)</f>
        <v>1</v>
      </c>
      <c r="I391" s="93">
        <f>SUMIFS(Table1[Estimação (horas)],Table1[Tabela],Plano_V3!E391,Table1[Campo],Plano_V3!F391)</f>
        <v>8</v>
      </c>
      <c r="J391" s="93">
        <f t="shared" si="51"/>
        <v>1</v>
      </c>
      <c r="K391" s="93">
        <f>SUMIFS(Table1[Horas efetivas],Table1[Tabela],Plano_V3!E391,Table1[Campo],Plano_V3!F391)</f>
        <v>8</v>
      </c>
      <c r="L391" s="93">
        <f t="shared" si="52"/>
        <v>1</v>
      </c>
      <c r="M391" s="93">
        <f t="shared" si="53"/>
        <v>1</v>
      </c>
      <c r="N391" s="96" t="s">
        <v>313</v>
      </c>
      <c r="O391" s="99">
        <f t="shared" si="49"/>
        <v>1</v>
      </c>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87"/>
      <c r="AU391" s="87"/>
      <c r="AV391" s="87"/>
      <c r="AW391" s="100"/>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87"/>
      <c r="EJ391" s="87"/>
      <c r="EK391" s="87"/>
      <c r="EL391" s="100"/>
      <c r="EM391" s="100"/>
      <c r="EN391" s="100"/>
      <c r="EO391" s="100"/>
      <c r="EP391" s="100"/>
      <c r="EQ391" s="100"/>
    </row>
    <row r="392" spans="1:147" outlineLevel="1">
      <c r="A392" s="31" t="str">
        <f t="shared" si="50"/>
        <v>modesg_out_empr_info_nfincca_capex_enblng_algnd</v>
      </c>
      <c r="B392" s="76" t="s">
        <v>28</v>
      </c>
      <c r="C392" s="77" t="s">
        <v>301</v>
      </c>
      <c r="D392" s="73" t="s">
        <v>40</v>
      </c>
      <c r="E392" s="75" t="s">
        <v>312</v>
      </c>
      <c r="F392" s="73" t="s">
        <v>241</v>
      </c>
      <c r="G392" s="73" t="str">
        <f>INDEX(Auxiliar!$B$16:$B$23,MATCH(Plano_V3!H392,Auxiliar!$C$16:$C$23,0),1)</f>
        <v>6. Em implementação (re-especificação)</v>
      </c>
      <c r="H392" s="73">
        <f>VLOOKUP(A392,'Aux - pivots1'!$A:$B,2,0)</f>
        <v>6</v>
      </c>
      <c r="I392" s="93">
        <f>SUMIFS(Table1[Estimação (horas)],Table1[Tabela],Plano_V3!E392,Table1[Campo],Plano_V3!F392)</f>
        <v>16.100000000000001</v>
      </c>
      <c r="J392" s="93">
        <f t="shared" si="51"/>
        <v>2.0125000000000002</v>
      </c>
      <c r="K392" s="93">
        <f>SUMIFS(Table1[Horas efetivas],Table1[Tabela],Plano_V3!E392,Table1[Campo],Plano_V3!F392)</f>
        <v>4.0250000000000004</v>
      </c>
      <c r="L392" s="93">
        <f t="shared" si="52"/>
        <v>0.50312500000000004</v>
      </c>
      <c r="M392" s="93">
        <f t="shared" si="53"/>
        <v>0.25</v>
      </c>
      <c r="N392" s="96" t="s">
        <v>313</v>
      </c>
      <c r="O392" s="99">
        <f t="shared" si="49"/>
        <v>2.0125000000000002</v>
      </c>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87"/>
      <c r="AU392" s="87"/>
      <c r="AV392" s="87"/>
      <c r="AW392" s="100"/>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87"/>
      <c r="EJ392" s="87"/>
      <c r="EK392" s="87"/>
      <c r="EL392" s="100"/>
      <c r="EM392" s="100"/>
      <c r="EN392" s="100"/>
      <c r="EO392" s="100"/>
      <c r="EP392" s="100"/>
      <c r="EQ392" s="100"/>
    </row>
    <row r="393" spans="1:147" outlineLevel="1">
      <c r="A393" s="31" t="str">
        <f t="shared" si="50"/>
        <v>modesg_out_empr_info_nfincca_capex_own_prfrmnce_algnd</v>
      </c>
      <c r="B393" s="76" t="s">
        <v>28</v>
      </c>
      <c r="C393" s="77" t="s">
        <v>301</v>
      </c>
      <c r="D393" s="73" t="s">
        <v>40</v>
      </c>
      <c r="E393" s="75" t="s">
        <v>312</v>
      </c>
      <c r="F393" s="73" t="s">
        <v>242</v>
      </c>
      <c r="G393" s="73" t="str">
        <f>INDEX(Auxiliar!$B$16:$B$23,MATCH(Plano_V3!H393,Auxiliar!$C$16:$C$23,0),1)</f>
        <v>6. Em implementação (re-especificação)</v>
      </c>
      <c r="H393" s="73">
        <f>VLOOKUP(A393,'Aux - pivots1'!$A:$B,2,0)</f>
        <v>6</v>
      </c>
      <c r="I393" s="93">
        <f>SUMIFS(Table1[Estimação (horas)],Table1[Tabela],Plano_V3!E393,Table1[Campo],Plano_V3!F393)</f>
        <v>16.100000000000001</v>
      </c>
      <c r="J393" s="93">
        <f t="shared" si="51"/>
        <v>2.0125000000000002</v>
      </c>
      <c r="K393" s="93">
        <f>SUMIFS(Table1[Horas efetivas],Table1[Tabela],Plano_V3!E393,Table1[Campo],Plano_V3!F393)</f>
        <v>4.0250000000000004</v>
      </c>
      <c r="L393" s="93">
        <f t="shared" si="52"/>
        <v>0.50312500000000004</v>
      </c>
      <c r="M393" s="93">
        <f t="shared" si="53"/>
        <v>0.25</v>
      </c>
      <c r="N393" s="96" t="s">
        <v>313</v>
      </c>
      <c r="O393" s="99">
        <f t="shared" si="49"/>
        <v>2.0125000000000002</v>
      </c>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87"/>
      <c r="AU393" s="87"/>
      <c r="AV393" s="87"/>
      <c r="AW393" s="100"/>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87"/>
      <c r="EJ393" s="87"/>
      <c r="EK393" s="87"/>
      <c r="EL393" s="100"/>
      <c r="EM393" s="100"/>
      <c r="EN393" s="100"/>
      <c r="EO393" s="100"/>
      <c r="EP393" s="100"/>
      <c r="EQ393" s="100"/>
    </row>
    <row r="394" spans="1:147" outlineLevel="1">
      <c r="A394" s="31" t="str">
        <f t="shared" si="50"/>
        <v>modesg_out_empr_info_nfincca_capex_ttl_elgbl</v>
      </c>
      <c r="B394" s="76" t="s">
        <v>28</v>
      </c>
      <c r="C394" s="77" t="s">
        <v>301</v>
      </c>
      <c r="D394" s="73" t="s">
        <v>40</v>
      </c>
      <c r="E394" s="75" t="s">
        <v>312</v>
      </c>
      <c r="F394" s="73" t="s">
        <v>240</v>
      </c>
      <c r="G394" s="73" t="str">
        <f>INDEX(Auxiliar!$B$16:$B$23,MATCH(Plano_V3!H394,Auxiliar!$C$16:$C$23,0),1)</f>
        <v>6. Em implementação (re-especificação)</v>
      </c>
      <c r="H394" s="73">
        <f>VLOOKUP(A394,'Aux - pivots1'!$A:$B,2,0)</f>
        <v>6</v>
      </c>
      <c r="I394" s="93">
        <f>SUMIFS(Table1[Estimação (horas)],Table1[Tabela],Plano_V3!E394,Table1[Campo],Plano_V3!F394)</f>
        <v>16.100000000000001</v>
      </c>
      <c r="J394" s="93">
        <f t="shared" si="51"/>
        <v>2.0125000000000002</v>
      </c>
      <c r="K394" s="93">
        <f>SUMIFS(Table1[Horas efetivas],Table1[Tabela],Plano_V3!E394,Table1[Campo],Plano_V3!F394)</f>
        <v>4.0250000000000004</v>
      </c>
      <c r="L394" s="93">
        <f t="shared" si="52"/>
        <v>0.50312500000000004</v>
      </c>
      <c r="M394" s="93">
        <f t="shared" si="53"/>
        <v>0.25</v>
      </c>
      <c r="N394" s="96" t="s">
        <v>313</v>
      </c>
      <c r="O394" s="99">
        <f t="shared" si="49"/>
        <v>2.0125000000000002</v>
      </c>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87"/>
      <c r="AU394" s="87"/>
      <c r="AV394" s="87"/>
      <c r="AW394" s="100"/>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87"/>
      <c r="EJ394" s="87"/>
      <c r="EK394" s="87"/>
      <c r="EL394" s="100"/>
      <c r="EM394" s="100"/>
      <c r="EN394" s="100"/>
      <c r="EO394" s="100"/>
      <c r="EP394" s="100"/>
      <c r="EQ394" s="100"/>
    </row>
    <row r="395" spans="1:147" outlineLevel="1">
      <c r="A395" s="31" t="str">
        <f t="shared" si="50"/>
        <v>modesg_out_empr_info_nfincca_trnvr_enblng_alignd</v>
      </c>
      <c r="B395" s="76" t="s">
        <v>28</v>
      </c>
      <c r="C395" s="77" t="s">
        <v>301</v>
      </c>
      <c r="D395" s="73" t="s">
        <v>40</v>
      </c>
      <c r="E395" s="75" t="s">
        <v>312</v>
      </c>
      <c r="F395" s="73" t="s">
        <v>238</v>
      </c>
      <c r="G395" s="73" t="str">
        <f>INDEX(Auxiliar!$B$16:$B$23,MATCH(Plano_V3!H395,Auxiliar!$C$16:$C$23,0),1)</f>
        <v>6. Em implementação (re-especificação)</v>
      </c>
      <c r="H395" s="73">
        <f>VLOOKUP(A395,'Aux - pivots1'!$A:$B,2,0)</f>
        <v>6</v>
      </c>
      <c r="I395" s="93">
        <f>SUMIFS(Table1[Estimação (horas)],Table1[Tabela],Plano_V3!E395,Table1[Campo],Plano_V3!F395)</f>
        <v>16.100000000000001</v>
      </c>
      <c r="J395" s="93">
        <f t="shared" si="51"/>
        <v>2.0125000000000002</v>
      </c>
      <c r="K395" s="93">
        <f>SUMIFS(Table1[Horas efetivas],Table1[Tabela],Plano_V3!E395,Table1[Campo],Plano_V3!F395)</f>
        <v>4.0250000000000004</v>
      </c>
      <c r="L395" s="93">
        <f t="shared" si="52"/>
        <v>0.50312500000000004</v>
      </c>
      <c r="M395" s="93">
        <f t="shared" si="53"/>
        <v>0.25</v>
      </c>
      <c r="N395" s="96" t="s">
        <v>313</v>
      </c>
      <c r="O395" s="99">
        <f t="shared" si="49"/>
        <v>2.0125000000000002</v>
      </c>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87"/>
      <c r="AU395" s="87"/>
      <c r="AV395" s="87"/>
      <c r="AW395" s="100"/>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87"/>
      <c r="EJ395" s="87"/>
      <c r="EK395" s="87"/>
      <c r="EL395" s="100"/>
      <c r="EM395" s="100"/>
      <c r="EN395" s="100"/>
      <c r="EO395" s="100"/>
      <c r="EP395" s="100"/>
      <c r="EQ395" s="100"/>
    </row>
    <row r="396" spans="1:147" outlineLevel="1">
      <c r="A396" s="31" t="str">
        <f t="shared" si="50"/>
        <v>modesg_out_empr_info_nfincca_trnvr_ttl_elgbl</v>
      </c>
      <c r="B396" s="76" t="s">
        <v>28</v>
      </c>
      <c r="C396" s="77" t="s">
        <v>301</v>
      </c>
      <c r="D396" s="73" t="s">
        <v>40</v>
      </c>
      <c r="E396" s="75" t="s">
        <v>312</v>
      </c>
      <c r="F396" s="73" t="s">
        <v>237</v>
      </c>
      <c r="G396" s="73" t="str">
        <f>INDEX(Auxiliar!$B$16:$B$23,MATCH(Plano_V3!H396,Auxiliar!$C$16:$C$23,0),1)</f>
        <v>6. Em implementação (re-especificação)</v>
      </c>
      <c r="H396" s="73">
        <f>VLOOKUP(A396,'Aux - pivots1'!$A:$B,2,0)</f>
        <v>6</v>
      </c>
      <c r="I396" s="93">
        <f>SUMIFS(Table1[Estimação (horas)],Table1[Tabela],Plano_V3!E396,Table1[Campo],Plano_V3!F396)</f>
        <v>16.100000000000001</v>
      </c>
      <c r="J396" s="93">
        <f t="shared" si="51"/>
        <v>2.0125000000000002</v>
      </c>
      <c r="K396" s="93">
        <f>SUMIFS(Table1[Horas efetivas],Table1[Tabela],Plano_V3!E396,Table1[Campo],Plano_V3!F396)</f>
        <v>4.0250000000000004</v>
      </c>
      <c r="L396" s="93">
        <f t="shared" si="52"/>
        <v>0.50312500000000004</v>
      </c>
      <c r="M396" s="93">
        <f t="shared" si="53"/>
        <v>0.25</v>
      </c>
      <c r="N396" s="96" t="s">
        <v>313</v>
      </c>
      <c r="O396" s="99">
        <f t="shared" si="49"/>
        <v>2.0125000000000002</v>
      </c>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87"/>
      <c r="AU396" s="87"/>
      <c r="AV396" s="87"/>
      <c r="AW396" s="100"/>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87"/>
      <c r="EJ396" s="87"/>
      <c r="EK396" s="87"/>
      <c r="EL396" s="100"/>
      <c r="EM396" s="100"/>
      <c r="EN396" s="100"/>
      <c r="EO396" s="100"/>
      <c r="EP396" s="100"/>
      <c r="EQ396" s="100"/>
    </row>
    <row r="397" spans="1:147" outlineLevel="1">
      <c r="A397" s="31" t="str">
        <f t="shared" si="50"/>
        <v>modesg_out_empr_info_nfincca_turnover_own_prfrmnce_algnd</v>
      </c>
      <c r="B397" s="76" t="s">
        <v>28</v>
      </c>
      <c r="C397" s="77" t="s">
        <v>301</v>
      </c>
      <c r="D397" s="73" t="s">
        <v>40</v>
      </c>
      <c r="E397" s="75" t="s">
        <v>312</v>
      </c>
      <c r="F397" s="73" t="s">
        <v>239</v>
      </c>
      <c r="G397" s="73" t="str">
        <f>INDEX(Auxiliar!$B$16:$B$23,MATCH(Plano_V3!H397,Auxiliar!$C$16:$C$23,0),1)</f>
        <v>6. Em implementação (re-especificação)</v>
      </c>
      <c r="H397" s="73">
        <f>VLOOKUP(A397,'Aux - pivots1'!$A:$B,2,0)</f>
        <v>6</v>
      </c>
      <c r="I397" s="93">
        <f>SUMIFS(Table1[Estimação (horas)],Table1[Tabela],Plano_V3!E397,Table1[Campo],Plano_V3!F397)</f>
        <v>16.100000000000001</v>
      </c>
      <c r="J397" s="93">
        <f t="shared" si="51"/>
        <v>2.0125000000000002</v>
      </c>
      <c r="K397" s="93">
        <f>SUMIFS(Table1[Horas efetivas],Table1[Tabela],Plano_V3!E397,Table1[Campo],Plano_V3!F397)</f>
        <v>4.0250000000000004</v>
      </c>
      <c r="L397" s="93">
        <f t="shared" si="52"/>
        <v>0.50312500000000004</v>
      </c>
      <c r="M397" s="93">
        <f t="shared" si="53"/>
        <v>0.25</v>
      </c>
      <c r="N397" s="96" t="s">
        <v>313</v>
      </c>
      <c r="O397" s="99">
        <f t="shared" si="49"/>
        <v>2.0125000000000002</v>
      </c>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87"/>
      <c r="AU397" s="87"/>
      <c r="AV397" s="87"/>
      <c r="AW397" s="100"/>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87"/>
      <c r="EJ397" s="87"/>
      <c r="EK397" s="87"/>
      <c r="EL397" s="100"/>
      <c r="EM397" s="100"/>
      <c r="EN397" s="100"/>
      <c r="EO397" s="100"/>
      <c r="EP397" s="100"/>
      <c r="EQ397" s="100"/>
    </row>
    <row r="398" spans="1:147" outlineLevel="1">
      <c r="A398" s="31" t="str">
        <f t="shared" si="50"/>
        <v>modesg_out_empr_info_nfinccm_capex_enblng_algnd</v>
      </c>
      <c r="B398" s="76" t="s">
        <v>28</v>
      </c>
      <c r="C398" s="77" t="s">
        <v>301</v>
      </c>
      <c r="D398" s="73" t="s">
        <v>40</v>
      </c>
      <c r="E398" s="75" t="s">
        <v>312</v>
      </c>
      <c r="F398" s="73" t="s">
        <v>248</v>
      </c>
      <c r="G398" s="73" t="str">
        <f>INDEX(Auxiliar!$B$16:$B$23,MATCH(Plano_V3!H398,Auxiliar!$C$16:$C$23,0),1)</f>
        <v>6. Em implementação (re-especificação)</v>
      </c>
      <c r="H398" s="73">
        <f>VLOOKUP(A398,'Aux - pivots1'!$A:$B,2,0)</f>
        <v>6</v>
      </c>
      <c r="I398" s="93">
        <f>SUMIFS(Table1[Estimação (horas)],Table1[Tabela],Plano_V3!E398,Table1[Campo],Plano_V3!F398)</f>
        <v>16.100000000000001</v>
      </c>
      <c r="J398" s="93">
        <f t="shared" si="51"/>
        <v>2.0125000000000002</v>
      </c>
      <c r="K398" s="93">
        <f>SUMIFS(Table1[Horas efetivas],Table1[Tabela],Plano_V3!E398,Table1[Campo],Plano_V3!F398)</f>
        <v>4.0250000000000004</v>
      </c>
      <c r="L398" s="93">
        <f t="shared" si="52"/>
        <v>0.50312500000000004</v>
      </c>
      <c r="M398" s="93">
        <f t="shared" si="53"/>
        <v>0.25</v>
      </c>
      <c r="N398" s="96" t="s">
        <v>313</v>
      </c>
      <c r="O398" s="99">
        <f t="shared" si="49"/>
        <v>2.0125000000000002</v>
      </c>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87"/>
      <c r="AU398" s="87"/>
      <c r="AV398" s="87"/>
      <c r="AW398" s="100"/>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87"/>
      <c r="EJ398" s="87"/>
      <c r="EK398" s="87"/>
      <c r="EL398" s="100"/>
      <c r="EM398" s="100"/>
      <c r="EN398" s="100"/>
      <c r="EO398" s="100"/>
      <c r="EP398" s="100"/>
      <c r="EQ398" s="100"/>
    </row>
    <row r="399" spans="1:147" outlineLevel="1">
      <c r="A399" s="31" t="str">
        <f t="shared" si="50"/>
        <v>modesg_out_empr_info_nfinccm_capex_own_prfrmnce_algnd</v>
      </c>
      <c r="B399" s="76" t="s">
        <v>28</v>
      </c>
      <c r="C399" s="77" t="s">
        <v>301</v>
      </c>
      <c r="D399" s="73" t="s">
        <v>40</v>
      </c>
      <c r="E399" s="75" t="s">
        <v>312</v>
      </c>
      <c r="F399" s="73" t="s">
        <v>250</v>
      </c>
      <c r="G399" s="73" t="str">
        <f>INDEX(Auxiliar!$B$16:$B$23,MATCH(Plano_V3!H399,Auxiliar!$C$16:$C$23,0),1)</f>
        <v>6. Em implementação (re-especificação)</v>
      </c>
      <c r="H399" s="73">
        <f>VLOOKUP(A399,'Aux - pivots1'!$A:$B,2,0)</f>
        <v>6</v>
      </c>
      <c r="I399" s="93">
        <f>SUMIFS(Table1[Estimação (horas)],Table1[Tabela],Plano_V3!E399,Table1[Campo],Plano_V3!F399)</f>
        <v>16.100000000000001</v>
      </c>
      <c r="J399" s="93">
        <f t="shared" si="51"/>
        <v>2.0125000000000002</v>
      </c>
      <c r="K399" s="93">
        <f>SUMIFS(Table1[Horas efetivas],Table1[Tabela],Plano_V3!E399,Table1[Campo],Plano_V3!F399)</f>
        <v>4.0250000000000004</v>
      </c>
      <c r="L399" s="93">
        <f t="shared" si="52"/>
        <v>0.50312500000000004</v>
      </c>
      <c r="M399" s="93">
        <f t="shared" si="53"/>
        <v>0.25</v>
      </c>
      <c r="N399" s="96" t="s">
        <v>313</v>
      </c>
      <c r="O399" s="99">
        <f t="shared" si="49"/>
        <v>2.0125000000000002</v>
      </c>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87"/>
      <c r="AU399" s="87"/>
      <c r="AV399" s="87"/>
      <c r="AW399" s="100"/>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87"/>
      <c r="EJ399" s="87"/>
      <c r="EK399" s="87"/>
      <c r="EL399" s="100"/>
      <c r="EM399" s="100"/>
      <c r="EN399" s="100"/>
      <c r="EO399" s="100"/>
      <c r="EP399" s="100"/>
      <c r="EQ399" s="100"/>
    </row>
    <row r="400" spans="1:147" outlineLevel="1">
      <c r="A400" s="31" t="str">
        <f t="shared" si="50"/>
        <v>modesg_out_empr_info_nfinccm_capex_trnstn_algnd</v>
      </c>
      <c r="B400" s="76" t="s">
        <v>28</v>
      </c>
      <c r="C400" s="77" t="s">
        <v>301</v>
      </c>
      <c r="D400" s="73" t="s">
        <v>40</v>
      </c>
      <c r="E400" s="75" t="s">
        <v>312</v>
      </c>
      <c r="F400" s="73" t="s">
        <v>249</v>
      </c>
      <c r="G400" s="73" t="str">
        <f>INDEX(Auxiliar!$B$16:$B$23,MATCH(Plano_V3!H400,Auxiliar!$C$16:$C$23,0),1)</f>
        <v>6. Em implementação (re-especificação)</v>
      </c>
      <c r="H400" s="73">
        <f>VLOOKUP(A400,'Aux - pivots1'!$A:$B,2,0)</f>
        <v>6</v>
      </c>
      <c r="I400" s="93">
        <f>SUMIFS(Table1[Estimação (horas)],Table1[Tabela],Plano_V3!E400,Table1[Campo],Plano_V3!F400)</f>
        <v>16.100000000000001</v>
      </c>
      <c r="J400" s="93">
        <f t="shared" si="51"/>
        <v>2.0125000000000002</v>
      </c>
      <c r="K400" s="93">
        <f>SUMIFS(Table1[Horas efetivas],Table1[Tabela],Plano_V3!E400,Table1[Campo],Plano_V3!F400)</f>
        <v>4.0250000000000004</v>
      </c>
      <c r="L400" s="93">
        <f t="shared" si="52"/>
        <v>0.50312500000000004</v>
      </c>
      <c r="M400" s="93">
        <f t="shared" si="53"/>
        <v>0.25</v>
      </c>
      <c r="N400" s="96" t="s">
        <v>313</v>
      </c>
      <c r="O400" s="99">
        <f t="shared" si="49"/>
        <v>2.0125000000000002</v>
      </c>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87"/>
      <c r="AU400" s="87"/>
      <c r="AV400" s="87"/>
      <c r="AW400" s="100"/>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87"/>
      <c r="EJ400" s="87"/>
      <c r="EK400" s="87"/>
      <c r="EL400" s="100"/>
      <c r="EM400" s="100"/>
      <c r="EN400" s="100"/>
      <c r="EO400" s="100"/>
      <c r="EP400" s="100"/>
      <c r="EQ400" s="100"/>
    </row>
    <row r="401" spans="1:147" outlineLevel="1">
      <c r="A401" s="31" t="str">
        <f t="shared" si="50"/>
        <v>modesg_out_empr_info_nfinccm_capex_ttl_elgbl</v>
      </c>
      <c r="B401" s="76" t="s">
        <v>28</v>
      </c>
      <c r="C401" s="77" t="s">
        <v>301</v>
      </c>
      <c r="D401" s="73" t="s">
        <v>40</v>
      </c>
      <c r="E401" s="75" t="s">
        <v>312</v>
      </c>
      <c r="F401" s="73" t="s">
        <v>247</v>
      </c>
      <c r="G401" s="73" t="str">
        <f>INDEX(Auxiliar!$B$16:$B$23,MATCH(Plano_V3!H401,Auxiliar!$C$16:$C$23,0),1)</f>
        <v>6. Em implementação (re-especificação)</v>
      </c>
      <c r="H401" s="73">
        <f>VLOOKUP(A401,'Aux - pivots1'!$A:$B,2,0)</f>
        <v>6</v>
      </c>
      <c r="I401" s="93">
        <f>SUMIFS(Table1[Estimação (horas)],Table1[Tabela],Plano_V3!E401,Table1[Campo],Plano_V3!F401)</f>
        <v>16.100000000000001</v>
      </c>
      <c r="J401" s="93">
        <f t="shared" si="51"/>
        <v>2.0125000000000002</v>
      </c>
      <c r="K401" s="93">
        <f>SUMIFS(Table1[Horas efetivas],Table1[Tabela],Plano_V3!E401,Table1[Campo],Plano_V3!F401)</f>
        <v>4.0250000000000004</v>
      </c>
      <c r="L401" s="93">
        <f t="shared" si="52"/>
        <v>0.50312500000000004</v>
      </c>
      <c r="M401" s="93">
        <f t="shared" si="53"/>
        <v>0.25</v>
      </c>
      <c r="N401" s="96" t="s">
        <v>313</v>
      </c>
      <c r="O401" s="99">
        <f t="shared" si="49"/>
        <v>2.0125000000000002</v>
      </c>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87"/>
      <c r="AU401" s="87"/>
      <c r="AV401" s="87"/>
      <c r="AW401" s="100"/>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87"/>
      <c r="EJ401" s="87"/>
      <c r="EK401" s="87"/>
      <c r="EL401" s="100"/>
      <c r="EM401" s="100"/>
      <c r="EN401" s="100"/>
      <c r="EO401" s="100"/>
      <c r="EP401" s="100"/>
      <c r="EQ401" s="100"/>
    </row>
    <row r="402" spans="1:147" outlineLevel="1">
      <c r="A402" s="31" t="str">
        <f t="shared" si="50"/>
        <v>modesg_out_empr_info_nfinccm_trnvr_enblng_algnd</v>
      </c>
      <c r="B402" s="76" t="s">
        <v>28</v>
      </c>
      <c r="C402" s="77" t="s">
        <v>301</v>
      </c>
      <c r="D402" s="73" t="s">
        <v>40</v>
      </c>
      <c r="E402" s="75" t="s">
        <v>312</v>
      </c>
      <c r="F402" s="73" t="s">
        <v>244</v>
      </c>
      <c r="G402" s="73" t="str">
        <f>INDEX(Auxiliar!$B$16:$B$23,MATCH(Plano_V3!H402,Auxiliar!$C$16:$C$23,0),1)</f>
        <v>6. Em implementação (re-especificação)</v>
      </c>
      <c r="H402" s="73">
        <f>VLOOKUP(A402,'Aux - pivots1'!$A:$B,2,0)</f>
        <v>6</v>
      </c>
      <c r="I402" s="93">
        <f>SUMIFS(Table1[Estimação (horas)],Table1[Tabela],Plano_V3!E402,Table1[Campo],Plano_V3!F402)</f>
        <v>16.100000000000001</v>
      </c>
      <c r="J402" s="93">
        <f t="shared" si="51"/>
        <v>2.0125000000000002</v>
      </c>
      <c r="K402" s="93">
        <f>SUMIFS(Table1[Horas efetivas],Table1[Tabela],Plano_V3!E402,Table1[Campo],Plano_V3!F402)</f>
        <v>4.0250000000000004</v>
      </c>
      <c r="L402" s="93">
        <f t="shared" si="52"/>
        <v>0.50312500000000004</v>
      </c>
      <c r="M402" s="93">
        <f t="shared" si="53"/>
        <v>0.25</v>
      </c>
      <c r="N402" s="96" t="s">
        <v>313</v>
      </c>
      <c r="O402" s="99">
        <f t="shared" si="49"/>
        <v>2.0125000000000002</v>
      </c>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87"/>
      <c r="AU402" s="87"/>
      <c r="AV402" s="87"/>
      <c r="AW402" s="100"/>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87"/>
      <c r="EJ402" s="87"/>
      <c r="EK402" s="87"/>
      <c r="EL402" s="100"/>
      <c r="EM402" s="100"/>
      <c r="EN402" s="100"/>
      <c r="EO402" s="100"/>
      <c r="EP402" s="100"/>
      <c r="EQ402" s="100"/>
    </row>
    <row r="403" spans="1:147" outlineLevel="1">
      <c r="A403" s="31" t="str">
        <f t="shared" si="50"/>
        <v>modesg_out_empr_info_nfinccm_trnvr_own_prfrmnce_algnd</v>
      </c>
      <c r="B403" s="76" t="s">
        <v>28</v>
      </c>
      <c r="C403" s="77" t="s">
        <v>301</v>
      </c>
      <c r="D403" s="73" t="s">
        <v>40</v>
      </c>
      <c r="E403" s="75" t="s">
        <v>312</v>
      </c>
      <c r="F403" s="73" t="s">
        <v>246</v>
      </c>
      <c r="G403" s="73" t="str">
        <f>INDEX(Auxiliar!$B$16:$B$23,MATCH(Plano_V3!H403,Auxiliar!$C$16:$C$23,0),1)</f>
        <v>6. Em implementação (re-especificação)</v>
      </c>
      <c r="H403" s="73">
        <f>VLOOKUP(A403,'Aux - pivots1'!$A:$B,2,0)</f>
        <v>6</v>
      </c>
      <c r="I403" s="93">
        <f>SUMIFS(Table1[Estimação (horas)],Table1[Tabela],Plano_V3!E403,Table1[Campo],Plano_V3!F403)</f>
        <v>16.100000000000001</v>
      </c>
      <c r="J403" s="93">
        <f t="shared" si="51"/>
        <v>2.0125000000000002</v>
      </c>
      <c r="K403" s="93">
        <f>SUMIFS(Table1[Horas efetivas],Table1[Tabela],Plano_V3!E403,Table1[Campo],Plano_V3!F403)</f>
        <v>4.0250000000000004</v>
      </c>
      <c r="L403" s="93">
        <f t="shared" si="52"/>
        <v>0.50312500000000004</v>
      </c>
      <c r="M403" s="93">
        <f t="shared" si="53"/>
        <v>0.25</v>
      </c>
      <c r="N403" s="96" t="s">
        <v>313</v>
      </c>
      <c r="O403" s="99">
        <f t="shared" si="49"/>
        <v>2.0125000000000002</v>
      </c>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87"/>
      <c r="AU403" s="87"/>
      <c r="AV403" s="87"/>
      <c r="AW403" s="100"/>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87"/>
      <c r="EJ403" s="87"/>
      <c r="EK403" s="87"/>
      <c r="EL403" s="100"/>
      <c r="EM403" s="100"/>
      <c r="EN403" s="100"/>
      <c r="EO403" s="100"/>
      <c r="EP403" s="100"/>
      <c r="EQ403" s="100"/>
    </row>
    <row r="404" spans="1:147" outlineLevel="1">
      <c r="A404" s="31" t="str">
        <f t="shared" si="50"/>
        <v>modesg_out_empr_info_nfinccm_trnvr_trnstn_alignd</v>
      </c>
      <c r="B404" s="76" t="s">
        <v>28</v>
      </c>
      <c r="C404" s="77" t="s">
        <v>301</v>
      </c>
      <c r="D404" s="73" t="s">
        <v>40</v>
      </c>
      <c r="E404" s="75" t="s">
        <v>312</v>
      </c>
      <c r="F404" s="73" t="s">
        <v>245</v>
      </c>
      <c r="G404" s="73" t="str">
        <f>INDEX(Auxiliar!$B$16:$B$23,MATCH(Plano_V3!H404,Auxiliar!$C$16:$C$23,0),1)</f>
        <v>6. Em implementação (re-especificação)</v>
      </c>
      <c r="H404" s="73">
        <f>VLOOKUP(A404,'Aux - pivots1'!$A:$B,2,0)</f>
        <v>6</v>
      </c>
      <c r="I404" s="93">
        <f>SUMIFS(Table1[Estimação (horas)],Table1[Tabela],Plano_V3!E404,Table1[Campo],Plano_V3!F404)</f>
        <v>16.100000000000001</v>
      </c>
      <c r="J404" s="93">
        <f t="shared" si="51"/>
        <v>2.0125000000000002</v>
      </c>
      <c r="K404" s="93">
        <f>SUMIFS(Table1[Horas efetivas],Table1[Tabela],Plano_V3!E404,Table1[Campo],Plano_V3!F404)</f>
        <v>4.0250000000000004</v>
      </c>
      <c r="L404" s="93">
        <f t="shared" si="52"/>
        <v>0.50312500000000004</v>
      </c>
      <c r="M404" s="93">
        <f t="shared" si="53"/>
        <v>0.25</v>
      </c>
      <c r="N404" s="96" t="s">
        <v>313</v>
      </c>
      <c r="O404" s="99">
        <f t="shared" si="49"/>
        <v>2.0125000000000002</v>
      </c>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87"/>
      <c r="AU404" s="87"/>
      <c r="AV404" s="87"/>
      <c r="AW404" s="100"/>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87"/>
      <c r="EJ404" s="87"/>
      <c r="EK404" s="87"/>
      <c r="EL404" s="100"/>
      <c r="EM404" s="100"/>
      <c r="EN404" s="100"/>
      <c r="EO404" s="100"/>
      <c r="EP404" s="100"/>
      <c r="EQ404" s="100"/>
    </row>
    <row r="405" spans="1:147" outlineLevel="1">
      <c r="A405" s="31" t="str">
        <f t="shared" si="50"/>
        <v>modesg_out_empr_info_nfinccm_trnvr_ttl_elgbl</v>
      </c>
      <c r="B405" s="76" t="s">
        <v>28</v>
      </c>
      <c r="C405" s="77" t="s">
        <v>301</v>
      </c>
      <c r="D405" s="73" t="s">
        <v>40</v>
      </c>
      <c r="E405" s="75" t="s">
        <v>312</v>
      </c>
      <c r="F405" s="73" t="s">
        <v>243</v>
      </c>
      <c r="G405" s="73" t="str">
        <f>INDEX(Auxiliar!$B$16:$B$23,MATCH(Plano_V3!H405,Auxiliar!$C$16:$C$23,0),1)</f>
        <v>6. Em implementação (re-especificação)</v>
      </c>
      <c r="H405" s="73">
        <f>VLOOKUP(A405,'Aux - pivots1'!$A:$B,2,0)</f>
        <v>6</v>
      </c>
      <c r="I405" s="93">
        <f>SUMIFS(Table1[Estimação (horas)],Table1[Tabela],Plano_V3!E405,Table1[Campo],Plano_V3!F405)</f>
        <v>16.100000000000001</v>
      </c>
      <c r="J405" s="93">
        <f t="shared" si="51"/>
        <v>2.0125000000000002</v>
      </c>
      <c r="K405" s="93">
        <f>SUMIFS(Table1[Horas efetivas],Table1[Tabela],Plano_V3!E405,Table1[Campo],Plano_V3!F405)</f>
        <v>4.0250000000000004</v>
      </c>
      <c r="L405" s="93">
        <f t="shared" si="52"/>
        <v>0.50312500000000004</v>
      </c>
      <c r="M405" s="93">
        <f t="shared" si="53"/>
        <v>0.25</v>
      </c>
      <c r="N405" s="96" t="s">
        <v>313</v>
      </c>
      <c r="O405" s="99">
        <f t="shared" si="49"/>
        <v>2.0125000000000002</v>
      </c>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87"/>
      <c r="AU405" s="87"/>
      <c r="AV405" s="87"/>
      <c r="AW405" s="100"/>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87"/>
      <c r="EJ405" s="87"/>
      <c r="EK405" s="87"/>
      <c r="EL405" s="100"/>
      <c r="EM405" s="100"/>
      <c r="EN405" s="100"/>
      <c r="EO405" s="100"/>
      <c r="EP405" s="100"/>
      <c r="EQ405" s="100"/>
    </row>
    <row r="406" spans="1:147" outlineLevel="1">
      <c r="A406" s="31" t="str">
        <f t="shared" si="50"/>
        <v>modesg_out_empr_info_nfincod_nace_esg</v>
      </c>
      <c r="B406" s="76" t="s">
        <v>28</v>
      </c>
      <c r="C406" s="77" t="s">
        <v>301</v>
      </c>
      <c r="D406" s="73" t="s">
        <v>40</v>
      </c>
      <c r="E406" s="75" t="s">
        <v>312</v>
      </c>
      <c r="F406" s="73" t="s">
        <v>272</v>
      </c>
      <c r="G406" s="73" t="str">
        <f>INDEX(Auxiliar!$B$16:$B$23,MATCH(Plano_V3!H406,Auxiliar!$C$16:$C$23,0),1)</f>
        <v>6. Em implementação (re-especificação)</v>
      </c>
      <c r="H406" s="73">
        <f>VLOOKUP(A406,'Aux - pivots1'!$A:$B,2,0)</f>
        <v>6</v>
      </c>
      <c r="I406" s="93">
        <f>SUMIFS(Table1[Estimação (horas)],Table1[Tabela],Plano_V3!E406,Table1[Campo],Plano_V3!F406)</f>
        <v>16.100000000000001</v>
      </c>
      <c r="J406" s="93">
        <f t="shared" si="51"/>
        <v>2.0125000000000002</v>
      </c>
      <c r="K406" s="93">
        <f>SUMIFS(Table1[Horas efetivas],Table1[Tabela],Plano_V3!E406,Table1[Campo],Plano_V3!F406)</f>
        <v>4.0250000000000004</v>
      </c>
      <c r="L406" s="93">
        <f t="shared" si="52"/>
        <v>0.50312500000000004</v>
      </c>
      <c r="M406" s="93">
        <f t="shared" si="53"/>
        <v>0.25</v>
      </c>
      <c r="N406" s="96" t="s">
        <v>313</v>
      </c>
      <c r="O406" s="99">
        <f t="shared" si="49"/>
        <v>2.0125000000000002</v>
      </c>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87"/>
      <c r="AU406" s="87"/>
      <c r="AV406" s="87"/>
      <c r="AW406" s="100"/>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87"/>
      <c r="EJ406" s="87"/>
      <c r="EK406" s="87"/>
      <c r="EL406" s="100"/>
      <c r="EM406" s="100"/>
      <c r="EN406" s="100"/>
      <c r="EO406" s="100"/>
      <c r="EP406" s="100"/>
      <c r="EQ406" s="100"/>
    </row>
    <row r="407" spans="1:147" outlineLevel="1">
      <c r="A407" s="31" t="str">
        <f t="shared" si="50"/>
        <v>modesg_out_empr_info_nfinflg_emprs_excl_paris</v>
      </c>
      <c r="B407" s="76" t="s">
        <v>28</v>
      </c>
      <c r="C407" s="77" t="s">
        <v>301</v>
      </c>
      <c r="D407" s="73" t="s">
        <v>40</v>
      </c>
      <c r="E407" s="75" t="s">
        <v>312</v>
      </c>
      <c r="F407" s="73" t="s">
        <v>314</v>
      </c>
      <c r="G407" s="73" t="str">
        <f>INDEX(Auxiliar!$B$16:$B$23,MATCH(Plano_V3!H407,Auxiliar!$C$16:$C$23,0),1)</f>
        <v>6. Em implementação (re-especificação)</v>
      </c>
      <c r="H407" s="73">
        <f>VLOOKUP(A407,'Aux - pivots1'!$A:$B,2,0)</f>
        <v>6</v>
      </c>
      <c r="I407" s="93">
        <f>SUMIFS(Table1[Estimação (horas)],Table1[Tabela],Plano_V3!E407,Table1[Campo],Plano_V3!F407)</f>
        <v>8.1</v>
      </c>
      <c r="J407" s="93">
        <f t="shared" si="51"/>
        <v>1.0125</v>
      </c>
      <c r="K407" s="93">
        <f>SUMIFS(Table1[Horas efetivas],Table1[Tabela],Plano_V3!E407,Table1[Campo],Plano_V3!F407)</f>
        <v>2.0249999999999999</v>
      </c>
      <c r="L407" s="93">
        <f t="shared" si="52"/>
        <v>0.25312499999999999</v>
      </c>
      <c r="M407" s="93">
        <f t="shared" si="53"/>
        <v>0.25</v>
      </c>
      <c r="N407" s="96" t="s">
        <v>313</v>
      </c>
      <c r="O407" s="99">
        <f t="shared" si="49"/>
        <v>1.0125</v>
      </c>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87"/>
      <c r="AU407" s="87"/>
      <c r="AV407" s="87"/>
      <c r="AW407" s="100"/>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87"/>
      <c r="EJ407" s="87"/>
      <c r="EK407" s="87"/>
      <c r="EL407" s="100"/>
      <c r="EM407" s="100"/>
      <c r="EN407" s="100"/>
      <c r="EO407" s="100"/>
      <c r="EP407" s="100"/>
      <c r="EQ407" s="100"/>
    </row>
    <row r="408" spans="1:147" outlineLevel="1">
      <c r="A408" s="31" t="str">
        <f t="shared" si="50"/>
        <v>modesg_out_empr_info_nfinflg_nfrd</v>
      </c>
      <c r="B408" s="76" t="s">
        <v>28</v>
      </c>
      <c r="C408" s="77" t="s">
        <v>301</v>
      </c>
      <c r="D408" s="73" t="s">
        <v>40</v>
      </c>
      <c r="E408" s="75" t="s">
        <v>312</v>
      </c>
      <c r="F408" s="73" t="s">
        <v>236</v>
      </c>
      <c r="G408" s="73" t="str">
        <f>INDEX(Auxiliar!$B$16:$B$23,MATCH(Plano_V3!H408,Auxiliar!$C$16:$C$23,0),1)</f>
        <v>6. Em implementação (re-especificação)</v>
      </c>
      <c r="H408" s="73">
        <f>VLOOKUP(A408,'Aux - pivots1'!$A:$B,2,0)</f>
        <v>6</v>
      </c>
      <c r="I408" s="93">
        <f>SUMIFS(Table1[Estimação (horas)],Table1[Tabela],Plano_V3!E408,Table1[Campo],Plano_V3!F408)</f>
        <v>8.1</v>
      </c>
      <c r="J408" s="93">
        <f t="shared" si="51"/>
        <v>1.0125</v>
      </c>
      <c r="K408" s="93">
        <f>SUMIFS(Table1[Horas efetivas],Table1[Tabela],Plano_V3!E408,Table1[Campo],Plano_V3!F408)</f>
        <v>2.0249999999999999</v>
      </c>
      <c r="L408" s="93">
        <f t="shared" si="52"/>
        <v>0.25312499999999999</v>
      </c>
      <c r="M408" s="93">
        <f t="shared" si="53"/>
        <v>0.25</v>
      </c>
      <c r="N408" s="96" t="s">
        <v>313</v>
      </c>
      <c r="O408" s="99">
        <f t="shared" si="49"/>
        <v>1.0125</v>
      </c>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87"/>
      <c r="AU408" s="87"/>
      <c r="AV408" s="87"/>
      <c r="AW408" s="100"/>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87"/>
      <c r="EJ408" s="87"/>
      <c r="EK408" s="87"/>
      <c r="EL408" s="100"/>
      <c r="EM408" s="100"/>
      <c r="EN408" s="100"/>
      <c r="EO408" s="100"/>
      <c r="EP408" s="100"/>
      <c r="EQ408" s="100"/>
    </row>
    <row r="409" spans="1:147" outlineLevel="1">
      <c r="A409" s="31" t="str">
        <f t="shared" si="50"/>
        <v>modesg_out_empr_info_nfinflg_rsc_fsc_agd</v>
      </c>
      <c r="B409" s="76" t="s">
        <v>28</v>
      </c>
      <c r="C409" s="77" t="s">
        <v>301</v>
      </c>
      <c r="D409" s="73" t="s">
        <v>40</v>
      </c>
      <c r="E409" s="75" t="s">
        <v>312</v>
      </c>
      <c r="F409" s="73" t="s">
        <v>273</v>
      </c>
      <c r="G409" s="73" t="str">
        <f>INDEX(Auxiliar!$B$16:$B$23,MATCH(Plano_V3!H409,Auxiliar!$C$16:$C$23,0),1)</f>
        <v>4. Validação EF</v>
      </c>
      <c r="H409" s="73">
        <f>VLOOKUP(A409,'Aux - pivots1'!$A:$B,2,0)</f>
        <v>4</v>
      </c>
      <c r="I409" s="93">
        <f>SUMIFS(Table1[Estimação (horas)],Table1[Tabela],Plano_V3!E409,Table1[Campo],Plano_V3!F409)</f>
        <v>16.100000000000001</v>
      </c>
      <c r="J409" s="93">
        <f t="shared" si="51"/>
        <v>2.0125000000000002</v>
      </c>
      <c r="K409" s="93">
        <f>SUMIFS(Table1[Horas efetivas],Table1[Tabela],Plano_V3!E409,Table1[Campo],Plano_V3!F409)</f>
        <v>4.0250000000000004</v>
      </c>
      <c r="L409" s="93">
        <f t="shared" si="52"/>
        <v>0.50312500000000004</v>
      </c>
      <c r="M409" s="93">
        <f t="shared" si="53"/>
        <v>0.25</v>
      </c>
      <c r="N409" s="96" t="s">
        <v>313</v>
      </c>
      <c r="O409" s="99">
        <f t="shared" si="49"/>
        <v>2.0125000000000002</v>
      </c>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87"/>
      <c r="AU409" s="87"/>
      <c r="AV409" s="87"/>
      <c r="AW409" s="100"/>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87"/>
      <c r="EJ409" s="87"/>
      <c r="EK409" s="87"/>
      <c r="EL409" s="100"/>
      <c r="EM409" s="100"/>
      <c r="EN409" s="100"/>
      <c r="EO409" s="100"/>
      <c r="EP409" s="100"/>
      <c r="EQ409" s="100"/>
    </row>
    <row r="410" spans="1:147" outlineLevel="1">
      <c r="A410" s="31" t="str">
        <f t="shared" si="50"/>
        <v>modesg_out_empr_info_nfinflg_rsc_fsc_crnc</v>
      </c>
      <c r="B410" s="76" t="s">
        <v>28</v>
      </c>
      <c r="C410" s="77" t="s">
        <v>301</v>
      </c>
      <c r="D410" s="73" t="s">
        <v>40</v>
      </c>
      <c r="E410" s="75" t="s">
        <v>312</v>
      </c>
      <c r="F410" s="73" t="s">
        <v>274</v>
      </c>
      <c r="G410" s="73" t="str">
        <f>INDEX(Auxiliar!$B$16:$B$23,MATCH(Plano_V3!H410,Auxiliar!$C$16:$C$23,0),1)</f>
        <v>4. Validação EF</v>
      </c>
      <c r="H410" s="73">
        <f>VLOOKUP(A410,'Aux - pivots1'!$A:$B,2,0)</f>
        <v>4</v>
      </c>
      <c r="I410" s="93">
        <f>SUMIFS(Table1[Estimação (horas)],Table1[Tabela],Plano_V3!E410,Table1[Campo],Plano_V3!F410)</f>
        <v>16.100000000000001</v>
      </c>
      <c r="J410" s="93">
        <f t="shared" si="51"/>
        <v>2.0125000000000002</v>
      </c>
      <c r="K410" s="93">
        <f>SUMIFS(Table1[Horas efetivas],Table1[Tabela],Plano_V3!E410,Table1[Campo],Plano_V3!F410)</f>
        <v>4.0250000000000004</v>
      </c>
      <c r="L410" s="93">
        <f t="shared" si="52"/>
        <v>0.50312500000000004</v>
      </c>
      <c r="M410" s="93">
        <f t="shared" si="53"/>
        <v>0.25</v>
      </c>
      <c r="N410" s="96" t="s">
        <v>313</v>
      </c>
      <c r="O410" s="99">
        <f t="shared" si="49"/>
        <v>2.0125000000000002</v>
      </c>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87"/>
      <c r="AU410" s="87"/>
      <c r="AV410" s="87"/>
      <c r="AW410" s="100"/>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87"/>
      <c r="EJ410" s="87"/>
      <c r="EK410" s="87"/>
      <c r="EL410" s="100"/>
      <c r="EM410" s="100"/>
      <c r="EN410" s="100"/>
      <c r="EO410" s="100"/>
      <c r="EP410" s="100"/>
      <c r="EQ410" s="100"/>
    </row>
    <row r="411" spans="1:147" outlineLevel="1">
      <c r="A411" s="31" t="str">
        <f t="shared" si="50"/>
        <v>modesg_out_empr_info_nfinorigem_alinhamentos</v>
      </c>
      <c r="B411" s="76" t="s">
        <v>28</v>
      </c>
      <c r="C411" s="77" t="s">
        <v>301</v>
      </c>
      <c r="D411" s="73" t="s">
        <v>40</v>
      </c>
      <c r="E411" s="75" t="s">
        <v>312</v>
      </c>
      <c r="F411" s="73" t="s">
        <v>315</v>
      </c>
      <c r="G411" s="73" t="str">
        <f>INDEX(Auxiliar!$B$16:$B$23,MATCH(Plano_V3!H411,Auxiliar!$C$16:$C$23,0),1)</f>
        <v>6. Em implementação (re-especificação)</v>
      </c>
      <c r="H411" s="73">
        <f>VLOOKUP(A411,'Aux - pivots1'!$A:$B,2,0)</f>
        <v>6</v>
      </c>
      <c r="I411" s="93">
        <f>SUMIFS(Table1[Estimação (horas)],Table1[Tabela],Plano_V3!E411,Table1[Campo],Plano_V3!F411)</f>
        <v>4.0999999999999996</v>
      </c>
      <c r="J411" s="93">
        <f t="shared" si="51"/>
        <v>0.51249999999999996</v>
      </c>
      <c r="K411" s="93">
        <f>SUMIFS(Table1[Horas efetivas],Table1[Tabela],Plano_V3!E411,Table1[Campo],Plano_V3!F411)</f>
        <v>1.0249999999999999</v>
      </c>
      <c r="L411" s="93">
        <f t="shared" si="52"/>
        <v>0.12812499999999999</v>
      </c>
      <c r="M411" s="93">
        <f t="shared" si="53"/>
        <v>0.25</v>
      </c>
      <c r="N411" s="96" t="s">
        <v>313</v>
      </c>
      <c r="O411" s="99">
        <f t="shared" si="49"/>
        <v>0.51249999999999996</v>
      </c>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87"/>
      <c r="AU411" s="87"/>
      <c r="AV411" s="87"/>
      <c r="AW411" s="100"/>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87"/>
      <c r="EJ411" s="87"/>
      <c r="EK411" s="87"/>
      <c r="EL411" s="100"/>
      <c r="EM411" s="100"/>
      <c r="EN411" s="100"/>
      <c r="EO411" s="100"/>
      <c r="EP411" s="100"/>
      <c r="EQ411" s="100"/>
    </row>
    <row r="412" spans="1:147" outlineLevel="1">
      <c r="A412" s="31" t="str">
        <f t="shared" si="50"/>
        <v>modesg_out_empr_info_nfinorigem_flg_emprs_excl_paris</v>
      </c>
      <c r="B412" s="76" t="s">
        <v>28</v>
      </c>
      <c r="C412" s="77" t="s">
        <v>301</v>
      </c>
      <c r="D412" s="73" t="s">
        <v>40</v>
      </c>
      <c r="E412" s="75" t="s">
        <v>312</v>
      </c>
      <c r="F412" s="73" t="s">
        <v>316</v>
      </c>
      <c r="G412" s="73" t="str">
        <f>INDEX(Auxiliar!$B$16:$B$23,MATCH(Plano_V3!H412,Auxiliar!$C$16:$C$23,0),1)</f>
        <v>6. Em implementação (re-especificação)</v>
      </c>
      <c r="H412" s="73">
        <f>VLOOKUP(A412,'Aux - pivots1'!$A:$B,2,0)</f>
        <v>6</v>
      </c>
      <c r="I412" s="93">
        <f>SUMIFS(Table1[Estimação (horas)],Table1[Tabela],Plano_V3!E412,Table1[Campo],Plano_V3!F412)</f>
        <v>4.0999999999999996</v>
      </c>
      <c r="J412" s="93">
        <f t="shared" si="51"/>
        <v>0.51249999999999996</v>
      </c>
      <c r="K412" s="93">
        <f>SUMIFS(Table1[Horas efetivas],Table1[Tabela],Plano_V3!E412,Table1[Campo],Plano_V3!F412)</f>
        <v>1.0249999999999999</v>
      </c>
      <c r="L412" s="93">
        <f t="shared" si="52"/>
        <v>0.12812499999999999</v>
      </c>
      <c r="M412" s="93">
        <f t="shared" si="53"/>
        <v>0.25</v>
      </c>
      <c r="N412" s="96" t="s">
        <v>313</v>
      </c>
      <c r="O412" s="99">
        <f t="shared" si="49"/>
        <v>0.51249999999999996</v>
      </c>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87"/>
      <c r="AU412" s="87"/>
      <c r="AV412" s="87"/>
      <c r="AW412" s="100"/>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87"/>
      <c r="EJ412" s="87"/>
      <c r="EK412" s="87"/>
      <c r="EL412" s="100"/>
      <c r="EM412" s="100"/>
      <c r="EN412" s="100"/>
      <c r="EO412" s="100"/>
      <c r="EP412" s="100"/>
      <c r="EQ412" s="100"/>
    </row>
    <row r="413" spans="1:147" outlineLevel="1">
      <c r="A413" s="31" t="str">
        <f t="shared" si="50"/>
        <v>modesg_out_empr_info_nfinorigem_flg_nfrd</v>
      </c>
      <c r="B413" s="76" t="s">
        <v>28</v>
      </c>
      <c r="C413" s="77" t="s">
        <v>301</v>
      </c>
      <c r="D413" s="73" t="s">
        <v>40</v>
      </c>
      <c r="E413" s="75" t="s">
        <v>312</v>
      </c>
      <c r="F413" s="73" t="s">
        <v>317</v>
      </c>
      <c r="G413" s="73" t="str">
        <f>INDEX(Auxiliar!$B$16:$B$23,MATCH(Plano_V3!H413,Auxiliar!$C$16:$C$23,0),1)</f>
        <v>6. Em implementação (re-especificação)</v>
      </c>
      <c r="H413" s="73">
        <f>VLOOKUP(A413,'Aux - pivots1'!$A:$B,2,0)</f>
        <v>6</v>
      </c>
      <c r="I413" s="93">
        <f>SUMIFS(Table1[Estimação (horas)],Table1[Tabela],Plano_V3!E413,Table1[Campo],Plano_V3!F413)</f>
        <v>4.0999999999999996</v>
      </c>
      <c r="J413" s="93">
        <f t="shared" si="51"/>
        <v>0.51249999999999996</v>
      </c>
      <c r="K413" s="93">
        <f>SUMIFS(Table1[Horas efetivas],Table1[Tabela],Plano_V3!E413,Table1[Campo],Plano_V3!F413)</f>
        <v>1.0249999999999999</v>
      </c>
      <c r="L413" s="93">
        <f t="shared" si="52"/>
        <v>0.12812499999999999</v>
      </c>
      <c r="M413" s="93">
        <f t="shared" si="53"/>
        <v>0.25</v>
      </c>
      <c r="N413" s="96" t="s">
        <v>313</v>
      </c>
      <c r="O413" s="99">
        <f t="shared" si="49"/>
        <v>0.51249999999999996</v>
      </c>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87"/>
      <c r="AU413" s="87"/>
      <c r="AV413" s="87"/>
      <c r="AW413" s="100"/>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87"/>
      <c r="EJ413" s="87"/>
      <c r="EK413" s="87"/>
      <c r="EL413" s="100"/>
      <c r="EM413" s="100"/>
      <c r="EN413" s="100"/>
      <c r="EO413" s="100"/>
      <c r="EP413" s="100"/>
      <c r="EQ413" s="100"/>
    </row>
    <row r="414" spans="1:147" outlineLevel="1">
      <c r="A414" s="31" t="str">
        <f t="shared" si="50"/>
        <v>modesg_out_empr_info_nfinorigem_flg_rsc_fsc_agd</v>
      </c>
      <c r="B414" s="76" t="s">
        <v>28</v>
      </c>
      <c r="C414" s="77" t="s">
        <v>301</v>
      </c>
      <c r="D414" s="73" t="s">
        <v>40</v>
      </c>
      <c r="E414" s="75" t="s">
        <v>312</v>
      </c>
      <c r="F414" s="73" t="s">
        <v>304</v>
      </c>
      <c r="G414" s="73" t="str">
        <f>INDEX(Auxiliar!$B$16:$B$23,MATCH(Plano_V3!H414,Auxiliar!$C$16:$C$23,0),1)</f>
        <v>4. Validação EF</v>
      </c>
      <c r="H414" s="73">
        <f>VLOOKUP(A414,'Aux - pivots1'!$A:$B,2,0)</f>
        <v>4</v>
      </c>
      <c r="I414" s="93">
        <f>SUMIFS(Table1[Estimação (horas)],Table1[Tabela],Plano_V3!E414,Table1[Campo],Plano_V3!F414)</f>
        <v>4.0999999999999996</v>
      </c>
      <c r="J414" s="93">
        <f t="shared" si="51"/>
        <v>0.51249999999999996</v>
      </c>
      <c r="K414" s="93">
        <f>SUMIFS(Table1[Horas efetivas],Table1[Tabela],Plano_V3!E414,Table1[Campo],Plano_V3!F414)</f>
        <v>1.0249999999999999</v>
      </c>
      <c r="L414" s="93">
        <f t="shared" si="52"/>
        <v>0.12812499999999999</v>
      </c>
      <c r="M414" s="93">
        <f t="shared" si="53"/>
        <v>0.25</v>
      </c>
      <c r="N414" s="96" t="s">
        <v>313</v>
      </c>
      <c r="O414" s="99">
        <f t="shared" si="49"/>
        <v>0.51249999999999996</v>
      </c>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87"/>
      <c r="AU414" s="87"/>
      <c r="AV414" s="87"/>
      <c r="AW414" s="100"/>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87"/>
      <c r="EJ414" s="87"/>
      <c r="EK414" s="87"/>
      <c r="EL414" s="100"/>
      <c r="EM414" s="100"/>
      <c r="EN414" s="100"/>
      <c r="EO414" s="100"/>
      <c r="EP414" s="100"/>
      <c r="EQ414" s="100"/>
    </row>
    <row r="415" spans="1:147" outlineLevel="1">
      <c r="A415" s="31" t="str">
        <f t="shared" si="50"/>
        <v>modesg_out_empr_info_nfinorigem_flg_rsc_fsc_crnc</v>
      </c>
      <c r="B415" s="76" t="s">
        <v>28</v>
      </c>
      <c r="C415" s="77" t="s">
        <v>301</v>
      </c>
      <c r="D415" s="73" t="s">
        <v>40</v>
      </c>
      <c r="E415" s="75" t="s">
        <v>312</v>
      </c>
      <c r="F415" s="73" t="s">
        <v>305</v>
      </c>
      <c r="G415" s="73" t="str">
        <f>INDEX(Auxiliar!$B$16:$B$23,MATCH(Plano_V3!H415,Auxiliar!$C$16:$C$23,0),1)</f>
        <v>4. Validação EF</v>
      </c>
      <c r="H415" s="73">
        <f>VLOOKUP(A415,'Aux - pivots1'!$A:$B,2,0)</f>
        <v>4</v>
      </c>
      <c r="I415" s="93">
        <f>SUMIFS(Table1[Estimação (horas)],Table1[Tabela],Plano_V3!E415,Table1[Campo],Plano_V3!F415)</f>
        <v>4.0999999999999996</v>
      </c>
      <c r="J415" s="93">
        <f t="shared" si="51"/>
        <v>0.51249999999999996</v>
      </c>
      <c r="K415" s="93">
        <f>SUMIFS(Table1[Horas efetivas],Table1[Tabela],Plano_V3!E415,Table1[Campo],Plano_V3!F415)</f>
        <v>1.0249999999999999</v>
      </c>
      <c r="L415" s="93">
        <f t="shared" si="52"/>
        <v>0.12812499999999999</v>
      </c>
      <c r="M415" s="93">
        <f t="shared" si="53"/>
        <v>0.25</v>
      </c>
      <c r="N415" s="96" t="s">
        <v>313</v>
      </c>
      <c r="O415" s="99">
        <f t="shared" si="49"/>
        <v>0.51249999999999996</v>
      </c>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87"/>
      <c r="AU415" s="87"/>
      <c r="AV415" s="87"/>
      <c r="AW415" s="100"/>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87"/>
      <c r="EJ415" s="87"/>
      <c r="EK415" s="87"/>
      <c r="EL415" s="100"/>
      <c r="EM415" s="100"/>
      <c r="EN415" s="100"/>
      <c r="EO415" s="100"/>
      <c r="EP415" s="100"/>
      <c r="EQ415" s="100"/>
    </row>
    <row r="416" spans="1:147" outlineLevel="1">
      <c r="A416" s="31" t="str">
        <f t="shared" si="50"/>
        <v>modesg_out_empr_info_nfinorigem_scp1_emss</v>
      </c>
      <c r="B416" s="76" t="s">
        <v>28</v>
      </c>
      <c r="C416" s="77" t="s">
        <v>301</v>
      </c>
      <c r="D416" s="73" t="s">
        <v>40</v>
      </c>
      <c r="E416" s="75" t="s">
        <v>312</v>
      </c>
      <c r="F416" s="73" t="s">
        <v>306</v>
      </c>
      <c r="G416" s="73" t="str">
        <f>INDEX(Auxiliar!$B$16:$B$23,MATCH(Plano_V3!H416,Auxiliar!$C$16:$C$23,0),1)</f>
        <v>2. Em Teste</v>
      </c>
      <c r="H416" s="73">
        <f>VLOOKUP(A416,'Aux - pivots1'!$A:$B,2,0)</f>
        <v>2</v>
      </c>
      <c r="I416" s="93">
        <f>SUMIFS(Table1[Estimação (horas)],Table1[Tabela],Plano_V3!E416,Table1[Campo],Plano_V3!F416)</f>
        <v>4.0999999999999996</v>
      </c>
      <c r="J416" s="93">
        <f t="shared" si="51"/>
        <v>0.51249999999999996</v>
      </c>
      <c r="K416" s="93">
        <f>SUMIFS(Table1[Horas efetivas],Table1[Tabela],Plano_V3!E416,Table1[Campo],Plano_V3!F416)</f>
        <v>2.0499999999999998</v>
      </c>
      <c r="L416" s="93">
        <f t="shared" si="52"/>
        <v>0.25624999999999998</v>
      </c>
      <c r="M416" s="93">
        <f t="shared" si="53"/>
        <v>0.5</v>
      </c>
      <c r="N416" s="96" t="s">
        <v>313</v>
      </c>
      <c r="O416" s="99">
        <f t="shared" si="49"/>
        <v>0.51249999999999996</v>
      </c>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87"/>
      <c r="AU416" s="87"/>
      <c r="AV416" s="87"/>
      <c r="AW416" s="100"/>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87"/>
      <c r="EJ416" s="87"/>
      <c r="EK416" s="87"/>
      <c r="EL416" s="100"/>
      <c r="EM416" s="100"/>
      <c r="EN416" s="100"/>
      <c r="EO416" s="100"/>
      <c r="EP416" s="100"/>
      <c r="EQ416" s="100"/>
    </row>
    <row r="417" spans="1:147" outlineLevel="1">
      <c r="A417" s="31" t="str">
        <f t="shared" si="50"/>
        <v>modesg_out_empr_info_nfinorigem_scp2_emss</v>
      </c>
      <c r="B417" s="76" t="s">
        <v>28</v>
      </c>
      <c r="C417" s="77" t="s">
        <v>301</v>
      </c>
      <c r="D417" s="73" t="s">
        <v>40</v>
      </c>
      <c r="E417" s="75" t="s">
        <v>312</v>
      </c>
      <c r="F417" s="73" t="s">
        <v>307</v>
      </c>
      <c r="G417" s="73" t="str">
        <f>INDEX(Auxiliar!$B$16:$B$23,MATCH(Plano_V3!H417,Auxiliar!$C$16:$C$23,0),1)</f>
        <v>2. Em Teste</v>
      </c>
      <c r="H417" s="73">
        <f>VLOOKUP(A417,'Aux - pivots1'!$A:$B,2,0)</f>
        <v>2</v>
      </c>
      <c r="I417" s="93">
        <f>SUMIFS(Table1[Estimação (horas)],Table1[Tabela],Plano_V3!E417,Table1[Campo],Plano_V3!F417)</f>
        <v>4.0999999999999996</v>
      </c>
      <c r="J417" s="93">
        <f t="shared" si="51"/>
        <v>0.51249999999999996</v>
      </c>
      <c r="K417" s="93">
        <f>SUMIFS(Table1[Horas efetivas],Table1[Tabela],Plano_V3!E417,Table1[Campo],Plano_V3!F417)</f>
        <v>2.0499999999999998</v>
      </c>
      <c r="L417" s="93">
        <f t="shared" si="52"/>
        <v>0.25624999999999998</v>
      </c>
      <c r="M417" s="93">
        <f t="shared" si="53"/>
        <v>0.5</v>
      </c>
      <c r="N417" s="96" t="s">
        <v>313</v>
      </c>
      <c r="O417" s="99">
        <f t="shared" si="49"/>
        <v>0.51249999999999996</v>
      </c>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87"/>
      <c r="AU417" s="87"/>
      <c r="AV417" s="87"/>
      <c r="AW417" s="100"/>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87"/>
      <c r="EJ417" s="87"/>
      <c r="EK417" s="87"/>
      <c r="EL417" s="100"/>
      <c r="EM417" s="100"/>
      <c r="EN417" s="100"/>
      <c r="EO417" s="100"/>
      <c r="EP417" s="100"/>
      <c r="EQ417" s="100"/>
    </row>
    <row r="418" spans="1:147" outlineLevel="1">
      <c r="A418" s="31" t="str">
        <f t="shared" si="50"/>
        <v>modesg_out_empr_info_nfinorigem_scp3_emss</v>
      </c>
      <c r="B418" s="76" t="s">
        <v>28</v>
      </c>
      <c r="C418" s="77" t="s">
        <v>301</v>
      </c>
      <c r="D418" s="73" t="s">
        <v>40</v>
      </c>
      <c r="E418" s="75" t="s">
        <v>312</v>
      </c>
      <c r="F418" s="73" t="s">
        <v>308</v>
      </c>
      <c r="G418" s="73" t="str">
        <f>INDEX(Auxiliar!$B$16:$B$23,MATCH(Plano_V3!H418,Auxiliar!$C$16:$C$23,0),1)</f>
        <v>2. Em Teste</v>
      </c>
      <c r="H418" s="73">
        <f>VLOOKUP(A418,'Aux - pivots1'!$A:$B,2,0)</f>
        <v>2</v>
      </c>
      <c r="I418" s="93">
        <f>SUMIFS(Table1[Estimação (horas)],Table1[Tabela],Plano_V3!E418,Table1[Campo],Plano_V3!F418)</f>
        <v>4.0999999999999996</v>
      </c>
      <c r="J418" s="93">
        <f t="shared" si="51"/>
        <v>0.51249999999999996</v>
      </c>
      <c r="K418" s="93">
        <f>SUMIFS(Table1[Horas efetivas],Table1[Tabela],Plano_V3!E418,Table1[Campo],Plano_V3!F418)</f>
        <v>2.0499999999999998</v>
      </c>
      <c r="L418" s="93">
        <f t="shared" si="52"/>
        <v>0.25624999999999998</v>
      </c>
      <c r="M418" s="93">
        <f t="shared" si="53"/>
        <v>0.5</v>
      </c>
      <c r="N418" s="96" t="s">
        <v>313</v>
      </c>
      <c r="O418" s="99">
        <f t="shared" si="49"/>
        <v>0.51249999999999996</v>
      </c>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87"/>
      <c r="AU418" s="87"/>
      <c r="AV418" s="87"/>
      <c r="AW418" s="100"/>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87"/>
      <c r="EJ418" s="87"/>
      <c r="EK418" s="87"/>
      <c r="EL418" s="100"/>
      <c r="EM418" s="100"/>
      <c r="EN418" s="100"/>
      <c r="EO418" s="100"/>
      <c r="EP418" s="100"/>
      <c r="EQ418" s="100"/>
    </row>
    <row r="419" spans="1:147" outlineLevel="1">
      <c r="A419" s="31" t="str">
        <f t="shared" si="50"/>
        <v>modesg_out_empr_info_nfinref_date</v>
      </c>
      <c r="B419" s="76" t="s">
        <v>28</v>
      </c>
      <c r="C419" s="77" t="s">
        <v>301</v>
      </c>
      <c r="D419" s="73" t="s">
        <v>40</v>
      </c>
      <c r="E419" s="75" t="s">
        <v>312</v>
      </c>
      <c r="F419" s="73" t="s">
        <v>73</v>
      </c>
      <c r="G419" s="73" t="str">
        <f>INDEX(Auxiliar!$B$16:$B$23,MATCH(Plano_V3!H419,Auxiliar!$C$16:$C$23,0),1)</f>
        <v>1. Concluído</v>
      </c>
      <c r="H419" s="73">
        <f>VLOOKUP(A419,'Aux - pivots1'!$A:$B,2,0)</f>
        <v>1</v>
      </c>
      <c r="I419" s="93">
        <f>SUMIFS(Table1[Estimação (horas)],Table1[Tabela],Plano_V3!E419,Table1[Campo],Plano_V3!F419)</f>
        <v>4.0999999999999996</v>
      </c>
      <c r="J419" s="93">
        <f t="shared" si="51"/>
        <v>0.51249999999999996</v>
      </c>
      <c r="K419" s="93">
        <f>SUMIFS(Table1[Horas efetivas],Table1[Tabela],Plano_V3!E419,Table1[Campo],Plano_V3!F419)</f>
        <v>4.0999999999999996</v>
      </c>
      <c r="L419" s="93">
        <f t="shared" si="52"/>
        <v>0.51249999999999996</v>
      </c>
      <c r="M419" s="93">
        <f t="shared" si="53"/>
        <v>1</v>
      </c>
      <c r="N419" s="96" t="s">
        <v>313</v>
      </c>
      <c r="O419" s="99">
        <f t="shared" si="49"/>
        <v>0.51249999999999996</v>
      </c>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87"/>
      <c r="AU419" s="87"/>
      <c r="AV419" s="87"/>
      <c r="AW419" s="100"/>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87"/>
      <c r="EJ419" s="87"/>
      <c r="EK419" s="87"/>
      <c r="EL419" s="100"/>
      <c r="EM419" s="100"/>
      <c r="EN419" s="100"/>
      <c r="EO419" s="100"/>
      <c r="EP419" s="100"/>
      <c r="EQ419" s="100"/>
    </row>
    <row r="420" spans="1:147" outlineLevel="1">
      <c r="A420" s="31" t="str">
        <f t="shared" si="50"/>
        <v>modesg_out_empr_info_nfinscp1_emss</v>
      </c>
      <c r="B420" s="76" t="s">
        <v>28</v>
      </c>
      <c r="C420" s="77" t="s">
        <v>301</v>
      </c>
      <c r="D420" s="73" t="s">
        <v>40</v>
      </c>
      <c r="E420" s="75" t="s">
        <v>312</v>
      </c>
      <c r="F420" s="73" t="s">
        <v>276</v>
      </c>
      <c r="G420" s="73" t="str">
        <f>INDEX(Auxiliar!$B$16:$B$23,MATCH(Plano_V3!H420,Auxiliar!$C$16:$C$23,0),1)</f>
        <v>2. Em Teste</v>
      </c>
      <c r="H420" s="73">
        <f>VLOOKUP(A420,'Aux - pivots1'!$A:$B,2,0)</f>
        <v>2</v>
      </c>
      <c r="I420" s="93">
        <f>SUMIFS(Table1[Estimação (horas)],Table1[Tabela],Plano_V3!E420,Table1[Campo],Plano_V3!F420)</f>
        <v>8.1</v>
      </c>
      <c r="J420" s="93">
        <f t="shared" si="51"/>
        <v>1.0125</v>
      </c>
      <c r="K420" s="93">
        <f>SUMIFS(Table1[Horas efetivas],Table1[Tabela],Plano_V3!E420,Table1[Campo],Plano_V3!F420)</f>
        <v>4.05</v>
      </c>
      <c r="L420" s="93">
        <f t="shared" si="52"/>
        <v>0.50624999999999998</v>
      </c>
      <c r="M420" s="93">
        <f t="shared" si="53"/>
        <v>0.5</v>
      </c>
      <c r="N420" s="96" t="s">
        <v>313</v>
      </c>
      <c r="O420" s="99">
        <f t="shared" ref="O420:O456" si="54">J420-SUM(P420:EQ420)</f>
        <v>1.0125</v>
      </c>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87"/>
      <c r="AU420" s="87"/>
      <c r="AV420" s="87"/>
      <c r="AW420" s="100"/>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87"/>
      <c r="EJ420" s="87"/>
      <c r="EK420" s="87"/>
      <c r="EL420" s="100"/>
      <c r="EM420" s="100"/>
      <c r="EN420" s="100"/>
      <c r="EO420" s="100"/>
      <c r="EP420" s="100"/>
      <c r="EQ420" s="100"/>
    </row>
    <row r="421" spans="1:147" outlineLevel="1">
      <c r="A421" s="31" t="str">
        <f t="shared" si="50"/>
        <v>modesg_out_empr_info_nfinscp2_emss</v>
      </c>
      <c r="B421" s="76" t="s">
        <v>28</v>
      </c>
      <c r="C421" s="77" t="s">
        <v>301</v>
      </c>
      <c r="D421" s="73" t="s">
        <v>40</v>
      </c>
      <c r="E421" s="75" t="s">
        <v>312</v>
      </c>
      <c r="F421" s="73" t="s">
        <v>277</v>
      </c>
      <c r="G421" s="73" t="str">
        <f>INDEX(Auxiliar!$B$16:$B$23,MATCH(Plano_V3!H421,Auxiliar!$C$16:$C$23,0),1)</f>
        <v>2. Em Teste</v>
      </c>
      <c r="H421" s="73">
        <f>VLOOKUP(A421,'Aux - pivots1'!$A:$B,2,0)</f>
        <v>2</v>
      </c>
      <c r="I421" s="93">
        <f>SUMIFS(Table1[Estimação (horas)],Table1[Tabela],Plano_V3!E421,Table1[Campo],Plano_V3!F421)</f>
        <v>8.1</v>
      </c>
      <c r="J421" s="93">
        <f t="shared" si="51"/>
        <v>1.0125</v>
      </c>
      <c r="K421" s="93">
        <f>SUMIFS(Table1[Horas efetivas],Table1[Tabela],Plano_V3!E421,Table1[Campo],Plano_V3!F421)</f>
        <v>4.05</v>
      </c>
      <c r="L421" s="93">
        <f t="shared" si="52"/>
        <v>0.50624999999999998</v>
      </c>
      <c r="M421" s="93">
        <f t="shared" si="53"/>
        <v>0.5</v>
      </c>
      <c r="N421" s="96" t="s">
        <v>313</v>
      </c>
      <c r="O421" s="99">
        <f t="shared" si="54"/>
        <v>1.0125</v>
      </c>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87"/>
      <c r="AU421" s="87"/>
      <c r="AV421" s="87"/>
      <c r="AW421" s="100"/>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87"/>
      <c r="EJ421" s="87"/>
      <c r="EK421" s="87"/>
      <c r="EL421" s="100"/>
      <c r="EM421" s="100"/>
      <c r="EN421" s="100"/>
      <c r="EO421" s="100"/>
      <c r="EP421" s="100"/>
      <c r="EQ421" s="100"/>
    </row>
    <row r="422" spans="1:147" outlineLevel="1">
      <c r="A422" s="31" t="str">
        <f t="shared" ref="A422:A485" si="55">E422&amp;F422</f>
        <v>modesg_out_empr_info_nfinscp3_emss</v>
      </c>
      <c r="B422" s="76" t="s">
        <v>28</v>
      </c>
      <c r="C422" s="77" t="s">
        <v>301</v>
      </c>
      <c r="D422" s="73" t="s">
        <v>40</v>
      </c>
      <c r="E422" s="75" t="s">
        <v>312</v>
      </c>
      <c r="F422" s="73" t="s">
        <v>278</v>
      </c>
      <c r="G422" s="73" t="str">
        <f>INDEX(Auxiliar!$B$16:$B$23,MATCH(Plano_V3!H422,Auxiliar!$C$16:$C$23,0),1)</f>
        <v>2. Em Teste</v>
      </c>
      <c r="H422" s="73">
        <f>VLOOKUP(A422,'Aux - pivots1'!$A:$B,2,0)</f>
        <v>2</v>
      </c>
      <c r="I422" s="93">
        <f>SUMIFS(Table1[Estimação (horas)],Table1[Tabela],Plano_V3!E422,Table1[Campo],Plano_V3!F422)</f>
        <v>8.1</v>
      </c>
      <c r="J422" s="93">
        <f t="shared" si="51"/>
        <v>1.0125</v>
      </c>
      <c r="K422" s="93">
        <f>SUMIFS(Table1[Horas efetivas],Table1[Tabela],Plano_V3!E422,Table1[Campo],Plano_V3!F422)</f>
        <v>4.05</v>
      </c>
      <c r="L422" s="93">
        <f t="shared" si="52"/>
        <v>0.50624999999999998</v>
      </c>
      <c r="M422" s="93">
        <f t="shared" si="53"/>
        <v>0.5</v>
      </c>
      <c r="N422" s="96" t="s">
        <v>313</v>
      </c>
      <c r="O422" s="99">
        <f t="shared" si="54"/>
        <v>1.0125</v>
      </c>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87"/>
      <c r="AU422" s="87"/>
      <c r="AV422" s="87"/>
      <c r="AW422" s="100"/>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87"/>
      <c r="EJ422" s="87"/>
      <c r="EK422" s="87"/>
      <c r="EL422" s="100"/>
      <c r="EM422" s="100"/>
      <c r="EN422" s="100"/>
      <c r="EO422" s="100"/>
      <c r="EP422" s="100"/>
      <c r="EQ422" s="100"/>
    </row>
    <row r="423" spans="1:147" outlineLevel="1">
      <c r="A423" s="31" t="str">
        <f t="shared" si="55"/>
        <v>modesg_out_empr_info_nfinzcliente</v>
      </c>
      <c r="B423" s="76" t="s">
        <v>28</v>
      </c>
      <c r="C423" s="77" t="s">
        <v>301</v>
      </c>
      <c r="D423" s="73" t="s">
        <v>40</v>
      </c>
      <c r="E423" s="75" t="s">
        <v>312</v>
      </c>
      <c r="F423" s="73" t="s">
        <v>203</v>
      </c>
      <c r="G423" s="73" t="str">
        <f>INDEX(Auxiliar!$B$16:$B$23,MATCH(Plano_V3!H423,Auxiliar!$C$16:$C$23,0),1)</f>
        <v>1. Concluído</v>
      </c>
      <c r="H423" s="73">
        <f>VLOOKUP(A423,'Aux - pivots1'!$A:$B,2,0)</f>
        <v>1</v>
      </c>
      <c r="I423" s="93">
        <f>SUMIFS(Table1[Estimação (horas)],Table1[Tabela],Plano_V3!E423,Table1[Campo],Plano_V3!F423)</f>
        <v>4.0999999999999996</v>
      </c>
      <c r="J423" s="93">
        <f t="shared" si="51"/>
        <v>0.51249999999999996</v>
      </c>
      <c r="K423" s="93">
        <f>SUMIFS(Table1[Horas efetivas],Table1[Tabela],Plano_V3!E423,Table1[Campo],Plano_V3!F423)</f>
        <v>4.0999999999999996</v>
      </c>
      <c r="L423" s="93">
        <f t="shared" si="52"/>
        <v>0.51249999999999996</v>
      </c>
      <c r="M423" s="93">
        <f t="shared" si="53"/>
        <v>1</v>
      </c>
      <c r="N423" s="96" t="s">
        <v>313</v>
      </c>
      <c r="O423" s="99">
        <f t="shared" si="54"/>
        <v>0.51249999999999996</v>
      </c>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87"/>
      <c r="AU423" s="87"/>
      <c r="AV423" s="87"/>
      <c r="AW423" s="100"/>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87"/>
      <c r="EJ423" s="87"/>
      <c r="EK423" s="87"/>
      <c r="EL423" s="100"/>
      <c r="EM423" s="100"/>
      <c r="EN423" s="100"/>
      <c r="EO423" s="100"/>
      <c r="EP423" s="100"/>
      <c r="EQ423" s="100"/>
    </row>
    <row r="424" spans="1:147" outlineLevel="1">
      <c r="A424" s="31" t="str">
        <f t="shared" si="55"/>
        <v>modesg_out_emss_vclsn.a.</v>
      </c>
      <c r="B424" s="76" t="s">
        <v>28</v>
      </c>
      <c r="C424" s="77" t="s">
        <v>301</v>
      </c>
      <c r="D424" s="73" t="s">
        <v>36</v>
      </c>
      <c r="E424" s="75" t="s">
        <v>318</v>
      </c>
      <c r="F424" s="73" t="s">
        <v>38</v>
      </c>
      <c r="G424" s="73" t="str">
        <f>INDEX(Auxiliar!$B$16:$B$23,MATCH(Plano_V3!H424,Auxiliar!$C$16:$C$23,0),1)</f>
        <v>6. Em implementação (re-especificação)</v>
      </c>
      <c r="H424" s="73">
        <f>VLOOKUP(A424,'Aux - pivots1'!$A:$B,2,0)</f>
        <v>6</v>
      </c>
      <c r="I424" s="93">
        <f>SUMIFS(Table1[Estimação (horas)],Table1[Tabela],Plano_V3!E424,Table1[Campo],Plano_V3!F424)</f>
        <v>8</v>
      </c>
      <c r="J424" s="93">
        <f t="shared" si="51"/>
        <v>1</v>
      </c>
      <c r="K424" s="93">
        <f>SUMIFS(Table1[Horas efetivas],Table1[Tabela],Plano_V3!E424,Table1[Campo],Plano_V3!F424)</f>
        <v>2</v>
      </c>
      <c r="L424" s="93">
        <f t="shared" si="52"/>
        <v>0.25</v>
      </c>
      <c r="M424" s="93">
        <f t="shared" si="53"/>
        <v>0.25</v>
      </c>
      <c r="N424" s="96" t="s">
        <v>319</v>
      </c>
      <c r="O424" s="99">
        <f t="shared" si="54"/>
        <v>1</v>
      </c>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87"/>
      <c r="AU424" s="87"/>
      <c r="AV424" s="87"/>
      <c r="AW424" s="100"/>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87"/>
      <c r="EJ424" s="87"/>
      <c r="EK424" s="87"/>
      <c r="EL424" s="100"/>
      <c r="EM424" s="100"/>
      <c r="EN424" s="100"/>
      <c r="EO424" s="100"/>
      <c r="EP424" s="100"/>
      <c r="EQ424" s="100"/>
    </row>
    <row r="425" spans="1:147" outlineLevel="1">
      <c r="A425" s="31" t="str">
        <f t="shared" si="55"/>
        <v>modesg_out_emss_vclscempbem</v>
      </c>
      <c r="B425" s="76" t="s">
        <v>28</v>
      </c>
      <c r="C425" s="77" t="s">
        <v>301</v>
      </c>
      <c r="D425" s="73" t="s">
        <v>40</v>
      </c>
      <c r="E425" s="75" t="s">
        <v>318</v>
      </c>
      <c r="F425" s="73" t="s">
        <v>41</v>
      </c>
      <c r="G425" s="73" t="str">
        <f>INDEX(Auxiliar!$B$16:$B$23,MATCH(Plano_V3!H425,Auxiliar!$C$16:$C$23,0),1)</f>
        <v>1. Concluído</v>
      </c>
      <c r="H425" s="73">
        <f>VLOOKUP(A425,'Aux - pivots1'!$A:$B,2,0)</f>
        <v>1</v>
      </c>
      <c r="I425" s="93">
        <f>SUMIFS(Table1[Estimação (horas)],Table1[Tabela],Plano_V3!E425,Table1[Campo],Plano_V3!F425)</f>
        <v>4.0999999999999996</v>
      </c>
      <c r="J425" s="93">
        <f t="shared" si="51"/>
        <v>0.51249999999999996</v>
      </c>
      <c r="K425" s="93">
        <f>SUMIFS(Table1[Horas efetivas],Table1[Tabela],Plano_V3!E425,Table1[Campo],Plano_V3!F425)</f>
        <v>4.0999999999999996</v>
      </c>
      <c r="L425" s="93">
        <f t="shared" si="52"/>
        <v>0.51249999999999996</v>
      </c>
      <c r="M425" s="93">
        <f t="shared" si="53"/>
        <v>1</v>
      </c>
      <c r="N425" s="96" t="s">
        <v>319</v>
      </c>
      <c r="O425" s="99">
        <f t="shared" si="54"/>
        <v>0.51249999999999996</v>
      </c>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87"/>
      <c r="AU425" s="87"/>
      <c r="AV425" s="87"/>
      <c r="AW425" s="100"/>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87"/>
      <c r="EJ425" s="87"/>
      <c r="EK425" s="87"/>
      <c r="EL425" s="100"/>
      <c r="EM425" s="100"/>
      <c r="EN425" s="100"/>
      <c r="EO425" s="100"/>
      <c r="EP425" s="100"/>
      <c r="EQ425" s="100"/>
    </row>
    <row r="426" spans="1:147" outlineLevel="1">
      <c r="A426" s="31" t="str">
        <f t="shared" si="55"/>
        <v>modesg_out_emss_vclsckbalbem</v>
      </c>
      <c r="B426" s="76" t="s">
        <v>28</v>
      </c>
      <c r="C426" s="77" t="s">
        <v>301</v>
      </c>
      <c r="D426" s="73" t="s">
        <v>40</v>
      </c>
      <c r="E426" s="75" t="s">
        <v>318</v>
      </c>
      <c r="F426" s="73" t="s">
        <v>43</v>
      </c>
      <c r="G426" s="73" t="str">
        <f>INDEX(Auxiliar!$B$16:$B$23,MATCH(Plano_V3!H426,Auxiliar!$C$16:$C$23,0),1)</f>
        <v>1. Concluído</v>
      </c>
      <c r="H426" s="73">
        <f>VLOOKUP(A426,'Aux - pivots1'!$A:$B,2,0)</f>
        <v>1</v>
      </c>
      <c r="I426" s="93">
        <f>SUMIFS(Table1[Estimação (horas)],Table1[Tabela],Plano_V3!E426,Table1[Campo],Plano_V3!F426)</f>
        <v>4.0999999999999996</v>
      </c>
      <c r="J426" s="93">
        <f t="shared" si="51"/>
        <v>0.51249999999999996</v>
      </c>
      <c r="K426" s="93">
        <f>SUMIFS(Table1[Horas efetivas],Table1[Tabela],Plano_V3!E426,Table1[Campo],Plano_V3!F426)</f>
        <v>4.0999999999999996</v>
      </c>
      <c r="L426" s="93">
        <f t="shared" si="52"/>
        <v>0.51249999999999996</v>
      </c>
      <c r="M426" s="93">
        <f t="shared" si="53"/>
        <v>1</v>
      </c>
      <c r="N426" s="96" t="s">
        <v>319</v>
      </c>
      <c r="O426" s="99">
        <f t="shared" si="54"/>
        <v>0.51249999999999996</v>
      </c>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87"/>
      <c r="AU426" s="87"/>
      <c r="AV426" s="87"/>
      <c r="AW426" s="100"/>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87"/>
      <c r="EJ426" s="87"/>
      <c r="EK426" s="87"/>
      <c r="EL426" s="100"/>
      <c r="EM426" s="100"/>
      <c r="EN426" s="100"/>
      <c r="EO426" s="100"/>
      <c r="EP426" s="100"/>
      <c r="EQ426" s="100"/>
    </row>
    <row r="427" spans="1:147" outlineLevel="1">
      <c r="A427" s="31" t="str">
        <f t="shared" si="55"/>
        <v>modesg_out_emss_vclsckctabem</v>
      </c>
      <c r="B427" s="76" t="s">
        <v>28</v>
      </c>
      <c r="C427" s="77" t="s">
        <v>301</v>
      </c>
      <c r="D427" s="73" t="s">
        <v>40</v>
      </c>
      <c r="E427" s="75" t="s">
        <v>318</v>
      </c>
      <c r="F427" s="73" t="s">
        <v>44</v>
      </c>
      <c r="G427" s="73" t="str">
        <f>INDEX(Auxiliar!$B$16:$B$23,MATCH(Plano_V3!H427,Auxiliar!$C$16:$C$23,0),1)</f>
        <v>1. Concluído</v>
      </c>
      <c r="H427" s="73">
        <f>VLOOKUP(A427,'Aux - pivots1'!$A:$B,2,0)</f>
        <v>1</v>
      </c>
      <c r="I427" s="93">
        <f>SUMIFS(Table1[Estimação (horas)],Table1[Tabela],Plano_V3!E427,Table1[Campo],Plano_V3!F427)</f>
        <v>4.0999999999999996</v>
      </c>
      <c r="J427" s="93">
        <f t="shared" si="51"/>
        <v>0.51249999999999996</v>
      </c>
      <c r="K427" s="93">
        <f>SUMIFS(Table1[Horas efetivas],Table1[Tabela],Plano_V3!E427,Table1[Campo],Plano_V3!F427)</f>
        <v>4.0999999999999996</v>
      </c>
      <c r="L427" s="93">
        <f t="shared" si="52"/>
        <v>0.51249999999999996</v>
      </c>
      <c r="M427" s="93">
        <f t="shared" si="53"/>
        <v>1</v>
      </c>
      <c r="N427" s="96" t="s">
        <v>319</v>
      </c>
      <c r="O427" s="99">
        <f t="shared" si="54"/>
        <v>0.51249999999999996</v>
      </c>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87"/>
      <c r="AU427" s="87"/>
      <c r="AV427" s="87"/>
      <c r="AW427" s="100"/>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87"/>
      <c r="EJ427" s="87"/>
      <c r="EK427" s="87"/>
      <c r="EL427" s="100"/>
      <c r="EM427" s="100"/>
      <c r="EN427" s="100"/>
      <c r="EO427" s="100"/>
      <c r="EP427" s="100"/>
      <c r="EQ427" s="100"/>
    </row>
    <row r="428" spans="1:147" outlineLevel="1">
      <c r="A428" s="31" t="str">
        <f t="shared" si="55"/>
        <v>modesg_out_emss_vclsckrefbem</v>
      </c>
      <c r="B428" s="76" t="s">
        <v>28</v>
      </c>
      <c r="C428" s="77" t="s">
        <v>301</v>
      </c>
      <c r="D428" s="73" t="s">
        <v>40</v>
      </c>
      <c r="E428" s="75" t="s">
        <v>318</v>
      </c>
      <c r="F428" s="73" t="s">
        <v>45</v>
      </c>
      <c r="G428" s="73" t="str">
        <f>INDEX(Auxiliar!$B$16:$B$23,MATCH(Plano_V3!H428,Auxiliar!$C$16:$C$23,0),1)</f>
        <v>1. Concluído</v>
      </c>
      <c r="H428" s="73">
        <f>VLOOKUP(A428,'Aux - pivots1'!$A:$B,2,0)</f>
        <v>1</v>
      </c>
      <c r="I428" s="93">
        <f>SUMIFS(Table1[Estimação (horas)],Table1[Tabela],Plano_V3!E428,Table1[Campo],Plano_V3!F428)</f>
        <v>4.0999999999999996</v>
      </c>
      <c r="J428" s="93">
        <f t="shared" si="51"/>
        <v>0.51249999999999996</v>
      </c>
      <c r="K428" s="93">
        <f>SUMIFS(Table1[Horas efetivas],Table1[Tabela],Plano_V3!E428,Table1[Campo],Plano_V3!F428)</f>
        <v>4.0999999999999996</v>
      </c>
      <c r="L428" s="93">
        <f t="shared" si="52"/>
        <v>0.51249999999999996</v>
      </c>
      <c r="M428" s="93">
        <f t="shared" si="53"/>
        <v>1</v>
      </c>
      <c r="N428" s="96" t="s">
        <v>319</v>
      </c>
      <c r="O428" s="99">
        <f t="shared" si="54"/>
        <v>0.51249999999999996</v>
      </c>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87"/>
      <c r="AU428" s="87"/>
      <c r="AV428" s="87"/>
      <c r="AW428" s="100"/>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87"/>
      <c r="EJ428" s="87"/>
      <c r="EK428" s="87"/>
      <c r="EL428" s="100"/>
      <c r="EM428" s="100"/>
      <c r="EN428" s="100"/>
      <c r="EO428" s="100"/>
      <c r="EP428" s="100"/>
      <c r="EQ428" s="100"/>
    </row>
    <row r="429" spans="1:147" outlineLevel="1">
      <c r="A429" s="31" t="str">
        <f t="shared" si="55"/>
        <v>modesg_out_emss_vclscnsm_co2</v>
      </c>
      <c r="B429" s="76" t="s">
        <v>28</v>
      </c>
      <c r="C429" s="77" t="s">
        <v>301</v>
      </c>
      <c r="D429" s="73" t="s">
        <v>40</v>
      </c>
      <c r="E429" s="75" t="s">
        <v>318</v>
      </c>
      <c r="F429" s="73" t="s">
        <v>184</v>
      </c>
      <c r="G429" s="73" t="str">
        <f>INDEX(Auxiliar!$B$16:$B$23,MATCH(Plano_V3!H429,Auxiliar!$C$16:$C$23,0),1)</f>
        <v>6. Em implementação (re-especificação)</v>
      </c>
      <c r="H429" s="73">
        <f>VLOOKUP(A429,'Aux - pivots1'!$A:$B,2,0)</f>
        <v>6</v>
      </c>
      <c r="I429" s="93">
        <f>SUMIFS(Table1[Estimação (horas)],Table1[Tabela],Plano_V3!E429,Table1[Campo],Plano_V3!F429)</f>
        <v>8.1</v>
      </c>
      <c r="J429" s="93">
        <f t="shared" si="51"/>
        <v>1.0125</v>
      </c>
      <c r="K429" s="93">
        <f>SUMIFS(Table1[Horas efetivas],Table1[Tabela],Plano_V3!E429,Table1[Campo],Plano_V3!F429)</f>
        <v>2.0249999999999999</v>
      </c>
      <c r="L429" s="93">
        <f t="shared" si="52"/>
        <v>0.25312499999999999</v>
      </c>
      <c r="M429" s="93">
        <f t="shared" si="53"/>
        <v>0.25</v>
      </c>
      <c r="N429" s="96" t="s">
        <v>319</v>
      </c>
      <c r="O429" s="99">
        <f t="shared" si="54"/>
        <v>1.0125</v>
      </c>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87"/>
      <c r="AU429" s="87"/>
      <c r="AV429" s="87"/>
      <c r="AW429" s="100"/>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87"/>
      <c r="EJ429" s="87"/>
      <c r="EK429" s="87"/>
      <c r="EL429" s="100"/>
      <c r="EM429" s="100"/>
      <c r="EN429" s="100"/>
      <c r="EO429" s="100"/>
      <c r="EP429" s="100"/>
      <c r="EQ429" s="100"/>
    </row>
    <row r="430" spans="1:147" outlineLevel="1">
      <c r="A430" s="31" t="str">
        <f t="shared" si="55"/>
        <v>modesg_out_emss_vclsorigem_scp1_emss</v>
      </c>
      <c r="B430" s="76" t="s">
        <v>28</v>
      </c>
      <c r="C430" s="77" t="s">
        <v>301</v>
      </c>
      <c r="D430" s="73" t="s">
        <v>40</v>
      </c>
      <c r="E430" s="75" t="s">
        <v>318</v>
      </c>
      <c r="F430" s="73" t="s">
        <v>306</v>
      </c>
      <c r="G430" s="73" t="str">
        <f>INDEX(Auxiliar!$B$16:$B$23,MATCH(Plano_V3!H430,Auxiliar!$C$16:$C$23,0),1)</f>
        <v>2. Em Teste</v>
      </c>
      <c r="H430" s="73">
        <f>VLOOKUP(A430,'Aux - pivots1'!$A:$B,2,0)</f>
        <v>2</v>
      </c>
      <c r="I430" s="93">
        <f>SUMIFS(Table1[Estimação (horas)],Table1[Tabela],Plano_V3!E430,Table1[Campo],Plano_V3!F430)</f>
        <v>8.1</v>
      </c>
      <c r="J430" s="93">
        <f t="shared" si="51"/>
        <v>1.0125</v>
      </c>
      <c r="K430" s="93">
        <f>SUMIFS(Table1[Horas efetivas],Table1[Tabela],Plano_V3!E430,Table1[Campo],Plano_V3!F430)</f>
        <v>4.05</v>
      </c>
      <c r="L430" s="93">
        <f t="shared" si="52"/>
        <v>0.50624999999999998</v>
      </c>
      <c r="M430" s="93">
        <f t="shared" si="53"/>
        <v>0.5</v>
      </c>
      <c r="N430" s="96" t="s">
        <v>319</v>
      </c>
      <c r="O430" s="99">
        <f t="shared" si="54"/>
        <v>1.0125</v>
      </c>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87"/>
      <c r="AU430" s="87"/>
      <c r="AV430" s="87"/>
      <c r="AW430" s="100"/>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87"/>
      <c r="EJ430" s="87"/>
      <c r="EK430" s="87"/>
      <c r="EL430" s="100"/>
      <c r="EM430" s="100"/>
      <c r="EN430" s="100"/>
      <c r="EO430" s="100"/>
      <c r="EP430" s="100"/>
      <c r="EQ430" s="100"/>
    </row>
    <row r="431" spans="1:147" outlineLevel="1">
      <c r="A431" s="31" t="str">
        <f t="shared" si="55"/>
        <v>modesg_out_emss_vclsorigem_scp2_emss</v>
      </c>
      <c r="B431" s="76" t="s">
        <v>28</v>
      </c>
      <c r="C431" s="77" t="s">
        <v>301</v>
      </c>
      <c r="D431" s="73" t="s">
        <v>40</v>
      </c>
      <c r="E431" s="75" t="s">
        <v>318</v>
      </c>
      <c r="F431" s="73" t="s">
        <v>307</v>
      </c>
      <c r="G431" s="73" t="str">
        <f>INDEX(Auxiliar!$B$16:$B$23,MATCH(Plano_V3!H431,Auxiliar!$C$16:$C$23,0),1)</f>
        <v>2. Em Teste</v>
      </c>
      <c r="H431" s="73">
        <f>VLOOKUP(A431,'Aux - pivots1'!$A:$B,2,0)</f>
        <v>2</v>
      </c>
      <c r="I431" s="93">
        <f>SUMIFS(Table1[Estimação (horas)],Table1[Tabela],Plano_V3!E431,Table1[Campo],Plano_V3!F431)</f>
        <v>8.1</v>
      </c>
      <c r="J431" s="93">
        <f t="shared" si="51"/>
        <v>1.0125</v>
      </c>
      <c r="K431" s="93">
        <f>SUMIFS(Table1[Horas efetivas],Table1[Tabela],Plano_V3!E431,Table1[Campo],Plano_V3!F431)</f>
        <v>4.05</v>
      </c>
      <c r="L431" s="93">
        <f t="shared" si="52"/>
        <v>0.50624999999999998</v>
      </c>
      <c r="M431" s="93">
        <f t="shared" si="53"/>
        <v>0.5</v>
      </c>
      <c r="N431" s="96" t="s">
        <v>319</v>
      </c>
      <c r="O431" s="99">
        <f t="shared" si="54"/>
        <v>1.0125</v>
      </c>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87"/>
      <c r="AU431" s="87"/>
      <c r="AV431" s="87"/>
      <c r="AW431" s="100"/>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87"/>
      <c r="EJ431" s="87"/>
      <c r="EK431" s="87"/>
      <c r="EL431" s="100"/>
      <c r="EM431" s="100"/>
      <c r="EN431" s="100"/>
      <c r="EO431" s="100"/>
      <c r="EP431" s="100"/>
      <c r="EQ431" s="100"/>
    </row>
    <row r="432" spans="1:147" outlineLevel="1">
      <c r="A432" s="31" t="str">
        <f t="shared" si="55"/>
        <v>modesg_out_emss_vclsorigem_scp3_emss</v>
      </c>
      <c r="B432" s="76" t="s">
        <v>28</v>
      </c>
      <c r="C432" s="77" t="s">
        <v>301</v>
      </c>
      <c r="D432" s="73" t="s">
        <v>40</v>
      </c>
      <c r="E432" s="75" t="s">
        <v>318</v>
      </c>
      <c r="F432" s="73" t="s">
        <v>308</v>
      </c>
      <c r="G432" s="73" t="str">
        <f>INDEX(Auxiliar!$B$16:$B$23,MATCH(Plano_V3!H432,Auxiliar!$C$16:$C$23,0),1)</f>
        <v>2. Em Teste</v>
      </c>
      <c r="H432" s="73">
        <f>VLOOKUP(A432,'Aux - pivots1'!$A:$B,2,0)</f>
        <v>2</v>
      </c>
      <c r="I432" s="93">
        <f>SUMIFS(Table1[Estimação (horas)],Table1[Tabela],Plano_V3!E432,Table1[Campo],Plano_V3!F432)</f>
        <v>8.1</v>
      </c>
      <c r="J432" s="93">
        <f t="shared" si="51"/>
        <v>1.0125</v>
      </c>
      <c r="K432" s="93">
        <f>SUMIFS(Table1[Horas efetivas],Table1[Tabela],Plano_V3!E432,Table1[Campo],Plano_V3!F432)</f>
        <v>4.05</v>
      </c>
      <c r="L432" s="93">
        <f t="shared" si="52"/>
        <v>0.50624999999999998</v>
      </c>
      <c r="M432" s="93">
        <f t="shared" si="53"/>
        <v>0.5</v>
      </c>
      <c r="N432" s="96" t="s">
        <v>319</v>
      </c>
      <c r="O432" s="99">
        <f t="shared" si="54"/>
        <v>1.0125</v>
      </c>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87"/>
      <c r="AU432" s="87"/>
      <c r="AV432" s="87"/>
      <c r="AW432" s="100"/>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87"/>
      <c r="EJ432" s="87"/>
      <c r="EK432" s="87"/>
      <c r="EL432" s="100"/>
      <c r="EM432" s="100"/>
      <c r="EN432" s="100"/>
      <c r="EO432" s="100"/>
      <c r="EP432" s="100"/>
      <c r="EQ432" s="100"/>
    </row>
    <row r="433" spans="1:147" outlineLevel="1">
      <c r="A433" s="31" t="str">
        <f t="shared" si="55"/>
        <v>modesg_out_emss_vclsref_date</v>
      </c>
      <c r="B433" s="76" t="s">
        <v>28</v>
      </c>
      <c r="C433" s="77" t="s">
        <v>301</v>
      </c>
      <c r="D433" s="73" t="s">
        <v>40</v>
      </c>
      <c r="E433" s="75" t="s">
        <v>318</v>
      </c>
      <c r="F433" s="73" t="s">
        <v>73</v>
      </c>
      <c r="G433" s="73" t="str">
        <f>INDEX(Auxiliar!$B$16:$B$23,MATCH(Plano_V3!H433,Auxiliar!$C$16:$C$23,0),1)</f>
        <v>1. Concluído</v>
      </c>
      <c r="H433" s="73">
        <f>VLOOKUP(A433,'Aux - pivots1'!$A:$B,2,0)</f>
        <v>1</v>
      </c>
      <c r="I433" s="93">
        <f>SUMIFS(Table1[Estimação (horas)],Table1[Tabela],Plano_V3!E433,Table1[Campo],Plano_V3!F433)</f>
        <v>4.0999999999999996</v>
      </c>
      <c r="J433" s="93">
        <f t="shared" si="51"/>
        <v>0.51249999999999996</v>
      </c>
      <c r="K433" s="93">
        <f>SUMIFS(Table1[Horas efetivas],Table1[Tabela],Plano_V3!E433,Table1[Campo],Plano_V3!F433)</f>
        <v>4.0999999999999996</v>
      </c>
      <c r="L433" s="93">
        <f t="shared" si="52"/>
        <v>0.51249999999999996</v>
      </c>
      <c r="M433" s="93">
        <f t="shared" si="53"/>
        <v>1</v>
      </c>
      <c r="N433" s="96" t="s">
        <v>319</v>
      </c>
      <c r="O433" s="99">
        <f t="shared" si="54"/>
        <v>0.51249999999999996</v>
      </c>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87"/>
      <c r="AU433" s="87"/>
      <c r="AV433" s="87"/>
      <c r="AW433" s="100"/>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87"/>
      <c r="EJ433" s="87"/>
      <c r="EK433" s="87"/>
      <c r="EL433" s="100"/>
      <c r="EM433" s="100"/>
      <c r="EN433" s="100"/>
      <c r="EO433" s="100"/>
      <c r="EP433" s="100"/>
      <c r="EQ433" s="100"/>
    </row>
    <row r="434" spans="1:147" outlineLevel="1">
      <c r="A434" s="31" t="str">
        <f t="shared" si="55"/>
        <v>modesg_out_emss_vclsscp1_emss</v>
      </c>
      <c r="B434" s="76" t="s">
        <v>28</v>
      </c>
      <c r="C434" s="77" t="s">
        <v>301</v>
      </c>
      <c r="D434" s="73" t="s">
        <v>40</v>
      </c>
      <c r="E434" s="75" t="s">
        <v>318</v>
      </c>
      <c r="F434" s="73" t="s">
        <v>276</v>
      </c>
      <c r="G434" s="73" t="str">
        <f>INDEX(Auxiliar!$B$16:$B$23,MATCH(Plano_V3!H434,Auxiliar!$C$16:$C$23,0),1)</f>
        <v>2. Em Teste</v>
      </c>
      <c r="H434" s="73">
        <f>VLOOKUP(A434,'Aux - pivots1'!$A:$B,2,0)</f>
        <v>2</v>
      </c>
      <c r="I434" s="93">
        <f>SUMIFS(Table1[Estimação (horas)],Table1[Tabela],Plano_V3!E434,Table1[Campo],Plano_V3!F434)</f>
        <v>16.100000000000001</v>
      </c>
      <c r="J434" s="93">
        <f t="shared" si="51"/>
        <v>2.0125000000000002</v>
      </c>
      <c r="K434" s="93">
        <f>SUMIFS(Table1[Horas efetivas],Table1[Tabela],Plano_V3!E434,Table1[Campo],Plano_V3!F434)</f>
        <v>8.0500000000000007</v>
      </c>
      <c r="L434" s="93">
        <f t="shared" si="52"/>
        <v>1.0062500000000001</v>
      </c>
      <c r="M434" s="93">
        <f t="shared" si="53"/>
        <v>0.5</v>
      </c>
      <c r="N434" s="96" t="s">
        <v>319</v>
      </c>
      <c r="O434" s="99">
        <f t="shared" si="54"/>
        <v>2.0125000000000002</v>
      </c>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87"/>
      <c r="AU434" s="87"/>
      <c r="AV434" s="87"/>
      <c r="AW434" s="100"/>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87"/>
      <c r="EJ434" s="87"/>
      <c r="EK434" s="87"/>
      <c r="EL434" s="100"/>
      <c r="EM434" s="100"/>
      <c r="EN434" s="100"/>
      <c r="EO434" s="100"/>
      <c r="EP434" s="100"/>
      <c r="EQ434" s="100"/>
    </row>
    <row r="435" spans="1:147" outlineLevel="1">
      <c r="A435" s="31" t="str">
        <f t="shared" si="55"/>
        <v>modesg_out_emss_vclsscp2_emss</v>
      </c>
      <c r="B435" s="76" t="s">
        <v>28</v>
      </c>
      <c r="C435" s="77" t="s">
        <v>301</v>
      </c>
      <c r="D435" s="73" t="s">
        <v>40</v>
      </c>
      <c r="E435" s="75" t="s">
        <v>318</v>
      </c>
      <c r="F435" s="73" t="s">
        <v>277</v>
      </c>
      <c r="G435" s="73" t="str">
        <f>INDEX(Auxiliar!$B$16:$B$23,MATCH(Plano_V3!H435,Auxiliar!$C$16:$C$23,0),1)</f>
        <v>2. Em Teste</v>
      </c>
      <c r="H435" s="73">
        <f>VLOOKUP(A435,'Aux - pivots1'!$A:$B,2,0)</f>
        <v>2</v>
      </c>
      <c r="I435" s="93">
        <f>SUMIFS(Table1[Estimação (horas)],Table1[Tabela],Plano_V3!E435,Table1[Campo],Plano_V3!F435)</f>
        <v>16.100000000000001</v>
      </c>
      <c r="J435" s="93">
        <f t="shared" si="51"/>
        <v>2.0125000000000002</v>
      </c>
      <c r="K435" s="93">
        <f>SUMIFS(Table1[Horas efetivas],Table1[Tabela],Plano_V3!E435,Table1[Campo],Plano_V3!F435)</f>
        <v>8.0500000000000007</v>
      </c>
      <c r="L435" s="93">
        <f t="shared" si="52"/>
        <v>1.0062500000000001</v>
      </c>
      <c r="M435" s="93">
        <f t="shared" si="53"/>
        <v>0.5</v>
      </c>
      <c r="N435" s="96" t="s">
        <v>319</v>
      </c>
      <c r="O435" s="99">
        <f t="shared" si="54"/>
        <v>2.0125000000000002</v>
      </c>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87"/>
      <c r="AU435" s="87"/>
      <c r="AV435" s="87"/>
      <c r="AW435" s="100"/>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87"/>
      <c r="EJ435" s="87"/>
      <c r="EK435" s="87"/>
      <c r="EL435" s="100"/>
      <c r="EM435" s="100"/>
      <c r="EN435" s="100"/>
      <c r="EO435" s="100"/>
      <c r="EP435" s="100"/>
      <c r="EQ435" s="100"/>
    </row>
    <row r="436" spans="1:147" outlineLevel="1">
      <c r="A436" s="31" t="str">
        <f t="shared" si="55"/>
        <v>modesg_out_emss_vclsscp3_emss</v>
      </c>
      <c r="B436" s="76" t="s">
        <v>28</v>
      </c>
      <c r="C436" s="77" t="s">
        <v>301</v>
      </c>
      <c r="D436" s="73" t="s">
        <v>40</v>
      </c>
      <c r="E436" s="75" t="s">
        <v>318</v>
      </c>
      <c r="F436" s="73" t="s">
        <v>278</v>
      </c>
      <c r="G436" s="73" t="str">
        <f>INDEX(Auxiliar!$B$16:$B$23,MATCH(Plano_V3!H436,Auxiliar!$C$16:$C$23,0),1)</f>
        <v>2. Em Teste</v>
      </c>
      <c r="H436" s="73">
        <f>VLOOKUP(A436,'Aux - pivots1'!$A:$B,2,0)</f>
        <v>2</v>
      </c>
      <c r="I436" s="93">
        <f>SUMIFS(Table1[Estimação (horas)],Table1[Tabela],Plano_V3!E436,Table1[Campo],Plano_V3!F436)</f>
        <v>16.100000000000001</v>
      </c>
      <c r="J436" s="93">
        <f t="shared" ref="J436:J454" si="56">I436/8</f>
        <v>2.0125000000000002</v>
      </c>
      <c r="K436" s="93">
        <f>SUMIFS(Table1[Horas efetivas],Table1[Tabela],Plano_V3!E436,Table1[Campo],Plano_V3!F436)</f>
        <v>8.0500000000000007</v>
      </c>
      <c r="L436" s="93">
        <f t="shared" ref="L436:L454" si="57">K436/8</f>
        <v>1.0062500000000001</v>
      </c>
      <c r="M436" s="93">
        <f t="shared" ref="M436:M455" si="58">L436/J436</f>
        <v>0.5</v>
      </c>
      <c r="N436" s="96" t="s">
        <v>319</v>
      </c>
      <c r="O436" s="99">
        <f t="shared" si="54"/>
        <v>2.0125000000000002</v>
      </c>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87"/>
      <c r="AU436" s="87"/>
      <c r="AV436" s="87"/>
      <c r="AW436" s="100"/>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87"/>
      <c r="EJ436" s="87"/>
      <c r="EK436" s="87"/>
      <c r="EL436" s="100"/>
      <c r="EM436" s="100"/>
      <c r="EN436" s="100"/>
      <c r="EO436" s="100"/>
      <c r="EP436" s="100"/>
      <c r="EQ436" s="100"/>
    </row>
    <row r="437" spans="1:147" outlineLevel="1">
      <c r="A437" s="31" t="str">
        <f t="shared" si="55"/>
        <v>modesg_out_emss_vclsunidade_funcional_scp1_emss</v>
      </c>
      <c r="B437" s="76" t="s">
        <v>28</v>
      </c>
      <c r="C437" s="77" t="s">
        <v>301</v>
      </c>
      <c r="D437" s="73" t="s">
        <v>40</v>
      </c>
      <c r="E437" s="75" t="s">
        <v>318</v>
      </c>
      <c r="F437" s="73" t="s">
        <v>309</v>
      </c>
      <c r="G437" s="73" t="str">
        <f>INDEX(Auxiliar!$B$16:$B$23,MATCH(Plano_V3!H437,Auxiliar!$C$16:$C$23,0),1)</f>
        <v>1. Concluído</v>
      </c>
      <c r="H437" s="73">
        <f>VLOOKUP(A437,'Aux - pivots1'!$A:$B,2,0)</f>
        <v>1</v>
      </c>
      <c r="I437" s="93">
        <f>SUMIFS(Table1[Estimação (horas)],Table1[Tabela],Plano_V3!E437,Table1[Campo],Plano_V3!F437)</f>
        <v>4.0999999999999996</v>
      </c>
      <c r="J437" s="93">
        <f t="shared" si="56"/>
        <v>0.51249999999999996</v>
      </c>
      <c r="K437" s="93">
        <f>SUMIFS(Table1[Horas efetivas],Table1[Tabela],Plano_V3!E437,Table1[Campo],Plano_V3!F437)</f>
        <v>4.0999999999999996</v>
      </c>
      <c r="L437" s="93">
        <f t="shared" si="57"/>
        <v>0.51249999999999996</v>
      </c>
      <c r="M437" s="93">
        <f t="shared" si="58"/>
        <v>1</v>
      </c>
      <c r="N437" s="96" t="s">
        <v>319</v>
      </c>
      <c r="O437" s="99">
        <f t="shared" si="54"/>
        <v>0.51249999999999996</v>
      </c>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87"/>
      <c r="AU437" s="87"/>
      <c r="AV437" s="87"/>
      <c r="AW437" s="100"/>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87"/>
      <c r="EJ437" s="87"/>
      <c r="EK437" s="87"/>
      <c r="EL437" s="100"/>
      <c r="EM437" s="100"/>
      <c r="EN437" s="100"/>
      <c r="EO437" s="100"/>
      <c r="EP437" s="100"/>
      <c r="EQ437" s="100"/>
    </row>
    <row r="438" spans="1:147" outlineLevel="1">
      <c r="A438" s="31" t="str">
        <f t="shared" si="55"/>
        <v>modesg_out_emss_vclsunidade_funcional_scp2_emss</v>
      </c>
      <c r="B438" s="76" t="s">
        <v>28</v>
      </c>
      <c r="C438" s="77" t="s">
        <v>301</v>
      </c>
      <c r="D438" s="73" t="s">
        <v>40</v>
      </c>
      <c r="E438" s="75" t="s">
        <v>318</v>
      </c>
      <c r="F438" s="73" t="s">
        <v>310</v>
      </c>
      <c r="G438" s="73" t="str">
        <f>INDEX(Auxiliar!$B$16:$B$23,MATCH(Plano_V3!H438,Auxiliar!$C$16:$C$23,0),1)</f>
        <v>1. Concluído</v>
      </c>
      <c r="H438" s="73">
        <f>VLOOKUP(A438,'Aux - pivots1'!$A:$B,2,0)</f>
        <v>1</v>
      </c>
      <c r="I438" s="93">
        <f>SUMIFS(Table1[Estimação (horas)],Table1[Tabela],Plano_V3!E438,Table1[Campo],Plano_V3!F438)</f>
        <v>4.0999999999999996</v>
      </c>
      <c r="J438" s="93">
        <f t="shared" si="56"/>
        <v>0.51249999999999996</v>
      </c>
      <c r="K438" s="93">
        <f>SUMIFS(Table1[Horas efetivas],Table1[Tabela],Plano_V3!E438,Table1[Campo],Plano_V3!F438)</f>
        <v>4.0999999999999996</v>
      </c>
      <c r="L438" s="93">
        <f t="shared" si="57"/>
        <v>0.51249999999999996</v>
      </c>
      <c r="M438" s="93">
        <f t="shared" si="58"/>
        <v>1</v>
      </c>
      <c r="N438" s="96" t="s">
        <v>319</v>
      </c>
      <c r="O438" s="99">
        <f t="shared" si="54"/>
        <v>0.51249999999999996</v>
      </c>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87"/>
      <c r="AU438" s="87"/>
      <c r="AV438" s="87"/>
      <c r="AW438" s="100"/>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87"/>
      <c r="EJ438" s="87"/>
      <c r="EK438" s="87"/>
      <c r="EL438" s="100"/>
      <c r="EM438" s="100"/>
      <c r="EN438" s="100"/>
      <c r="EO438" s="100"/>
      <c r="EP438" s="100"/>
      <c r="EQ438" s="100"/>
    </row>
    <row r="439" spans="1:147" outlineLevel="1">
      <c r="A439" s="31" t="str">
        <f t="shared" si="55"/>
        <v>modesg_out_emss_vclsunidade_funcional_scp3_emss</v>
      </c>
      <c r="B439" s="76" t="s">
        <v>28</v>
      </c>
      <c r="C439" s="77" t="s">
        <v>301</v>
      </c>
      <c r="D439" s="73" t="s">
        <v>40</v>
      </c>
      <c r="E439" s="75" t="s">
        <v>318</v>
      </c>
      <c r="F439" s="73" t="s">
        <v>311</v>
      </c>
      <c r="G439" s="73" t="str">
        <f>INDEX(Auxiliar!$B$16:$B$23,MATCH(Plano_V3!H439,Auxiliar!$C$16:$C$23,0),1)</f>
        <v>1. Concluído</v>
      </c>
      <c r="H439" s="73">
        <f>VLOOKUP(A439,'Aux - pivots1'!$A:$B,2,0)</f>
        <v>1</v>
      </c>
      <c r="I439" s="93">
        <f>SUMIFS(Table1[Estimação (horas)],Table1[Tabela],Plano_V3!E439,Table1[Campo],Plano_V3!F439)</f>
        <v>4.0999999999999996</v>
      </c>
      <c r="J439" s="93">
        <f t="shared" si="56"/>
        <v>0.51249999999999996</v>
      </c>
      <c r="K439" s="93">
        <f>SUMIFS(Table1[Horas efetivas],Table1[Tabela],Plano_V3!E439,Table1[Campo],Plano_V3!F439)</f>
        <v>4.0999999999999996</v>
      </c>
      <c r="L439" s="93">
        <f t="shared" si="57"/>
        <v>0.51249999999999996</v>
      </c>
      <c r="M439" s="93">
        <f t="shared" si="58"/>
        <v>1</v>
      </c>
      <c r="N439" s="96" t="s">
        <v>319</v>
      </c>
      <c r="O439" s="99">
        <f t="shared" si="54"/>
        <v>0.51249999999999996</v>
      </c>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87"/>
      <c r="AU439" s="87"/>
      <c r="AV439" s="87"/>
      <c r="AW439" s="100"/>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87"/>
      <c r="EJ439" s="87"/>
      <c r="EK439" s="87"/>
      <c r="EL439" s="100"/>
      <c r="EM439" s="100"/>
      <c r="EN439" s="100"/>
      <c r="EO439" s="100"/>
      <c r="EP439" s="100"/>
      <c r="EQ439" s="100"/>
    </row>
    <row r="440" spans="1:147" outlineLevel="1">
      <c r="A440" s="31" t="str">
        <f t="shared" si="55"/>
        <v>modesg_out_sfcs_taxon_europeian.a.</v>
      </c>
      <c r="B440" s="76" t="s">
        <v>28</v>
      </c>
      <c r="C440" s="77" t="s">
        <v>301</v>
      </c>
      <c r="D440" s="73" t="s">
        <v>36</v>
      </c>
      <c r="E440" s="75" t="s">
        <v>320</v>
      </c>
      <c r="F440" s="73" t="s">
        <v>38</v>
      </c>
      <c r="G440" s="73" t="str">
        <f>INDEX(Auxiliar!$B$16:$B$23,MATCH(Plano_V3!H440,Auxiliar!$C$16:$C$23,0),1)</f>
        <v>6. Em implementação (re-especificação)</v>
      </c>
      <c r="H440" s="73">
        <f>VLOOKUP(A440,'Aux - pivots1'!$A:$B,2,0)</f>
        <v>6</v>
      </c>
      <c r="I440" s="93">
        <f>SUMIFS(Table1[Estimação (horas)],Table1[Tabela],Plano_V3!E440,Table1[Campo],Plano_V3!F440)</f>
        <v>8</v>
      </c>
      <c r="J440" s="93">
        <f t="shared" si="56"/>
        <v>1</v>
      </c>
      <c r="K440" s="93">
        <f>SUMIFS(Table1[Horas efetivas],Table1[Tabela],Plano_V3!E440,Table1[Campo],Plano_V3!F440)</f>
        <v>2</v>
      </c>
      <c r="L440" s="93">
        <f t="shared" si="57"/>
        <v>0.25</v>
      </c>
      <c r="M440" s="93">
        <f t="shared" si="58"/>
        <v>0.25</v>
      </c>
      <c r="N440" s="96" t="s">
        <v>321</v>
      </c>
      <c r="O440" s="99">
        <f t="shared" si="54"/>
        <v>1</v>
      </c>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87"/>
      <c r="AU440" s="87"/>
      <c r="AV440" s="87"/>
      <c r="AW440" s="100"/>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87"/>
      <c r="EJ440" s="87"/>
      <c r="EK440" s="87"/>
      <c r="EL440" s="100"/>
      <c r="EM440" s="100"/>
      <c r="EN440" s="100"/>
      <c r="EO440" s="100"/>
      <c r="EP440" s="100"/>
      <c r="EQ440" s="100"/>
    </row>
    <row r="441" spans="1:147" outlineLevel="1">
      <c r="A441" s="31" t="str">
        <f t="shared" si="55"/>
        <v>modesg_out_sfcs_taxon_europeiacbalcao</v>
      </c>
      <c r="B441" s="76" t="s">
        <v>28</v>
      </c>
      <c r="C441" s="77" t="s">
        <v>301</v>
      </c>
      <c r="D441" s="73" t="s">
        <v>40</v>
      </c>
      <c r="E441" s="75" t="s">
        <v>320</v>
      </c>
      <c r="F441" s="73" t="s">
        <v>180</v>
      </c>
      <c r="G441" s="73" t="str">
        <f>INDEX(Auxiliar!$B$16:$B$23,MATCH(Plano_V3!H441,Auxiliar!$C$16:$C$23,0),1)</f>
        <v>6. Em implementação (re-especificação)</v>
      </c>
      <c r="H441" s="73">
        <f>VLOOKUP(A441,'Aux - pivots1'!$A:$B,2,0)</f>
        <v>6</v>
      </c>
      <c r="I441" s="93">
        <f>SUMIFS(Table1[Estimação (horas)],Table1[Tabela],Plano_V3!E441,Table1[Campo],Plano_V3!F441)</f>
        <v>4.0999999999999996</v>
      </c>
      <c r="J441" s="93">
        <f t="shared" si="56"/>
        <v>0.51249999999999996</v>
      </c>
      <c r="K441" s="93">
        <f>SUMIFS(Table1[Horas efetivas],Table1[Tabela],Plano_V3!E441,Table1[Campo],Plano_V3!F441)</f>
        <v>1.0249999999999999</v>
      </c>
      <c r="L441" s="93">
        <f t="shared" si="57"/>
        <v>0.12812499999999999</v>
      </c>
      <c r="M441" s="93">
        <f t="shared" si="58"/>
        <v>0.25</v>
      </c>
      <c r="N441" s="96" t="s">
        <v>321</v>
      </c>
      <c r="O441" s="99">
        <f t="shared" si="54"/>
        <v>0.51249999999999996</v>
      </c>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87"/>
      <c r="AU441" s="87"/>
      <c r="AV441" s="87"/>
      <c r="AW441" s="100"/>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87"/>
      <c r="EJ441" s="87"/>
      <c r="EK441" s="87"/>
      <c r="EL441" s="100"/>
      <c r="EM441" s="100"/>
      <c r="EN441" s="100"/>
      <c r="EO441" s="100"/>
      <c r="EP441" s="100"/>
      <c r="EQ441" s="100"/>
    </row>
    <row r="442" spans="1:147" outlineLevel="1">
      <c r="A442" s="31" t="str">
        <f t="shared" si="55"/>
        <v>modesg_out_sfcs_taxon_europeiacempresa</v>
      </c>
      <c r="B442" s="76" t="s">
        <v>28</v>
      </c>
      <c r="C442" s="77" t="s">
        <v>301</v>
      </c>
      <c r="D442" s="73" t="s">
        <v>40</v>
      </c>
      <c r="E442" s="75" t="s">
        <v>320</v>
      </c>
      <c r="F442" s="73" t="s">
        <v>57</v>
      </c>
      <c r="G442" s="73" t="str">
        <f>INDEX(Auxiliar!$B$16:$B$23,MATCH(Plano_V3!H442,Auxiliar!$C$16:$C$23,0),1)</f>
        <v>6. Em implementação (re-especificação)</v>
      </c>
      <c r="H442" s="73">
        <f>VLOOKUP(A442,'Aux - pivots1'!$A:$B,2,0)</f>
        <v>6</v>
      </c>
      <c r="I442" s="93">
        <f>SUMIFS(Table1[Estimação (horas)],Table1[Tabela],Plano_V3!E442,Table1[Campo],Plano_V3!F442)</f>
        <v>4.0999999999999996</v>
      </c>
      <c r="J442" s="93">
        <f t="shared" si="56"/>
        <v>0.51249999999999996</v>
      </c>
      <c r="K442" s="93">
        <f>SUMIFS(Table1[Horas efetivas],Table1[Tabela],Plano_V3!E442,Table1[Campo],Plano_V3!F442)</f>
        <v>1.0249999999999999</v>
      </c>
      <c r="L442" s="93">
        <f t="shared" si="57"/>
        <v>0.12812499999999999</v>
      </c>
      <c r="M442" s="93">
        <f t="shared" si="58"/>
        <v>0.25</v>
      </c>
      <c r="N442" s="96" t="s">
        <v>321</v>
      </c>
      <c r="O442" s="99">
        <f t="shared" si="54"/>
        <v>0.51249999999999996</v>
      </c>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87"/>
      <c r="AU442" s="87"/>
      <c r="AV442" s="87"/>
      <c r="AW442" s="100"/>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87"/>
      <c r="EJ442" s="87"/>
      <c r="EK442" s="87"/>
      <c r="EL442" s="100"/>
      <c r="EM442" s="100"/>
      <c r="EN442" s="100"/>
      <c r="EO442" s="100"/>
      <c r="EP442" s="100"/>
      <c r="EQ442" s="100"/>
    </row>
    <row r="443" spans="1:147" outlineLevel="1">
      <c r="A443" s="31" t="str">
        <f t="shared" si="55"/>
        <v>modesg_out_sfcs_taxon_europeiacnumecta</v>
      </c>
      <c r="B443" s="76" t="s">
        <v>28</v>
      </c>
      <c r="C443" s="77" t="s">
        <v>301</v>
      </c>
      <c r="D443" s="73" t="s">
        <v>40</v>
      </c>
      <c r="E443" s="75" t="s">
        <v>320</v>
      </c>
      <c r="F443" s="73" t="s">
        <v>185</v>
      </c>
      <c r="G443" s="73" t="str">
        <f>INDEX(Auxiliar!$B$16:$B$23,MATCH(Plano_V3!H443,Auxiliar!$C$16:$C$23,0),1)</f>
        <v>6. Em implementação (re-especificação)</v>
      </c>
      <c r="H443" s="73">
        <f>VLOOKUP(A443,'Aux - pivots1'!$A:$B,2,0)</f>
        <v>6</v>
      </c>
      <c r="I443" s="93">
        <f>SUMIFS(Table1[Estimação (horas)],Table1[Tabela],Plano_V3!E443,Table1[Campo],Plano_V3!F443)</f>
        <v>4.0999999999999996</v>
      </c>
      <c r="J443" s="93">
        <f t="shared" si="56"/>
        <v>0.51249999999999996</v>
      </c>
      <c r="K443" s="93">
        <f>SUMIFS(Table1[Horas efetivas],Table1[Tabela],Plano_V3!E443,Table1[Campo],Plano_V3!F443)</f>
        <v>1.0249999999999999</v>
      </c>
      <c r="L443" s="93">
        <f t="shared" si="57"/>
        <v>0.12812499999999999</v>
      </c>
      <c r="M443" s="93">
        <f t="shared" si="58"/>
        <v>0.25</v>
      </c>
      <c r="N443" s="96" t="s">
        <v>321</v>
      </c>
      <c r="O443" s="99">
        <f t="shared" si="54"/>
        <v>0.51249999999999996</v>
      </c>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87"/>
      <c r="AU443" s="87"/>
      <c r="AV443" s="87"/>
      <c r="AW443" s="100"/>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87"/>
      <c r="EJ443" s="87"/>
      <c r="EK443" s="87"/>
      <c r="EL443" s="100"/>
      <c r="EM443" s="100"/>
      <c r="EN443" s="100"/>
      <c r="EO443" s="100"/>
      <c r="EP443" s="100"/>
      <c r="EQ443" s="100"/>
    </row>
    <row r="444" spans="1:147" outlineLevel="1">
      <c r="A444" s="31" t="str">
        <f t="shared" si="55"/>
        <v>modesg_out_sfcs_taxon_europeiacod_regra</v>
      </c>
      <c r="B444" s="76" t="s">
        <v>28</v>
      </c>
      <c r="C444" s="77" t="s">
        <v>301</v>
      </c>
      <c r="D444" s="73" t="s">
        <v>40</v>
      </c>
      <c r="E444" s="75" t="s">
        <v>320</v>
      </c>
      <c r="F444" s="73" t="s">
        <v>187</v>
      </c>
      <c r="G444" s="73" t="str">
        <f>INDEX(Auxiliar!$B$16:$B$23,MATCH(Plano_V3!H444,Auxiliar!$C$16:$C$23,0),1)</f>
        <v>6. Em implementação (re-especificação)</v>
      </c>
      <c r="H444" s="73">
        <f>VLOOKUP(A444,'Aux - pivots1'!$A:$B,2,0)</f>
        <v>6</v>
      </c>
      <c r="I444" s="93">
        <f>SUMIFS(Table1[Estimação (horas)],Table1[Tabela],Plano_V3!E444,Table1[Campo],Plano_V3!F444)</f>
        <v>4.0999999999999996</v>
      </c>
      <c r="J444" s="93">
        <f t="shared" si="56"/>
        <v>0.51249999999999996</v>
      </c>
      <c r="K444" s="93">
        <f>SUMIFS(Table1[Horas efetivas],Table1[Tabela],Plano_V3!E444,Table1[Campo],Plano_V3!F444)</f>
        <v>1.0249999999999999</v>
      </c>
      <c r="L444" s="93">
        <f t="shared" si="57"/>
        <v>0.12812499999999999</v>
      </c>
      <c r="M444" s="93">
        <f t="shared" si="58"/>
        <v>0.25</v>
      </c>
      <c r="N444" s="96" t="s">
        <v>321</v>
      </c>
      <c r="O444" s="99">
        <f t="shared" si="54"/>
        <v>0.51249999999999996</v>
      </c>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87"/>
      <c r="AU444" s="87"/>
      <c r="AV444" s="87"/>
      <c r="AW444" s="100"/>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87"/>
      <c r="EJ444" s="87"/>
      <c r="EK444" s="87"/>
      <c r="EL444" s="100"/>
      <c r="EM444" s="100"/>
      <c r="EN444" s="100"/>
      <c r="EO444" s="100"/>
      <c r="EP444" s="100"/>
      <c r="EQ444" s="100"/>
    </row>
    <row r="445" spans="1:147" outlineLevel="1">
      <c r="A445" s="31" t="str">
        <f t="shared" si="55"/>
        <v>modesg_out_sfcs_taxon_europeiaordem</v>
      </c>
      <c r="B445" s="76" t="s">
        <v>28</v>
      </c>
      <c r="C445" s="77" t="s">
        <v>301</v>
      </c>
      <c r="D445" s="73" t="s">
        <v>40</v>
      </c>
      <c r="E445" s="75" t="s">
        <v>320</v>
      </c>
      <c r="F445" s="73" t="s">
        <v>322</v>
      </c>
      <c r="G445" s="73" t="str">
        <f>INDEX(Auxiliar!$B$16:$B$23,MATCH(Plano_V3!H445,Auxiliar!$C$16:$C$23,0),1)</f>
        <v>0. Cancelado</v>
      </c>
      <c r="H445" s="73">
        <f>VLOOKUP(A445,'Aux - pivots1'!$A:$B,2,0)</f>
        <v>0</v>
      </c>
      <c r="I445" s="93">
        <f>SUMIFS(Table1[Estimação (horas)],Table1[Tabela],Plano_V3!E445,Table1[Campo],Plano_V3!F445)</f>
        <v>4.0999999999999996</v>
      </c>
      <c r="J445" s="93">
        <f t="shared" si="56"/>
        <v>0.51249999999999996</v>
      </c>
      <c r="K445" s="93">
        <f>SUMIFS(Table1[Horas efetivas],Table1[Tabela],Plano_V3!E445,Table1[Campo],Plano_V3!F445)</f>
        <v>0</v>
      </c>
      <c r="L445" s="93">
        <f t="shared" si="57"/>
        <v>0</v>
      </c>
      <c r="M445" s="93">
        <f t="shared" si="58"/>
        <v>0</v>
      </c>
      <c r="N445" s="96" t="s">
        <v>321</v>
      </c>
      <c r="O445" s="99">
        <f t="shared" si="54"/>
        <v>0.51249999999999996</v>
      </c>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87"/>
      <c r="AU445" s="87"/>
      <c r="AV445" s="87"/>
      <c r="AW445" s="100"/>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87"/>
      <c r="EJ445" s="87"/>
      <c r="EK445" s="87"/>
      <c r="EL445" s="100"/>
      <c r="EM445" s="100"/>
      <c r="EN445" s="100"/>
      <c r="EO445" s="100"/>
      <c r="EP445" s="100"/>
      <c r="EQ445" s="100"/>
    </row>
    <row r="446" spans="1:147" outlineLevel="1">
      <c r="A446" s="31" t="str">
        <f t="shared" si="55"/>
        <v>modesg_out_sfcs_taxon_europeiamontante_pndrc</v>
      </c>
      <c r="B446" s="76" t="s">
        <v>28</v>
      </c>
      <c r="C446" s="77" t="s">
        <v>301</v>
      </c>
      <c r="D446" s="73" t="s">
        <v>40</v>
      </c>
      <c r="E446" s="75" t="s">
        <v>320</v>
      </c>
      <c r="F446" s="73" t="s">
        <v>197</v>
      </c>
      <c r="G446" s="73" t="str">
        <f>INDEX(Auxiliar!$B$16:$B$23,MATCH(Plano_V3!H446,Auxiliar!$C$16:$C$23,0),1)</f>
        <v>6. Em implementação (re-especificação)</v>
      </c>
      <c r="H446" s="73">
        <f>VLOOKUP(A446,'Aux - pivots1'!$A:$B,2,0)</f>
        <v>6</v>
      </c>
      <c r="I446" s="93">
        <f>SUMIFS(Table1[Estimação (horas)],Table1[Tabela],Plano_V3!E446,Table1[Campo],Plano_V3!F446)</f>
        <v>16.100000000000001</v>
      </c>
      <c r="J446" s="93">
        <f t="shared" si="56"/>
        <v>2.0125000000000002</v>
      </c>
      <c r="K446" s="93">
        <f>SUMIFS(Table1[Horas efetivas],Table1[Tabela],Plano_V3!E446,Table1[Campo],Plano_V3!F446)</f>
        <v>4.0250000000000004</v>
      </c>
      <c r="L446" s="93">
        <f t="shared" si="57"/>
        <v>0.50312500000000004</v>
      </c>
      <c r="M446" s="93">
        <f t="shared" si="58"/>
        <v>0.25</v>
      </c>
      <c r="N446" s="96" t="s">
        <v>321</v>
      </c>
      <c r="O446" s="99">
        <f t="shared" si="54"/>
        <v>2.0125000000000002</v>
      </c>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87"/>
      <c r="AU446" s="87"/>
      <c r="AV446" s="87"/>
      <c r="AW446" s="100"/>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87"/>
      <c r="EJ446" s="87"/>
      <c r="EK446" s="87"/>
      <c r="EL446" s="100"/>
      <c r="EM446" s="100"/>
      <c r="EN446" s="100"/>
      <c r="EO446" s="100"/>
      <c r="EP446" s="100"/>
      <c r="EQ446" s="100"/>
    </row>
    <row r="447" spans="1:147" outlineLevel="1">
      <c r="A447" s="31" t="str">
        <f t="shared" si="55"/>
        <v>modesg_out_sfcs_taxon_europeianome_ctgr_sfcs</v>
      </c>
      <c r="B447" s="76" t="s">
        <v>28</v>
      </c>
      <c r="C447" s="77" t="s">
        <v>301</v>
      </c>
      <c r="D447" s="73" t="s">
        <v>40</v>
      </c>
      <c r="E447" s="75" t="s">
        <v>320</v>
      </c>
      <c r="F447" s="73" t="s">
        <v>198</v>
      </c>
      <c r="G447" s="73" t="str">
        <f>INDEX(Auxiliar!$B$16:$B$23,MATCH(Plano_V3!H447,Auxiliar!$C$16:$C$23,0),1)</f>
        <v>4. Validação EF</v>
      </c>
      <c r="H447" s="73">
        <f>VLOOKUP(A447,'Aux - pivots1'!$A:$B,2,0)</f>
        <v>4</v>
      </c>
      <c r="I447" s="93">
        <f>SUMIFS(Table1[Estimação (horas)],Table1[Tabela],Plano_V3!E447,Table1[Campo],Plano_V3!F447)</f>
        <v>16.100000000000001</v>
      </c>
      <c r="J447" s="93">
        <f t="shared" si="56"/>
        <v>2.0125000000000002</v>
      </c>
      <c r="K447" s="93">
        <f>SUMIFS(Table1[Horas efetivas],Table1[Tabela],Plano_V3!E447,Table1[Campo],Plano_V3!F447)</f>
        <v>4.0250000000000004</v>
      </c>
      <c r="L447" s="93">
        <f t="shared" si="57"/>
        <v>0.50312500000000004</v>
      </c>
      <c r="M447" s="93">
        <f t="shared" si="58"/>
        <v>0.25</v>
      </c>
      <c r="N447" s="96" t="s">
        <v>321</v>
      </c>
      <c r="O447" s="99">
        <f t="shared" si="54"/>
        <v>2.0125000000000002</v>
      </c>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87"/>
      <c r="AU447" s="87"/>
      <c r="AV447" s="87"/>
      <c r="AW447" s="100"/>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c r="DT447" s="87"/>
      <c r="DU447" s="87"/>
      <c r="DV447" s="87"/>
      <c r="DW447" s="87"/>
      <c r="DX447" s="87"/>
      <c r="DY447" s="87"/>
      <c r="DZ447" s="87"/>
      <c r="EA447" s="87"/>
      <c r="EB447" s="87"/>
      <c r="EC447" s="87"/>
      <c r="ED447" s="87"/>
      <c r="EE447" s="87"/>
      <c r="EF447" s="87"/>
      <c r="EG447" s="87"/>
      <c r="EH447" s="87"/>
      <c r="EI447" s="87"/>
      <c r="EJ447" s="87"/>
      <c r="EK447" s="87"/>
      <c r="EL447" s="100"/>
      <c r="EM447" s="100"/>
      <c r="EN447" s="100"/>
      <c r="EO447" s="100"/>
      <c r="EP447" s="100"/>
      <c r="EQ447" s="100"/>
    </row>
    <row r="448" spans="1:147" outlineLevel="1">
      <c r="A448" s="31" t="str">
        <f t="shared" si="55"/>
        <v>modesg_out_sfcs_taxon_europeianome_general_specific_purpose</v>
      </c>
      <c r="B448" s="76" t="s">
        <v>28</v>
      </c>
      <c r="C448" s="77" t="s">
        <v>301</v>
      </c>
      <c r="D448" s="73" t="s">
        <v>40</v>
      </c>
      <c r="E448" s="75" t="s">
        <v>320</v>
      </c>
      <c r="F448" s="73" t="s">
        <v>199</v>
      </c>
      <c r="G448" s="73" t="str">
        <f>INDEX(Auxiliar!$B$16:$B$23,MATCH(Plano_V3!H448,Auxiliar!$C$16:$C$23,0),1)</f>
        <v>6. Em implementação (re-especificação)</v>
      </c>
      <c r="H448" s="73">
        <f>VLOOKUP(A448,'Aux - pivots1'!$A:$B,2,0)</f>
        <v>6</v>
      </c>
      <c r="I448" s="93">
        <f>SUMIFS(Table1[Estimação (horas)],Table1[Tabela],Plano_V3!E448,Table1[Campo],Plano_V3!F448)</f>
        <v>8.1</v>
      </c>
      <c r="J448" s="93">
        <f t="shared" si="56"/>
        <v>1.0125</v>
      </c>
      <c r="K448" s="93">
        <f>SUMIFS(Table1[Horas efetivas],Table1[Tabela],Plano_V3!E448,Table1[Campo],Plano_V3!F448)</f>
        <v>2.0249999999999999</v>
      </c>
      <c r="L448" s="93">
        <f t="shared" si="57"/>
        <v>0.25312499999999999</v>
      </c>
      <c r="M448" s="93">
        <f t="shared" si="58"/>
        <v>0.25</v>
      </c>
      <c r="N448" s="96" t="s">
        <v>321</v>
      </c>
      <c r="O448" s="99">
        <f t="shared" si="54"/>
        <v>1.0125</v>
      </c>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87"/>
      <c r="AU448" s="87"/>
      <c r="AV448" s="87"/>
      <c r="AW448" s="100"/>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87"/>
      <c r="EJ448" s="87"/>
      <c r="EK448" s="87"/>
      <c r="EL448" s="100"/>
      <c r="EM448" s="100"/>
      <c r="EN448" s="100"/>
      <c r="EO448" s="100"/>
      <c r="EP448" s="100"/>
      <c r="EQ448" s="100"/>
    </row>
    <row r="449" spans="1:147" outlineLevel="1">
      <c r="A449" s="31" t="str">
        <f t="shared" si="55"/>
        <v>modesg_out_sfcs_taxon_europeianome_purpose_esg</v>
      </c>
      <c r="B449" s="76" t="s">
        <v>28</v>
      </c>
      <c r="C449" s="77" t="s">
        <v>301</v>
      </c>
      <c r="D449" s="73" t="s">
        <v>40</v>
      </c>
      <c r="E449" s="75" t="s">
        <v>320</v>
      </c>
      <c r="F449" s="73" t="s">
        <v>200</v>
      </c>
      <c r="G449" s="73" t="str">
        <f>INDEX(Auxiliar!$B$16:$B$23,MATCH(Plano_V3!H449,Auxiliar!$C$16:$C$23,0),1)</f>
        <v>6. Em implementação (re-especificação)</v>
      </c>
      <c r="H449" s="73">
        <f>VLOOKUP(A449,'Aux - pivots1'!$A:$B,2,0)</f>
        <v>6</v>
      </c>
      <c r="I449" s="93">
        <f>SUMIFS(Table1[Estimação (horas)],Table1[Tabela],Plano_V3!E449,Table1[Campo],Plano_V3!F449)</f>
        <v>8.1</v>
      </c>
      <c r="J449" s="93">
        <f t="shared" si="56"/>
        <v>1.0125</v>
      </c>
      <c r="K449" s="93">
        <f>SUMIFS(Table1[Horas efetivas],Table1[Tabela],Plano_V3!E449,Table1[Campo],Plano_V3!F449)</f>
        <v>2.0249999999999999</v>
      </c>
      <c r="L449" s="93">
        <f t="shared" si="57"/>
        <v>0.25312499999999999</v>
      </c>
      <c r="M449" s="93">
        <f t="shared" si="58"/>
        <v>0.25</v>
      </c>
      <c r="N449" s="96" t="s">
        <v>321</v>
      </c>
      <c r="O449" s="99">
        <f t="shared" si="54"/>
        <v>1.0125</v>
      </c>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87"/>
      <c r="AU449" s="87"/>
      <c r="AV449" s="87"/>
      <c r="AW449" s="100"/>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87"/>
      <c r="EJ449" s="87"/>
      <c r="EK449" s="87"/>
      <c r="EL449" s="100"/>
      <c r="EM449" s="100"/>
      <c r="EN449" s="100"/>
      <c r="EO449" s="100"/>
      <c r="EP449" s="100"/>
      <c r="EQ449" s="100"/>
    </row>
    <row r="450" spans="1:147" outlineLevel="1">
      <c r="A450" s="31" t="str">
        <f t="shared" si="55"/>
        <v>modesg_out_sfcs_taxon_europeianome_specific_eligible</v>
      </c>
      <c r="B450" s="76" t="s">
        <v>28</v>
      </c>
      <c r="C450" s="77" t="s">
        <v>301</v>
      </c>
      <c r="D450" s="73" t="s">
        <v>40</v>
      </c>
      <c r="E450" s="75" t="s">
        <v>320</v>
      </c>
      <c r="F450" s="73" t="s">
        <v>201</v>
      </c>
      <c r="G450" s="73" t="str">
        <f>INDEX(Auxiliar!$B$16:$B$23,MATCH(Plano_V3!H450,Auxiliar!$C$16:$C$23,0),1)</f>
        <v>6. Em implementação (re-especificação)</v>
      </c>
      <c r="H450" s="73">
        <f>VLOOKUP(A450,'Aux - pivots1'!$A:$B,2,0)</f>
        <v>6</v>
      </c>
      <c r="I450" s="93">
        <f>SUMIFS(Table1[Estimação (horas)],Table1[Tabela],Plano_V3!E450,Table1[Campo],Plano_V3!F450)</f>
        <v>8.1</v>
      </c>
      <c r="J450" s="93">
        <f t="shared" si="56"/>
        <v>1.0125</v>
      </c>
      <c r="K450" s="93">
        <f>SUMIFS(Table1[Horas efetivas],Table1[Tabela],Plano_V3!E450,Table1[Campo],Plano_V3!F450)</f>
        <v>2.0249999999999999</v>
      </c>
      <c r="L450" s="93">
        <f t="shared" si="57"/>
        <v>0.25312499999999999</v>
      </c>
      <c r="M450" s="93">
        <f t="shared" si="58"/>
        <v>0.25</v>
      </c>
      <c r="N450" s="96" t="s">
        <v>321</v>
      </c>
      <c r="O450" s="99">
        <f t="shared" si="54"/>
        <v>1.0125</v>
      </c>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87"/>
      <c r="AU450" s="87"/>
      <c r="AV450" s="87"/>
      <c r="AW450" s="100"/>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87"/>
      <c r="EJ450" s="87"/>
      <c r="EK450" s="87"/>
      <c r="EL450" s="100"/>
      <c r="EM450" s="100"/>
      <c r="EN450" s="100"/>
      <c r="EO450" s="100"/>
      <c r="EP450" s="100"/>
      <c r="EQ450" s="100"/>
    </row>
    <row r="451" spans="1:147" outlineLevel="1">
      <c r="A451" s="31" t="str">
        <f t="shared" si="55"/>
        <v>modesg_out_sfcs_taxon_europeianome_specific_sustainable</v>
      </c>
      <c r="B451" s="76" t="s">
        <v>28</v>
      </c>
      <c r="C451" s="77" t="s">
        <v>301</v>
      </c>
      <c r="D451" s="73" t="s">
        <v>40</v>
      </c>
      <c r="E451" s="75" t="s">
        <v>320</v>
      </c>
      <c r="F451" s="73" t="s">
        <v>202</v>
      </c>
      <c r="G451" s="73" t="str">
        <f>INDEX(Auxiliar!$B$16:$B$23,MATCH(Plano_V3!H451,Auxiliar!$C$16:$C$23,0),1)</f>
        <v>6. Em implementação (re-especificação)</v>
      </c>
      <c r="H451" s="73">
        <f>VLOOKUP(A451,'Aux - pivots1'!$A:$B,2,0)</f>
        <v>6</v>
      </c>
      <c r="I451" s="93">
        <f>SUMIFS(Table1[Estimação (horas)],Table1[Tabela],Plano_V3!E451,Table1[Campo],Plano_V3!F451)</f>
        <v>8.1</v>
      </c>
      <c r="J451" s="93">
        <f t="shared" si="56"/>
        <v>1.0125</v>
      </c>
      <c r="K451" s="93">
        <f>SUMIFS(Table1[Horas efetivas],Table1[Tabela],Plano_V3!E451,Table1[Campo],Plano_V3!F451)</f>
        <v>2.0249999999999999</v>
      </c>
      <c r="L451" s="93">
        <f t="shared" si="57"/>
        <v>0.25312499999999999</v>
      </c>
      <c r="M451" s="93">
        <f t="shared" si="58"/>
        <v>0.25</v>
      </c>
      <c r="N451" s="96" t="s">
        <v>321</v>
      </c>
      <c r="O451" s="99">
        <f t="shared" si="54"/>
        <v>1.0125</v>
      </c>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87"/>
      <c r="AU451" s="87"/>
      <c r="AV451" s="87"/>
      <c r="AW451" s="100"/>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87"/>
      <c r="EJ451" s="87"/>
      <c r="EK451" s="87"/>
      <c r="EL451" s="100"/>
      <c r="EM451" s="100"/>
      <c r="EN451" s="100"/>
      <c r="EO451" s="100"/>
      <c r="EP451" s="100"/>
      <c r="EQ451" s="100"/>
    </row>
    <row r="452" spans="1:147" outlineLevel="1">
      <c r="A452" s="31" t="str">
        <f t="shared" si="55"/>
        <v>modesg_out_sfcs_taxon_europeiaorigem</v>
      </c>
      <c r="B452" s="76" t="s">
        <v>28</v>
      </c>
      <c r="C452" s="77" t="s">
        <v>301</v>
      </c>
      <c r="D452" s="73" t="s">
        <v>40</v>
      </c>
      <c r="E452" s="75" t="s">
        <v>320</v>
      </c>
      <c r="F452" s="73" t="s">
        <v>72</v>
      </c>
      <c r="G452" s="73" t="str">
        <f>INDEX(Auxiliar!$B$16:$B$23,MATCH(Plano_V3!H452,Auxiliar!$C$16:$C$23,0),1)</f>
        <v>1. Concluído</v>
      </c>
      <c r="H452" s="73">
        <f>VLOOKUP(A452,'Aux - pivots1'!$A:$B,2,0)</f>
        <v>1</v>
      </c>
      <c r="I452" s="93">
        <f>SUMIFS(Table1[Estimação (horas)],Table1[Tabela],Plano_V3!E452,Table1[Campo],Plano_V3!F452)</f>
        <v>4.0999999999999996</v>
      </c>
      <c r="J452" s="93">
        <f t="shared" si="56"/>
        <v>0.51249999999999996</v>
      </c>
      <c r="K452" s="93">
        <f>SUMIFS(Table1[Horas efetivas],Table1[Tabela],Plano_V3!E452,Table1[Campo],Plano_V3!F452)</f>
        <v>4.0999999999999996</v>
      </c>
      <c r="L452" s="93">
        <f t="shared" si="57"/>
        <v>0.51249999999999996</v>
      </c>
      <c r="M452" s="93">
        <f t="shared" si="58"/>
        <v>1</v>
      </c>
      <c r="N452" s="96" t="s">
        <v>321</v>
      </c>
      <c r="O452" s="99">
        <f t="shared" si="54"/>
        <v>0.51249999999999996</v>
      </c>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87"/>
      <c r="AU452" s="87"/>
      <c r="AV452" s="87"/>
      <c r="AW452" s="100"/>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87"/>
      <c r="EJ452" s="87"/>
      <c r="EK452" s="87"/>
      <c r="EL452" s="100"/>
      <c r="EM452" s="100"/>
      <c r="EN452" s="100"/>
      <c r="EO452" s="100"/>
      <c r="EP452" s="100"/>
      <c r="EQ452" s="100"/>
    </row>
    <row r="453" spans="1:147" outlineLevel="1">
      <c r="A453" s="31" t="str">
        <f t="shared" si="55"/>
        <v>modesg_out_sfcs_taxon_europeiaref_date</v>
      </c>
      <c r="B453" s="76" t="s">
        <v>28</v>
      </c>
      <c r="C453" s="77" t="s">
        <v>301</v>
      </c>
      <c r="D453" s="73" t="s">
        <v>40</v>
      </c>
      <c r="E453" s="75" t="s">
        <v>320</v>
      </c>
      <c r="F453" s="73" t="s">
        <v>73</v>
      </c>
      <c r="G453" s="73" t="str">
        <f>INDEX(Auxiliar!$B$16:$B$23,MATCH(Plano_V3!H453,Auxiliar!$C$16:$C$23,0),1)</f>
        <v>6. Em implementação (re-especificação)</v>
      </c>
      <c r="H453" s="73">
        <f>VLOOKUP(A453,'Aux - pivots1'!$A:$B,2,0)</f>
        <v>6</v>
      </c>
      <c r="I453" s="93">
        <f>SUMIFS(Table1[Estimação (horas)],Table1[Tabela],Plano_V3!E453,Table1[Campo],Plano_V3!F453)</f>
        <v>4.0999999999999996</v>
      </c>
      <c r="J453" s="93">
        <f t="shared" si="56"/>
        <v>0.51249999999999996</v>
      </c>
      <c r="K453" s="93">
        <f>SUMIFS(Table1[Horas efetivas],Table1[Tabela],Plano_V3!E453,Table1[Campo],Plano_V3!F453)</f>
        <v>1.0249999999999999</v>
      </c>
      <c r="L453" s="93">
        <f t="shared" si="57"/>
        <v>0.12812499999999999</v>
      </c>
      <c r="M453" s="93">
        <f t="shared" si="58"/>
        <v>0.25</v>
      </c>
      <c r="N453" s="96" t="s">
        <v>321</v>
      </c>
      <c r="O453" s="99">
        <f t="shared" si="54"/>
        <v>0.51249999999999996</v>
      </c>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87"/>
      <c r="AU453" s="87"/>
      <c r="AV453" s="87"/>
      <c r="AW453" s="100"/>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87"/>
      <c r="EJ453" s="87"/>
      <c r="EK453" s="87"/>
      <c r="EL453" s="100"/>
      <c r="EM453" s="100"/>
      <c r="EN453" s="100"/>
      <c r="EO453" s="100"/>
      <c r="EP453" s="100"/>
      <c r="EQ453" s="100"/>
    </row>
    <row r="454" spans="1:147" outlineLevel="1">
      <c r="A454" s="31" t="str">
        <f t="shared" si="55"/>
        <v>modesg_out_sfcs_taxon_europeiazdeposit</v>
      </c>
      <c r="B454" s="76" t="s">
        <v>28</v>
      </c>
      <c r="C454" s="77" t="s">
        <v>301</v>
      </c>
      <c r="D454" s="73" t="s">
        <v>40</v>
      </c>
      <c r="E454" s="75" t="s">
        <v>320</v>
      </c>
      <c r="F454" s="73" t="s">
        <v>204</v>
      </c>
      <c r="G454" s="73" t="str">
        <f>INDEX(Auxiliar!$B$16:$B$23,MATCH(Plano_V3!H454,Auxiliar!$C$16:$C$23,0),1)</f>
        <v>6. Em implementação (re-especificação)</v>
      </c>
      <c r="H454" s="73">
        <f>VLOOKUP(A454,'Aux - pivots1'!$A:$B,2,0)</f>
        <v>6</v>
      </c>
      <c r="I454" s="93">
        <f>SUMIFS(Table1[Estimação (horas)],Table1[Tabela],Plano_V3!E454,Table1[Campo],Plano_V3!F454)</f>
        <v>8.1</v>
      </c>
      <c r="J454" s="93">
        <f t="shared" si="56"/>
        <v>1.0125</v>
      </c>
      <c r="K454" s="93">
        <f>SUMIFS(Table1[Horas efetivas],Table1[Tabela],Plano_V3!E454,Table1[Campo],Plano_V3!F454)</f>
        <v>2.0249999999999999</v>
      </c>
      <c r="L454" s="93">
        <f t="shared" si="57"/>
        <v>0.25312499999999999</v>
      </c>
      <c r="M454" s="93">
        <f t="shared" si="58"/>
        <v>0.25</v>
      </c>
      <c r="N454" s="96" t="s">
        <v>321</v>
      </c>
      <c r="O454" s="99">
        <f t="shared" si="54"/>
        <v>1.0125</v>
      </c>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87"/>
      <c r="AU454" s="87"/>
      <c r="AV454" s="87"/>
      <c r="AW454" s="100"/>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87"/>
      <c r="EJ454" s="87"/>
      <c r="EK454" s="87"/>
      <c r="EL454" s="100"/>
      <c r="EM454" s="100"/>
      <c r="EN454" s="100"/>
      <c r="EO454" s="100"/>
      <c r="EP454" s="100"/>
      <c r="EQ454" s="100"/>
    </row>
    <row r="455" spans="1:147" outlineLevel="1">
      <c r="A455" s="31" t="str">
        <f t="shared" si="55"/>
        <v>Re-testesn.a.</v>
      </c>
      <c r="B455" s="76" t="s">
        <v>28</v>
      </c>
      <c r="C455" s="77" t="s">
        <v>301</v>
      </c>
      <c r="D455" s="73" t="s">
        <v>40</v>
      </c>
      <c r="E455" s="75" t="s">
        <v>53</v>
      </c>
      <c r="F455" s="73" t="s">
        <v>38</v>
      </c>
      <c r="G455" s="73" t="s">
        <v>177</v>
      </c>
      <c r="H455" s="73"/>
      <c r="I455" s="93">
        <f>SUM(I372:I454)*$D$7</f>
        <v>88.487500000000139</v>
      </c>
      <c r="J455" s="93">
        <f>I455/8</f>
        <v>11.060937500000017</v>
      </c>
      <c r="K455" s="93">
        <f>SUM(K372:K454)*$D$7</f>
        <v>34.71562500000001</v>
      </c>
      <c r="L455" s="93">
        <f>K455/8</f>
        <v>4.3394531250000012</v>
      </c>
      <c r="M455" s="93">
        <f t="shared" si="58"/>
        <v>0.39232236191552428</v>
      </c>
      <c r="N455" s="96"/>
      <c r="O455" s="99">
        <f t="shared" si="54"/>
        <v>11.060937500000017</v>
      </c>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87"/>
      <c r="AU455" s="87"/>
      <c r="AV455" s="87"/>
      <c r="AW455" s="100"/>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87"/>
      <c r="EJ455" s="87"/>
      <c r="EK455" s="87"/>
      <c r="EL455" s="100"/>
      <c r="EM455" s="100"/>
      <c r="EN455" s="100"/>
      <c r="EO455" s="100"/>
      <c r="EP455" s="100"/>
      <c r="EQ455" s="100"/>
    </row>
    <row r="456" spans="1:147">
      <c r="A456" s="31" t="str">
        <f t="shared" si="55"/>
        <v/>
      </c>
      <c r="B456" s="110" t="s">
        <v>28</v>
      </c>
      <c r="C456" s="111" t="s">
        <v>28</v>
      </c>
      <c r="D456" s="105"/>
      <c r="E456" s="112"/>
      <c r="F456" s="105"/>
      <c r="G456" s="105"/>
      <c r="H456" s="105"/>
      <c r="I456" s="108">
        <f>SUM(I457:I583)</f>
        <v>338.17500000000138</v>
      </c>
      <c r="J456" s="108">
        <f>ROUNDUP(I456/8,0)</f>
        <v>43</v>
      </c>
      <c r="K456" s="108"/>
      <c r="L456" s="108"/>
      <c r="M456" s="108"/>
      <c r="N456" s="96"/>
      <c r="O456" s="99">
        <f t="shared" si="54"/>
        <v>-5</v>
      </c>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87"/>
      <c r="AU456" s="87"/>
      <c r="AV456" s="87"/>
      <c r="AW456" s="100"/>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v>0.5</v>
      </c>
      <c r="CW456" s="87">
        <v>0.5</v>
      </c>
      <c r="CX456" s="87">
        <v>1</v>
      </c>
      <c r="CY456" s="87">
        <v>1</v>
      </c>
      <c r="CZ456" s="87">
        <v>1</v>
      </c>
      <c r="DA456" s="87">
        <v>1</v>
      </c>
      <c r="DB456" s="87">
        <v>0.5</v>
      </c>
      <c r="DC456" s="87">
        <v>1</v>
      </c>
      <c r="DD456" s="87">
        <v>1</v>
      </c>
      <c r="DE456" s="87">
        <v>1</v>
      </c>
      <c r="DF456" s="87">
        <v>1</v>
      </c>
      <c r="DG456" s="87">
        <v>1</v>
      </c>
      <c r="DH456" s="87">
        <v>1</v>
      </c>
      <c r="DI456" s="87">
        <v>1</v>
      </c>
      <c r="DJ456" s="87">
        <v>1</v>
      </c>
      <c r="DK456" s="87">
        <v>1</v>
      </c>
      <c r="DL456" s="87">
        <v>1</v>
      </c>
      <c r="DM456" s="87">
        <v>1</v>
      </c>
      <c r="DN456" s="87">
        <v>1</v>
      </c>
      <c r="DO456" s="87">
        <v>1</v>
      </c>
      <c r="DP456" s="87">
        <v>1</v>
      </c>
      <c r="DQ456" s="87"/>
      <c r="DR456" s="87">
        <v>1</v>
      </c>
      <c r="DS456" s="87">
        <v>1</v>
      </c>
      <c r="DT456" s="87">
        <v>1</v>
      </c>
      <c r="DU456" s="87">
        <v>1</v>
      </c>
      <c r="DV456" s="87">
        <v>1</v>
      </c>
      <c r="DW456" s="87">
        <v>1</v>
      </c>
      <c r="DX456" s="87">
        <v>1</v>
      </c>
      <c r="DY456" s="87">
        <v>1</v>
      </c>
      <c r="DZ456" s="87">
        <v>1</v>
      </c>
      <c r="EA456" s="87">
        <v>1</v>
      </c>
      <c r="EB456" s="87">
        <v>1</v>
      </c>
      <c r="EC456" s="87">
        <v>1</v>
      </c>
      <c r="ED456" s="87">
        <v>1</v>
      </c>
      <c r="EE456" s="87">
        <v>1</v>
      </c>
      <c r="EF456" s="87">
        <v>1</v>
      </c>
      <c r="EG456" s="87">
        <v>1.5</v>
      </c>
      <c r="EH456" s="87">
        <v>3</v>
      </c>
      <c r="EI456" s="87">
        <v>3</v>
      </c>
      <c r="EJ456" s="87">
        <v>3</v>
      </c>
      <c r="EK456" s="87">
        <v>3</v>
      </c>
      <c r="EL456" s="100"/>
      <c r="EM456" s="100"/>
      <c r="EN456" s="100"/>
      <c r="EO456" s="100"/>
      <c r="EP456" s="100"/>
      <c r="EQ456" s="100"/>
    </row>
    <row r="457" spans="1:147" outlineLevel="1">
      <c r="A457" s="31" t="str">
        <f t="shared" si="55"/>
        <v>lt003_entitynace_esg</v>
      </c>
      <c r="B457" s="76" t="s">
        <v>28</v>
      </c>
      <c r="C457" s="77" t="s">
        <v>28</v>
      </c>
      <c r="D457" s="73" t="s">
        <v>40</v>
      </c>
      <c r="E457" s="79" t="s">
        <v>323</v>
      </c>
      <c r="F457" s="80" t="s">
        <v>324</v>
      </c>
      <c r="G457" s="73" t="str">
        <f>INDEX(Auxiliar!$B$16:$B$23,MATCH(Plano_V3!H457,Auxiliar!$C$16:$C$23,0),1)</f>
        <v>7. Por iniciar</v>
      </c>
      <c r="H457" s="73">
        <f>VLOOKUP(A457,'Aux - pivots1'!$A:$B,2,0)</f>
        <v>7</v>
      </c>
      <c r="I457" s="93">
        <f>SUMIFS(Table1[Estimação (horas)],Table1[Tabela],Plano_V3!E457,Table1[Campo],Plano_V3!F457)</f>
        <v>4.0999999999999996</v>
      </c>
      <c r="J457" s="93">
        <f t="shared" ref="J457:J520" si="59">I457/8</f>
        <v>0.51249999999999996</v>
      </c>
      <c r="K457" s="93">
        <f>SUMIFS(Table1[Horas efetivas],Table1[Tabela],Plano_V3!E457,Table1[Campo],Plano_V3!F457)</f>
        <v>0</v>
      </c>
      <c r="L457" s="93">
        <f t="shared" ref="L457:L520" si="60">K457/8</f>
        <v>0</v>
      </c>
      <c r="M457" s="93">
        <f t="shared" ref="M457:M520" si="61">L457/J457</f>
        <v>0</v>
      </c>
      <c r="N457" s="96" t="s">
        <v>325</v>
      </c>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87"/>
      <c r="AU457" s="87"/>
      <c r="AV457" s="87"/>
      <c r="AW457" s="100"/>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87"/>
      <c r="EJ457" s="87"/>
      <c r="EK457" s="87"/>
      <c r="EL457" s="100"/>
      <c r="EM457" s="100"/>
      <c r="EN457" s="100"/>
      <c r="EO457" s="100"/>
      <c r="EP457" s="100"/>
      <c r="EQ457" s="100"/>
    </row>
    <row r="458" spans="1:147" outlineLevel="1">
      <c r="A458" s="31" t="str">
        <f t="shared" si="55"/>
        <v>lt003_entitytxnmy_elgbl_capex_ccm</v>
      </c>
      <c r="B458" s="76" t="s">
        <v>28</v>
      </c>
      <c r="C458" s="77" t="s">
        <v>28</v>
      </c>
      <c r="D458" s="73" t="s">
        <v>40</v>
      </c>
      <c r="E458" s="79" t="s">
        <v>323</v>
      </c>
      <c r="F458" s="80" t="s">
        <v>326</v>
      </c>
      <c r="G458" s="73" t="str">
        <f>INDEX(Auxiliar!$B$16:$B$23,MATCH(Plano_V3!H458,Auxiliar!$C$16:$C$23,0),1)</f>
        <v>7. Por iniciar</v>
      </c>
      <c r="H458" s="73">
        <f>VLOOKUP(A458,'Aux - pivots1'!$A:$B,2,0)</f>
        <v>7</v>
      </c>
      <c r="I458" s="93">
        <f>SUMIFS(Table1[Estimação (horas)],Table1[Tabela],Plano_V3!E458,Table1[Campo],Plano_V3!F458)</f>
        <v>4.0999999999999996</v>
      </c>
      <c r="J458" s="93">
        <f t="shared" si="59"/>
        <v>0.51249999999999996</v>
      </c>
      <c r="K458" s="93">
        <f>SUMIFS(Table1[Horas efetivas],Table1[Tabela],Plano_V3!E458,Table1[Campo],Plano_V3!F458)</f>
        <v>0</v>
      </c>
      <c r="L458" s="93">
        <f t="shared" si="60"/>
        <v>0</v>
      </c>
      <c r="M458" s="93">
        <f t="shared" si="61"/>
        <v>0</v>
      </c>
      <c r="N458" s="96" t="s">
        <v>325</v>
      </c>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87"/>
      <c r="AU458" s="87"/>
      <c r="AV458" s="87"/>
      <c r="AW458" s="100"/>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87"/>
      <c r="EJ458" s="87"/>
      <c r="EK458" s="87"/>
      <c r="EL458" s="100"/>
      <c r="EM458" s="100"/>
      <c r="EN458" s="100"/>
      <c r="EO458" s="100"/>
      <c r="EP458" s="100"/>
      <c r="EQ458" s="100"/>
    </row>
    <row r="459" spans="1:147" outlineLevel="1">
      <c r="A459" s="31" t="str">
        <f t="shared" si="55"/>
        <v>lt003_entitytxnmy_elgbl_trnvr_ccm</v>
      </c>
      <c r="B459" s="76" t="s">
        <v>28</v>
      </c>
      <c r="C459" s="77" t="s">
        <v>28</v>
      </c>
      <c r="D459" s="73" t="s">
        <v>40</v>
      </c>
      <c r="E459" s="79" t="s">
        <v>323</v>
      </c>
      <c r="F459" s="80" t="s">
        <v>327</v>
      </c>
      <c r="G459" s="73" t="str">
        <f>INDEX(Auxiliar!$B$16:$B$23,MATCH(Plano_V3!H459,Auxiliar!$C$16:$C$23,0),1)</f>
        <v>7. Por iniciar</v>
      </c>
      <c r="H459" s="73">
        <f>VLOOKUP(A459,'Aux - pivots1'!$A:$B,2,0)</f>
        <v>7</v>
      </c>
      <c r="I459" s="93">
        <f>SUMIFS(Table1[Estimação (horas)],Table1[Tabela],Plano_V3!E459,Table1[Campo],Plano_V3!F459)</f>
        <v>4.0999999999999996</v>
      </c>
      <c r="J459" s="93">
        <f t="shared" si="59"/>
        <v>0.51249999999999996</v>
      </c>
      <c r="K459" s="93">
        <f>SUMIFS(Table1[Horas efetivas],Table1[Tabela],Plano_V3!E459,Table1[Campo],Plano_V3!F459)</f>
        <v>0</v>
      </c>
      <c r="L459" s="93">
        <f t="shared" si="60"/>
        <v>0</v>
      </c>
      <c r="M459" s="93">
        <f t="shared" si="61"/>
        <v>0</v>
      </c>
      <c r="N459" s="96" t="s">
        <v>325</v>
      </c>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87"/>
      <c r="AU459" s="87"/>
      <c r="AV459" s="87"/>
      <c r="AW459" s="100"/>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87"/>
      <c r="EJ459" s="87"/>
      <c r="EK459" s="87"/>
      <c r="EL459" s="100"/>
      <c r="EM459" s="100"/>
      <c r="EN459" s="100"/>
      <c r="EO459" s="100"/>
      <c r="EP459" s="100"/>
      <c r="EQ459" s="100"/>
    </row>
    <row r="460" spans="1:147" outlineLevel="1">
      <c r="A460" s="31" t="str">
        <f t="shared" si="55"/>
        <v>lt003_entitytxnmy_elgbl_capex_cca</v>
      </c>
      <c r="B460" s="76" t="s">
        <v>28</v>
      </c>
      <c r="C460" s="77" t="s">
        <v>28</v>
      </c>
      <c r="D460" s="73" t="s">
        <v>40</v>
      </c>
      <c r="E460" s="79" t="s">
        <v>323</v>
      </c>
      <c r="F460" s="80" t="s">
        <v>328</v>
      </c>
      <c r="G460" s="73" t="str">
        <f>INDEX(Auxiliar!$B$16:$B$23,MATCH(Plano_V3!H460,Auxiliar!$C$16:$C$23,0),1)</f>
        <v>7. Por iniciar</v>
      </c>
      <c r="H460" s="73">
        <f>VLOOKUP(A460,'Aux - pivots1'!$A:$B,2,0)</f>
        <v>7</v>
      </c>
      <c r="I460" s="93">
        <f>SUMIFS(Table1[Estimação (horas)],Table1[Tabela],Plano_V3!E460,Table1[Campo],Plano_V3!F460)</f>
        <v>4.0999999999999996</v>
      </c>
      <c r="J460" s="93">
        <f t="shared" si="59"/>
        <v>0.51249999999999996</v>
      </c>
      <c r="K460" s="93">
        <f>SUMIFS(Table1[Horas efetivas],Table1[Tabela],Plano_V3!E460,Table1[Campo],Plano_V3!F460)</f>
        <v>0</v>
      </c>
      <c r="L460" s="93">
        <f t="shared" si="60"/>
        <v>0</v>
      </c>
      <c r="M460" s="93">
        <f t="shared" si="61"/>
        <v>0</v>
      </c>
      <c r="N460" s="96" t="s">
        <v>325</v>
      </c>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87"/>
      <c r="AU460" s="87"/>
      <c r="AV460" s="87"/>
      <c r="AW460" s="100"/>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87"/>
      <c r="EJ460" s="87"/>
      <c r="EK460" s="87"/>
      <c r="EL460" s="100"/>
      <c r="EM460" s="100"/>
      <c r="EN460" s="100"/>
      <c r="EO460" s="100"/>
      <c r="EP460" s="100"/>
      <c r="EQ460" s="100"/>
    </row>
    <row r="461" spans="1:147" outlineLevel="1">
      <c r="A461" s="31" t="str">
        <f t="shared" si="55"/>
        <v>lt003_entitytxnmy_elgbl_trnvr_cca</v>
      </c>
      <c r="B461" s="76" t="s">
        <v>28</v>
      </c>
      <c r="C461" s="77" t="s">
        <v>28</v>
      </c>
      <c r="D461" s="73" t="s">
        <v>40</v>
      </c>
      <c r="E461" s="79" t="s">
        <v>323</v>
      </c>
      <c r="F461" s="80" t="s">
        <v>329</v>
      </c>
      <c r="G461" s="73" t="str">
        <f>INDEX(Auxiliar!$B$16:$B$23,MATCH(Plano_V3!H461,Auxiliar!$C$16:$C$23,0),1)</f>
        <v>7. Por iniciar</v>
      </c>
      <c r="H461" s="73">
        <f>VLOOKUP(A461,'Aux - pivots1'!$A:$B,2,0)</f>
        <v>7</v>
      </c>
      <c r="I461" s="93">
        <f>SUMIFS(Table1[Estimação (horas)],Table1[Tabela],Plano_V3!E461,Table1[Campo],Plano_V3!F461)</f>
        <v>4.0999999999999996</v>
      </c>
      <c r="J461" s="93">
        <f t="shared" si="59"/>
        <v>0.51249999999999996</v>
      </c>
      <c r="K461" s="93">
        <f>SUMIFS(Table1[Horas efetivas],Table1[Tabela],Plano_V3!E461,Table1[Campo],Plano_V3!F461)</f>
        <v>0</v>
      </c>
      <c r="L461" s="93">
        <f t="shared" si="60"/>
        <v>0</v>
      </c>
      <c r="M461" s="93">
        <f t="shared" si="61"/>
        <v>0</v>
      </c>
      <c r="N461" s="96" t="s">
        <v>325</v>
      </c>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87"/>
      <c r="AU461" s="87"/>
      <c r="AV461" s="87"/>
      <c r="AW461" s="100"/>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87"/>
      <c r="EJ461" s="87"/>
      <c r="EK461" s="87"/>
      <c r="EL461" s="100"/>
      <c r="EM461" s="100"/>
      <c r="EN461" s="100"/>
      <c r="EO461" s="100"/>
      <c r="EP461" s="100"/>
      <c r="EQ461" s="100"/>
    </row>
    <row r="462" spans="1:147" outlineLevel="1">
      <c r="A462" s="31" t="str">
        <f t="shared" si="55"/>
        <v>lt003_entityenblng_capex_ccm</v>
      </c>
      <c r="B462" s="76" t="s">
        <v>28</v>
      </c>
      <c r="C462" s="77" t="s">
        <v>28</v>
      </c>
      <c r="D462" s="73" t="s">
        <v>40</v>
      </c>
      <c r="E462" s="79" t="s">
        <v>323</v>
      </c>
      <c r="F462" s="80" t="s">
        <v>330</v>
      </c>
      <c r="G462" s="73" t="str">
        <f>INDEX(Auxiliar!$B$16:$B$23,MATCH(Plano_V3!H462,Auxiliar!$C$16:$C$23,0),1)</f>
        <v>7. Por iniciar</v>
      </c>
      <c r="H462" s="73">
        <f>VLOOKUP(A462,'Aux - pivots1'!$A:$B,2,0)</f>
        <v>7</v>
      </c>
      <c r="I462" s="93">
        <f>SUMIFS(Table1[Estimação (horas)],Table1[Tabela],Plano_V3!E462,Table1[Campo],Plano_V3!F462)</f>
        <v>4.0999999999999996</v>
      </c>
      <c r="J462" s="93">
        <f t="shared" si="59"/>
        <v>0.51249999999999996</v>
      </c>
      <c r="K462" s="93">
        <f>SUMIFS(Table1[Horas efetivas],Table1[Tabela],Plano_V3!E462,Table1[Campo],Plano_V3!F462)</f>
        <v>0</v>
      </c>
      <c r="L462" s="93">
        <f t="shared" si="60"/>
        <v>0</v>
      </c>
      <c r="M462" s="93">
        <f t="shared" si="61"/>
        <v>0</v>
      </c>
      <c r="N462" s="96" t="s">
        <v>325</v>
      </c>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87"/>
      <c r="AU462" s="87"/>
      <c r="AV462" s="87"/>
      <c r="AW462" s="100"/>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87"/>
      <c r="EJ462" s="87"/>
      <c r="EK462" s="87"/>
      <c r="EL462" s="100"/>
      <c r="EM462" s="100"/>
      <c r="EN462" s="100"/>
      <c r="EO462" s="100"/>
      <c r="EP462" s="100"/>
      <c r="EQ462" s="100"/>
    </row>
    <row r="463" spans="1:147" outlineLevel="1">
      <c r="A463" s="31" t="str">
        <f t="shared" si="55"/>
        <v>lt003_entityenblng_capex_cca</v>
      </c>
      <c r="B463" s="76" t="s">
        <v>28</v>
      </c>
      <c r="C463" s="77" t="s">
        <v>28</v>
      </c>
      <c r="D463" s="73" t="s">
        <v>40</v>
      </c>
      <c r="E463" s="79" t="s">
        <v>323</v>
      </c>
      <c r="F463" s="80" t="s">
        <v>331</v>
      </c>
      <c r="G463" s="73" t="str">
        <f>INDEX(Auxiliar!$B$16:$B$23,MATCH(Plano_V3!H463,Auxiliar!$C$16:$C$23,0),1)</f>
        <v>7. Por iniciar</v>
      </c>
      <c r="H463" s="73">
        <f>VLOOKUP(A463,'Aux - pivots1'!$A:$B,2,0)</f>
        <v>7</v>
      </c>
      <c r="I463" s="93">
        <f>SUMIFS(Table1[Estimação (horas)],Table1[Tabela],Plano_V3!E463,Table1[Campo],Plano_V3!F463)</f>
        <v>4.0999999999999996</v>
      </c>
      <c r="J463" s="93">
        <f t="shared" si="59"/>
        <v>0.51249999999999996</v>
      </c>
      <c r="K463" s="93">
        <f>SUMIFS(Table1[Horas efetivas],Table1[Tabela],Plano_V3!E463,Table1[Campo],Plano_V3!F463)</f>
        <v>0</v>
      </c>
      <c r="L463" s="93">
        <f t="shared" si="60"/>
        <v>0</v>
      </c>
      <c r="M463" s="93">
        <f t="shared" si="61"/>
        <v>0</v>
      </c>
      <c r="N463" s="96" t="s">
        <v>325</v>
      </c>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87"/>
      <c r="AU463" s="87"/>
      <c r="AV463" s="87"/>
      <c r="AW463" s="100"/>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87"/>
      <c r="EJ463" s="87"/>
      <c r="EK463" s="87"/>
      <c r="EL463" s="100"/>
      <c r="EM463" s="100"/>
      <c r="EN463" s="100"/>
      <c r="EO463" s="100"/>
      <c r="EP463" s="100"/>
      <c r="EQ463" s="100"/>
    </row>
    <row r="464" spans="1:147" outlineLevel="1">
      <c r="A464" s="31" t="str">
        <f t="shared" si="55"/>
        <v>lt003_entitytrnstnl_capex</v>
      </c>
      <c r="B464" s="76" t="s">
        <v>28</v>
      </c>
      <c r="C464" s="77" t="s">
        <v>28</v>
      </c>
      <c r="D464" s="73" t="s">
        <v>40</v>
      </c>
      <c r="E464" s="79" t="s">
        <v>323</v>
      </c>
      <c r="F464" s="80" t="s">
        <v>332</v>
      </c>
      <c r="G464" s="73" t="str">
        <f>INDEX(Auxiliar!$B$16:$B$23,MATCH(Plano_V3!H464,Auxiliar!$C$16:$C$23,0),1)</f>
        <v>7. Por iniciar</v>
      </c>
      <c r="H464" s="73">
        <f>VLOOKUP(A464,'Aux - pivots1'!$A:$B,2,0)</f>
        <v>7</v>
      </c>
      <c r="I464" s="93">
        <f>SUMIFS(Table1[Estimação (horas)],Table1[Tabela],Plano_V3!E464,Table1[Campo],Plano_V3!F464)</f>
        <v>4.0999999999999996</v>
      </c>
      <c r="J464" s="93">
        <f t="shared" si="59"/>
        <v>0.51249999999999996</v>
      </c>
      <c r="K464" s="93">
        <f>SUMIFS(Table1[Horas efetivas],Table1[Tabela],Plano_V3!E464,Table1[Campo],Plano_V3!F464)</f>
        <v>0</v>
      </c>
      <c r="L464" s="93">
        <f t="shared" si="60"/>
        <v>0</v>
      </c>
      <c r="M464" s="93">
        <f t="shared" si="61"/>
        <v>0</v>
      </c>
      <c r="N464" s="96" t="s">
        <v>325</v>
      </c>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87"/>
      <c r="AU464" s="87"/>
      <c r="AV464" s="87"/>
      <c r="AW464" s="100"/>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87"/>
      <c r="EJ464" s="87"/>
      <c r="EK464" s="87"/>
      <c r="EL464" s="100"/>
      <c r="EM464" s="100"/>
      <c r="EN464" s="100"/>
      <c r="EO464" s="100"/>
      <c r="EP464" s="100"/>
      <c r="EQ464" s="100"/>
    </row>
    <row r="465" spans="1:147" outlineLevel="1">
      <c r="A465" s="31" t="str">
        <f t="shared" si="55"/>
        <v>lt003_entitypure_capex_ccm</v>
      </c>
      <c r="B465" s="76" t="s">
        <v>28</v>
      </c>
      <c r="C465" s="77" t="s">
        <v>28</v>
      </c>
      <c r="D465" s="73" t="s">
        <v>40</v>
      </c>
      <c r="E465" s="79" t="s">
        <v>323</v>
      </c>
      <c r="F465" s="80" t="s">
        <v>333</v>
      </c>
      <c r="G465" s="73" t="str">
        <f>INDEX(Auxiliar!$B$16:$B$23,MATCH(Plano_V3!H465,Auxiliar!$C$16:$C$23,0),1)</f>
        <v>7. Por iniciar</v>
      </c>
      <c r="H465" s="73">
        <f>VLOOKUP(A465,'Aux - pivots1'!$A:$B,2,0)</f>
        <v>7</v>
      </c>
      <c r="I465" s="93">
        <f>SUMIFS(Table1[Estimação (horas)],Table1[Tabela],Plano_V3!E465,Table1[Campo],Plano_V3!F465)</f>
        <v>4.0999999999999996</v>
      </c>
      <c r="J465" s="93">
        <f t="shared" si="59"/>
        <v>0.51249999999999996</v>
      </c>
      <c r="K465" s="93">
        <f>SUMIFS(Table1[Horas efetivas],Table1[Tabela],Plano_V3!E465,Table1[Campo],Plano_V3!F465)</f>
        <v>0</v>
      </c>
      <c r="L465" s="93">
        <f t="shared" si="60"/>
        <v>0</v>
      </c>
      <c r="M465" s="93">
        <f t="shared" si="61"/>
        <v>0</v>
      </c>
      <c r="N465" s="96" t="s">
        <v>325</v>
      </c>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87"/>
      <c r="AU465" s="87"/>
      <c r="AV465" s="87"/>
      <c r="AW465" s="100"/>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87"/>
      <c r="EJ465" s="87"/>
      <c r="EK465" s="87"/>
      <c r="EL465" s="100"/>
      <c r="EM465" s="100"/>
      <c r="EN465" s="100"/>
      <c r="EO465" s="100"/>
      <c r="EP465" s="100"/>
      <c r="EQ465" s="100"/>
    </row>
    <row r="466" spans="1:147" outlineLevel="1">
      <c r="A466" s="31" t="str">
        <f t="shared" si="55"/>
        <v>lt003_entitypure_capex_cca</v>
      </c>
      <c r="B466" s="76" t="s">
        <v>28</v>
      </c>
      <c r="C466" s="77" t="s">
        <v>28</v>
      </c>
      <c r="D466" s="73" t="s">
        <v>40</v>
      </c>
      <c r="E466" s="79" t="s">
        <v>323</v>
      </c>
      <c r="F466" s="80" t="s">
        <v>334</v>
      </c>
      <c r="G466" s="73" t="str">
        <f>INDEX(Auxiliar!$B$16:$B$23,MATCH(Plano_V3!H466,Auxiliar!$C$16:$C$23,0),1)</f>
        <v>7. Por iniciar</v>
      </c>
      <c r="H466" s="73">
        <f>VLOOKUP(A466,'Aux - pivots1'!$A:$B,2,0)</f>
        <v>7</v>
      </c>
      <c r="I466" s="93">
        <f>SUMIFS(Table1[Estimação (horas)],Table1[Tabela],Plano_V3!E466,Table1[Campo],Plano_V3!F466)</f>
        <v>4.0999999999999996</v>
      </c>
      <c r="J466" s="93">
        <f t="shared" si="59"/>
        <v>0.51249999999999996</v>
      </c>
      <c r="K466" s="93">
        <f>SUMIFS(Table1[Horas efetivas],Table1[Tabela],Plano_V3!E466,Table1[Campo],Plano_V3!F466)</f>
        <v>0</v>
      </c>
      <c r="L466" s="93">
        <f t="shared" si="60"/>
        <v>0</v>
      </c>
      <c r="M466" s="93">
        <f t="shared" si="61"/>
        <v>0</v>
      </c>
      <c r="N466" s="96" t="s">
        <v>325</v>
      </c>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87"/>
      <c r="AU466" s="87"/>
      <c r="AV466" s="87"/>
      <c r="AW466" s="100"/>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87"/>
      <c r="EJ466" s="87"/>
      <c r="EK466" s="87"/>
      <c r="EL466" s="100"/>
      <c r="EM466" s="100"/>
      <c r="EN466" s="100"/>
      <c r="EO466" s="100"/>
      <c r="EP466" s="100"/>
      <c r="EQ466" s="100"/>
    </row>
    <row r="467" spans="1:147" outlineLevel="1">
      <c r="A467" s="31" t="str">
        <f t="shared" si="55"/>
        <v>lt003_entityenblng_trnvr_ccm</v>
      </c>
      <c r="B467" s="76" t="s">
        <v>28</v>
      </c>
      <c r="C467" s="77" t="s">
        <v>28</v>
      </c>
      <c r="D467" s="73" t="s">
        <v>40</v>
      </c>
      <c r="E467" s="79" t="s">
        <v>323</v>
      </c>
      <c r="F467" s="80" t="s">
        <v>335</v>
      </c>
      <c r="G467" s="73" t="str">
        <f>INDEX(Auxiliar!$B$16:$B$23,MATCH(Plano_V3!H467,Auxiliar!$C$16:$C$23,0),1)</f>
        <v>7. Por iniciar</v>
      </c>
      <c r="H467" s="73">
        <f>VLOOKUP(A467,'Aux - pivots1'!$A:$B,2,0)</f>
        <v>7</v>
      </c>
      <c r="I467" s="93">
        <f>SUMIFS(Table1[Estimação (horas)],Table1[Tabela],Plano_V3!E467,Table1[Campo],Plano_V3!F467)</f>
        <v>4.0999999999999996</v>
      </c>
      <c r="J467" s="93">
        <f t="shared" si="59"/>
        <v>0.51249999999999996</v>
      </c>
      <c r="K467" s="93">
        <f>SUMIFS(Table1[Horas efetivas],Table1[Tabela],Plano_V3!E467,Table1[Campo],Plano_V3!F467)</f>
        <v>0</v>
      </c>
      <c r="L467" s="93">
        <f t="shared" si="60"/>
        <v>0</v>
      </c>
      <c r="M467" s="93">
        <f t="shared" si="61"/>
        <v>0</v>
      </c>
      <c r="N467" s="96" t="s">
        <v>325</v>
      </c>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87"/>
      <c r="AU467" s="87"/>
      <c r="AV467" s="87"/>
      <c r="AW467" s="100"/>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87"/>
      <c r="EJ467" s="87"/>
      <c r="EK467" s="87"/>
      <c r="EL467" s="100"/>
      <c r="EM467" s="100"/>
      <c r="EN467" s="100"/>
      <c r="EO467" s="100"/>
      <c r="EP467" s="100"/>
      <c r="EQ467" s="100"/>
    </row>
    <row r="468" spans="1:147" outlineLevel="1">
      <c r="A468" s="31" t="str">
        <f t="shared" si="55"/>
        <v>lt003_entityenblng_trnvr_cca</v>
      </c>
      <c r="B468" s="76" t="s">
        <v>28</v>
      </c>
      <c r="C468" s="77" t="s">
        <v>28</v>
      </c>
      <c r="D468" s="73" t="s">
        <v>40</v>
      </c>
      <c r="E468" s="79" t="s">
        <v>323</v>
      </c>
      <c r="F468" s="80" t="s">
        <v>336</v>
      </c>
      <c r="G468" s="73" t="str">
        <f>INDEX(Auxiliar!$B$16:$B$23,MATCH(Plano_V3!H468,Auxiliar!$C$16:$C$23,0),1)</f>
        <v>7. Por iniciar</v>
      </c>
      <c r="H468" s="73">
        <f>VLOOKUP(A468,'Aux - pivots1'!$A:$B,2,0)</f>
        <v>7</v>
      </c>
      <c r="I468" s="93">
        <f>SUMIFS(Table1[Estimação (horas)],Table1[Tabela],Plano_V3!E468,Table1[Campo],Plano_V3!F468)</f>
        <v>4.0999999999999996</v>
      </c>
      <c r="J468" s="93">
        <f t="shared" si="59"/>
        <v>0.51249999999999996</v>
      </c>
      <c r="K468" s="93">
        <f>SUMIFS(Table1[Horas efetivas],Table1[Tabela],Plano_V3!E468,Table1[Campo],Plano_V3!F468)</f>
        <v>0</v>
      </c>
      <c r="L468" s="93">
        <f t="shared" si="60"/>
        <v>0</v>
      </c>
      <c r="M468" s="93">
        <f t="shared" si="61"/>
        <v>0</v>
      </c>
      <c r="N468" s="96" t="s">
        <v>325</v>
      </c>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87"/>
      <c r="AU468" s="87"/>
      <c r="AV468" s="87"/>
      <c r="AW468" s="100"/>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87"/>
      <c r="EJ468" s="87"/>
      <c r="EK468" s="87"/>
      <c r="EL468" s="100"/>
      <c r="EM468" s="100"/>
      <c r="EN468" s="100"/>
      <c r="EO468" s="100"/>
      <c r="EP468" s="100"/>
      <c r="EQ468" s="100"/>
    </row>
    <row r="469" spans="1:147" outlineLevel="1">
      <c r="A469" s="31" t="str">
        <f t="shared" si="55"/>
        <v>lt003_entitytrnstnl_trnvr</v>
      </c>
      <c r="B469" s="76" t="s">
        <v>28</v>
      </c>
      <c r="C469" s="77" t="s">
        <v>28</v>
      </c>
      <c r="D469" s="73" t="s">
        <v>40</v>
      </c>
      <c r="E469" s="79" t="s">
        <v>323</v>
      </c>
      <c r="F469" s="80" t="s">
        <v>337</v>
      </c>
      <c r="G469" s="73" t="str">
        <f>INDEX(Auxiliar!$B$16:$B$23,MATCH(Plano_V3!H469,Auxiliar!$C$16:$C$23,0),1)</f>
        <v>7. Por iniciar</v>
      </c>
      <c r="H469" s="73">
        <f>VLOOKUP(A469,'Aux - pivots1'!$A:$B,2,0)</f>
        <v>7</v>
      </c>
      <c r="I469" s="93">
        <f>SUMIFS(Table1[Estimação (horas)],Table1[Tabela],Plano_V3!E469,Table1[Campo],Plano_V3!F469)</f>
        <v>4.0999999999999996</v>
      </c>
      <c r="J469" s="93">
        <f t="shared" si="59"/>
        <v>0.51249999999999996</v>
      </c>
      <c r="K469" s="93">
        <f>SUMIFS(Table1[Horas efetivas],Table1[Tabela],Plano_V3!E469,Table1[Campo],Plano_V3!F469)</f>
        <v>0</v>
      </c>
      <c r="L469" s="93">
        <f t="shared" si="60"/>
        <v>0</v>
      </c>
      <c r="M469" s="93">
        <f t="shared" si="61"/>
        <v>0</v>
      </c>
      <c r="N469" s="96" t="s">
        <v>325</v>
      </c>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87"/>
      <c r="AU469" s="87"/>
      <c r="AV469" s="87"/>
      <c r="AW469" s="100"/>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87"/>
      <c r="EJ469" s="87"/>
      <c r="EK469" s="87"/>
      <c r="EL469" s="100"/>
      <c r="EM469" s="100"/>
      <c r="EN469" s="100"/>
      <c r="EO469" s="100"/>
      <c r="EP469" s="100"/>
      <c r="EQ469" s="100"/>
    </row>
    <row r="470" spans="1:147" outlineLevel="1">
      <c r="A470" s="31" t="str">
        <f t="shared" si="55"/>
        <v>lt003_entitypure_trnvr_ccm</v>
      </c>
      <c r="B470" s="76" t="s">
        <v>28</v>
      </c>
      <c r="C470" s="77" t="s">
        <v>28</v>
      </c>
      <c r="D470" s="73" t="s">
        <v>40</v>
      </c>
      <c r="E470" s="79" t="s">
        <v>323</v>
      </c>
      <c r="F470" s="80" t="s">
        <v>338</v>
      </c>
      <c r="G470" s="73" t="str">
        <f>INDEX(Auxiliar!$B$16:$B$23,MATCH(Plano_V3!H470,Auxiliar!$C$16:$C$23,0),1)</f>
        <v>7. Por iniciar</v>
      </c>
      <c r="H470" s="73">
        <f>VLOOKUP(A470,'Aux - pivots1'!$A:$B,2,0)</f>
        <v>7</v>
      </c>
      <c r="I470" s="93">
        <f>SUMIFS(Table1[Estimação (horas)],Table1[Tabela],Plano_V3!E470,Table1[Campo],Plano_V3!F470)</f>
        <v>4.0999999999999996</v>
      </c>
      <c r="J470" s="93">
        <f t="shared" si="59"/>
        <v>0.51249999999999996</v>
      </c>
      <c r="K470" s="93">
        <f>SUMIFS(Table1[Horas efetivas],Table1[Tabela],Plano_V3!E470,Table1[Campo],Plano_V3!F470)</f>
        <v>0</v>
      </c>
      <c r="L470" s="93">
        <f t="shared" si="60"/>
        <v>0</v>
      </c>
      <c r="M470" s="93">
        <f t="shared" si="61"/>
        <v>0</v>
      </c>
      <c r="N470" s="96" t="s">
        <v>325</v>
      </c>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87"/>
      <c r="AU470" s="87"/>
      <c r="AV470" s="87"/>
      <c r="AW470" s="100"/>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87"/>
      <c r="EJ470" s="87"/>
      <c r="EK470" s="87"/>
      <c r="EL470" s="100"/>
      <c r="EM470" s="100"/>
      <c r="EN470" s="100"/>
      <c r="EO470" s="100"/>
      <c r="EP470" s="100"/>
      <c r="EQ470" s="100"/>
    </row>
    <row r="471" spans="1:147" outlineLevel="1">
      <c r="A471" s="31" t="str">
        <f t="shared" si="55"/>
        <v>lt003_entitypure_trnvr_cca</v>
      </c>
      <c r="B471" s="76" t="s">
        <v>28</v>
      </c>
      <c r="C471" s="77" t="s">
        <v>28</v>
      </c>
      <c r="D471" s="73" t="s">
        <v>40</v>
      </c>
      <c r="E471" s="79" t="s">
        <v>323</v>
      </c>
      <c r="F471" s="80" t="s">
        <v>339</v>
      </c>
      <c r="G471" s="73" t="str">
        <f>INDEX(Auxiliar!$B$16:$B$23,MATCH(Plano_V3!H471,Auxiliar!$C$16:$C$23,0),1)</f>
        <v>7. Por iniciar</v>
      </c>
      <c r="H471" s="73">
        <f>VLOOKUP(A471,'Aux - pivots1'!$A:$B,2,0)</f>
        <v>7</v>
      </c>
      <c r="I471" s="93">
        <f>SUMIFS(Table1[Estimação (horas)],Table1[Tabela],Plano_V3!E471,Table1[Campo],Plano_V3!F471)</f>
        <v>4.0999999999999996</v>
      </c>
      <c r="J471" s="93">
        <f t="shared" si="59"/>
        <v>0.51249999999999996</v>
      </c>
      <c r="K471" s="93">
        <f>SUMIFS(Table1[Horas efetivas],Table1[Tabela],Plano_V3!E471,Table1[Campo],Plano_V3!F471)</f>
        <v>0</v>
      </c>
      <c r="L471" s="93">
        <f t="shared" si="60"/>
        <v>0</v>
      </c>
      <c r="M471" s="93">
        <f t="shared" si="61"/>
        <v>0</v>
      </c>
      <c r="N471" s="96" t="s">
        <v>325</v>
      </c>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87"/>
      <c r="AU471" s="87"/>
      <c r="AV471" s="87"/>
      <c r="AW471" s="100"/>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87"/>
      <c r="EJ471" s="87"/>
      <c r="EK471" s="87"/>
      <c r="EL471" s="100"/>
      <c r="EM471" s="100"/>
      <c r="EN471" s="100"/>
      <c r="EO471" s="100"/>
      <c r="EP471" s="100"/>
      <c r="EQ471" s="100"/>
    </row>
    <row r="472" spans="1:147" outlineLevel="1">
      <c r="A472" s="31" t="str">
        <f t="shared" si="55"/>
        <v>lt003_entityflg_nfrd_applcblty</v>
      </c>
      <c r="B472" s="76" t="s">
        <v>28</v>
      </c>
      <c r="C472" s="77" t="s">
        <v>28</v>
      </c>
      <c r="D472" s="73" t="s">
        <v>40</v>
      </c>
      <c r="E472" s="79" t="s">
        <v>323</v>
      </c>
      <c r="F472" s="80" t="s">
        <v>340</v>
      </c>
      <c r="G472" s="73" t="str">
        <f>INDEX(Auxiliar!$B$16:$B$23,MATCH(Plano_V3!H472,Auxiliar!$C$16:$C$23,0),1)</f>
        <v>7. Por iniciar</v>
      </c>
      <c r="H472" s="73">
        <f>VLOOKUP(A472,'Aux - pivots1'!$A:$B,2,0)</f>
        <v>7</v>
      </c>
      <c r="I472" s="93">
        <f>SUMIFS(Table1[Estimação (horas)],Table1[Tabela],Plano_V3!E472,Table1[Campo],Plano_V3!F472)</f>
        <v>4.0999999999999996</v>
      </c>
      <c r="J472" s="93">
        <f t="shared" si="59"/>
        <v>0.51249999999999996</v>
      </c>
      <c r="K472" s="93">
        <f>SUMIFS(Table1[Horas efetivas],Table1[Tabela],Plano_V3!E472,Table1[Campo],Plano_V3!F472)</f>
        <v>0</v>
      </c>
      <c r="L472" s="93">
        <f t="shared" si="60"/>
        <v>0</v>
      </c>
      <c r="M472" s="93">
        <f t="shared" si="61"/>
        <v>0</v>
      </c>
      <c r="N472" s="96" t="s">
        <v>325</v>
      </c>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87"/>
      <c r="AU472" s="87"/>
      <c r="AV472" s="87"/>
      <c r="AW472" s="100"/>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87"/>
      <c r="EJ472" s="87"/>
      <c r="EK472" s="87"/>
      <c r="EL472" s="100"/>
      <c r="EM472" s="100"/>
      <c r="EN472" s="100"/>
      <c r="EO472" s="100"/>
      <c r="EP472" s="100"/>
      <c r="EQ472" s="100"/>
    </row>
    <row r="473" spans="1:147" outlineLevel="1">
      <c r="A473" s="31" t="str">
        <f t="shared" si="55"/>
        <v>lt003_entitycntrprty_emssns_scp1</v>
      </c>
      <c r="B473" s="76" t="s">
        <v>28</v>
      </c>
      <c r="C473" s="77" t="s">
        <v>28</v>
      </c>
      <c r="D473" s="73" t="s">
        <v>40</v>
      </c>
      <c r="E473" s="79" t="s">
        <v>323</v>
      </c>
      <c r="F473" s="80" t="s">
        <v>341</v>
      </c>
      <c r="G473" s="73" t="str">
        <f>INDEX(Auxiliar!$B$16:$B$23,MATCH(Plano_V3!H473,Auxiliar!$C$16:$C$23,0),1)</f>
        <v>7. Por iniciar</v>
      </c>
      <c r="H473" s="73">
        <f>VLOOKUP(A473,'Aux - pivots1'!$A:$B,2,0)</f>
        <v>7</v>
      </c>
      <c r="I473" s="93">
        <f>SUMIFS(Table1[Estimação (horas)],Table1[Tabela],Plano_V3!E473,Table1[Campo],Plano_V3!F473)</f>
        <v>4.0999999999999996</v>
      </c>
      <c r="J473" s="93">
        <f t="shared" si="59"/>
        <v>0.51249999999999996</v>
      </c>
      <c r="K473" s="93">
        <f>SUMIFS(Table1[Horas efetivas],Table1[Tabela],Plano_V3!E473,Table1[Campo],Plano_V3!F473)</f>
        <v>0</v>
      </c>
      <c r="L473" s="93">
        <f t="shared" si="60"/>
        <v>0</v>
      </c>
      <c r="M473" s="93">
        <f t="shared" si="61"/>
        <v>0</v>
      </c>
      <c r="N473" s="96" t="s">
        <v>325</v>
      </c>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87"/>
      <c r="AU473" s="87"/>
      <c r="AV473" s="87"/>
      <c r="AW473" s="100"/>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87"/>
      <c r="EJ473" s="87"/>
      <c r="EK473" s="87"/>
      <c r="EL473" s="100"/>
      <c r="EM473" s="100"/>
      <c r="EN473" s="100"/>
      <c r="EO473" s="100"/>
      <c r="EP473" s="100"/>
      <c r="EQ473" s="100"/>
    </row>
    <row r="474" spans="1:147" outlineLevel="1">
      <c r="A474" s="31" t="str">
        <f t="shared" si="55"/>
        <v>lt003_entitycntrprty_emssns_scp2</v>
      </c>
      <c r="B474" s="76" t="s">
        <v>28</v>
      </c>
      <c r="C474" s="77" t="s">
        <v>28</v>
      </c>
      <c r="D474" s="73" t="s">
        <v>40</v>
      </c>
      <c r="E474" s="79" t="s">
        <v>323</v>
      </c>
      <c r="F474" s="80" t="s">
        <v>342</v>
      </c>
      <c r="G474" s="73" t="str">
        <f>INDEX(Auxiliar!$B$16:$B$23,MATCH(Plano_V3!H474,Auxiliar!$C$16:$C$23,0),1)</f>
        <v>7. Por iniciar</v>
      </c>
      <c r="H474" s="73">
        <f>VLOOKUP(A474,'Aux - pivots1'!$A:$B,2,0)</f>
        <v>7</v>
      </c>
      <c r="I474" s="93">
        <f>SUMIFS(Table1[Estimação (horas)],Table1[Tabela],Plano_V3!E474,Table1[Campo],Plano_V3!F474)</f>
        <v>4.0999999999999996</v>
      </c>
      <c r="J474" s="93">
        <f t="shared" si="59"/>
        <v>0.51249999999999996</v>
      </c>
      <c r="K474" s="93">
        <f>SUMIFS(Table1[Horas efetivas],Table1[Tabela],Plano_V3!E474,Table1[Campo],Plano_V3!F474)</f>
        <v>0</v>
      </c>
      <c r="L474" s="93">
        <f t="shared" si="60"/>
        <v>0</v>
      </c>
      <c r="M474" s="93">
        <f t="shared" si="61"/>
        <v>0</v>
      </c>
      <c r="N474" s="96" t="s">
        <v>325</v>
      </c>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87"/>
      <c r="AU474" s="87"/>
      <c r="AV474" s="87"/>
      <c r="AW474" s="100"/>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87"/>
      <c r="EJ474" s="87"/>
      <c r="EK474" s="87"/>
      <c r="EL474" s="100"/>
      <c r="EM474" s="100"/>
      <c r="EN474" s="100"/>
      <c r="EO474" s="100"/>
      <c r="EP474" s="100"/>
      <c r="EQ474" s="100"/>
    </row>
    <row r="475" spans="1:147" outlineLevel="1">
      <c r="A475" s="31" t="str">
        <f t="shared" si="55"/>
        <v>lt003_entitycntrprty_emssns_scp3</v>
      </c>
      <c r="B475" s="76" t="s">
        <v>28</v>
      </c>
      <c r="C475" s="77" t="s">
        <v>28</v>
      </c>
      <c r="D475" s="73" t="s">
        <v>40</v>
      </c>
      <c r="E475" s="79" t="s">
        <v>323</v>
      </c>
      <c r="F475" s="80" t="s">
        <v>343</v>
      </c>
      <c r="G475" s="73" t="str">
        <f>INDEX(Auxiliar!$B$16:$B$23,MATCH(Plano_V3!H475,Auxiliar!$C$16:$C$23,0),1)</f>
        <v>7. Por iniciar</v>
      </c>
      <c r="H475" s="73">
        <f>VLOOKUP(A475,'Aux - pivots1'!$A:$B,2,0)</f>
        <v>7</v>
      </c>
      <c r="I475" s="93">
        <f>SUMIFS(Table1[Estimação (horas)],Table1[Tabela],Plano_V3!E475,Table1[Campo],Plano_V3!F475)</f>
        <v>4.0999999999999996</v>
      </c>
      <c r="J475" s="93">
        <f t="shared" si="59"/>
        <v>0.51249999999999996</v>
      </c>
      <c r="K475" s="93">
        <f>SUMIFS(Table1[Horas efetivas],Table1[Tabela],Plano_V3!E475,Table1[Campo],Plano_V3!F475)</f>
        <v>0</v>
      </c>
      <c r="L475" s="93">
        <f t="shared" si="60"/>
        <v>0</v>
      </c>
      <c r="M475" s="93">
        <f t="shared" si="61"/>
        <v>0</v>
      </c>
      <c r="N475" s="96" t="s">
        <v>325</v>
      </c>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87"/>
      <c r="AU475" s="87"/>
      <c r="AV475" s="87"/>
      <c r="AW475" s="100"/>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87"/>
      <c r="EJ475" s="87"/>
      <c r="EK475" s="87"/>
      <c r="EL475" s="100"/>
      <c r="EM475" s="100"/>
      <c r="EN475" s="100"/>
      <c r="EO475" s="100"/>
      <c r="EP475" s="100"/>
      <c r="EQ475" s="100"/>
    </row>
    <row r="476" spans="1:147" outlineLevel="1">
      <c r="A476" s="31" t="str">
        <f t="shared" si="55"/>
        <v>lt003_entityflg_excldd_eu_prs_algnd_bnchmrk</v>
      </c>
      <c r="B476" s="76" t="s">
        <v>28</v>
      </c>
      <c r="C476" s="77" t="s">
        <v>28</v>
      </c>
      <c r="D476" s="73" t="s">
        <v>40</v>
      </c>
      <c r="E476" s="79" t="s">
        <v>323</v>
      </c>
      <c r="F476" s="80" t="s">
        <v>344</v>
      </c>
      <c r="G476" s="73" t="str">
        <f>INDEX(Auxiliar!$B$16:$B$23,MATCH(Plano_V3!H476,Auxiliar!$C$16:$C$23,0),1)</f>
        <v>7. Por iniciar</v>
      </c>
      <c r="H476" s="73">
        <f>VLOOKUP(A476,'Aux - pivots1'!$A:$B,2,0)</f>
        <v>7</v>
      </c>
      <c r="I476" s="93">
        <f>SUMIFS(Table1[Estimação (horas)],Table1[Tabela],Plano_V3!E476,Table1[Campo],Plano_V3!F476)</f>
        <v>4.0999999999999996</v>
      </c>
      <c r="J476" s="93">
        <f t="shared" si="59"/>
        <v>0.51249999999999996</v>
      </c>
      <c r="K476" s="93">
        <f>SUMIFS(Table1[Horas efetivas],Table1[Tabela],Plano_V3!E476,Table1[Campo],Plano_V3!F476)</f>
        <v>0</v>
      </c>
      <c r="L476" s="93">
        <f t="shared" si="60"/>
        <v>0</v>
      </c>
      <c r="M476" s="93">
        <f t="shared" si="61"/>
        <v>0</v>
      </c>
      <c r="N476" s="96" t="s">
        <v>325</v>
      </c>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87"/>
      <c r="AU476" s="87"/>
      <c r="AV476" s="87"/>
      <c r="AW476" s="100"/>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87"/>
      <c r="EJ476" s="87"/>
      <c r="EK476" s="87"/>
      <c r="EL476" s="100"/>
      <c r="EM476" s="100"/>
      <c r="EN476" s="100"/>
      <c r="EO476" s="100"/>
      <c r="EP476" s="100"/>
      <c r="EQ476" s="100"/>
    </row>
    <row r="477" spans="1:147" outlineLevel="1">
      <c r="A477" s="31" t="str">
        <f t="shared" si="55"/>
        <v>lt003_entityflg_act_physcl_rsk</v>
      </c>
      <c r="B477" s="76" t="s">
        <v>28</v>
      </c>
      <c r="C477" s="77" t="s">
        <v>28</v>
      </c>
      <c r="D477" s="73" t="s">
        <v>40</v>
      </c>
      <c r="E477" s="79" t="s">
        <v>323</v>
      </c>
      <c r="F477" s="80" t="s">
        <v>345</v>
      </c>
      <c r="G477" s="73" t="str">
        <f>INDEX(Auxiliar!$B$16:$B$23,MATCH(Plano_V3!H477,Auxiliar!$C$16:$C$23,0),1)</f>
        <v>7. Por iniciar</v>
      </c>
      <c r="H477" s="73">
        <f>VLOOKUP(A477,'Aux - pivots1'!$A:$B,2,0)</f>
        <v>7</v>
      </c>
      <c r="I477" s="93">
        <f>SUMIFS(Table1[Estimação (horas)],Table1[Tabela],Plano_V3!E477,Table1[Campo],Plano_V3!F477)</f>
        <v>4.0999999999999996</v>
      </c>
      <c r="J477" s="93">
        <f t="shared" si="59"/>
        <v>0.51249999999999996</v>
      </c>
      <c r="K477" s="93">
        <f>SUMIFS(Table1[Horas efetivas],Table1[Tabela],Plano_V3!E477,Table1[Campo],Plano_V3!F477)</f>
        <v>0</v>
      </c>
      <c r="L477" s="93">
        <f t="shared" si="60"/>
        <v>0</v>
      </c>
      <c r="M477" s="93">
        <f t="shared" si="61"/>
        <v>0</v>
      </c>
      <c r="N477" s="96" t="s">
        <v>325</v>
      </c>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87"/>
      <c r="AU477" s="87"/>
      <c r="AV477" s="87"/>
      <c r="AW477" s="100"/>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87"/>
      <c r="EJ477" s="87"/>
      <c r="EK477" s="87"/>
      <c r="EL477" s="100"/>
      <c r="EM477" s="100"/>
      <c r="EN477" s="100"/>
      <c r="EO477" s="100"/>
      <c r="EP477" s="100"/>
      <c r="EQ477" s="100"/>
    </row>
    <row r="478" spans="1:147" outlineLevel="1">
      <c r="A478" s="31" t="str">
        <f t="shared" si="55"/>
        <v>lt003_entityflg_chrnc_physcl_rsk</v>
      </c>
      <c r="B478" s="76" t="s">
        <v>28</v>
      </c>
      <c r="C478" s="77" t="s">
        <v>28</v>
      </c>
      <c r="D478" s="73" t="s">
        <v>40</v>
      </c>
      <c r="E478" s="79" t="s">
        <v>323</v>
      </c>
      <c r="F478" s="80" t="s">
        <v>346</v>
      </c>
      <c r="G478" s="73" t="str">
        <f>INDEX(Auxiliar!$B$16:$B$23,MATCH(Plano_V3!H478,Auxiliar!$C$16:$C$23,0),1)</f>
        <v>7. Por iniciar</v>
      </c>
      <c r="H478" s="73">
        <f>VLOOKUP(A478,'Aux - pivots1'!$A:$B,2,0)</f>
        <v>7</v>
      </c>
      <c r="I478" s="93">
        <f>SUMIFS(Table1[Estimação (horas)],Table1[Tabela],Plano_V3!E478,Table1[Campo],Plano_V3!F478)</f>
        <v>4.0999999999999996</v>
      </c>
      <c r="J478" s="93">
        <f t="shared" si="59"/>
        <v>0.51249999999999996</v>
      </c>
      <c r="K478" s="93">
        <f>SUMIFS(Table1[Horas efetivas],Table1[Tabela],Plano_V3!E478,Table1[Campo],Plano_V3!F478)</f>
        <v>0</v>
      </c>
      <c r="L478" s="93">
        <f t="shared" si="60"/>
        <v>0</v>
      </c>
      <c r="M478" s="93">
        <f t="shared" si="61"/>
        <v>0</v>
      </c>
      <c r="N478" s="96" t="s">
        <v>325</v>
      </c>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87"/>
      <c r="AU478" s="87"/>
      <c r="AV478" s="87"/>
      <c r="AW478" s="100"/>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87"/>
      <c r="EJ478" s="87"/>
      <c r="EK478" s="87"/>
      <c r="EL478" s="100"/>
      <c r="EM478" s="100"/>
      <c r="EN478" s="100"/>
      <c r="EO478" s="100"/>
      <c r="EP478" s="100"/>
      <c r="EQ478" s="100"/>
    </row>
    <row r="479" spans="1:147" outlineLevel="1">
      <c r="A479" s="31" t="str">
        <f t="shared" si="55"/>
        <v>lt003_entitypst_cd</v>
      </c>
      <c r="B479" s="76" t="s">
        <v>28</v>
      </c>
      <c r="C479" s="77" t="s">
        <v>28</v>
      </c>
      <c r="D479" s="73" t="s">
        <v>40</v>
      </c>
      <c r="E479" s="79" t="s">
        <v>323</v>
      </c>
      <c r="F479" s="80" t="s">
        <v>347</v>
      </c>
      <c r="G479" s="73" t="str">
        <f>INDEX(Auxiliar!$B$16:$B$23,MATCH(Plano_V3!H479,Auxiliar!$C$16:$C$23,0),1)</f>
        <v>7. Por iniciar</v>
      </c>
      <c r="H479" s="73">
        <f>VLOOKUP(A479,'Aux - pivots1'!$A:$B,2,0)</f>
        <v>7</v>
      </c>
      <c r="I479" s="93">
        <f>SUMIFS(Table1[Estimação (horas)],Table1[Tabela],Plano_V3!E479,Table1[Campo],Plano_V3!F479)</f>
        <v>4.0999999999999996</v>
      </c>
      <c r="J479" s="93">
        <f t="shared" si="59"/>
        <v>0.51249999999999996</v>
      </c>
      <c r="K479" s="93">
        <f>SUMIFS(Table1[Horas efetivas],Table1[Tabela],Plano_V3!E479,Table1[Campo],Plano_V3!F479)</f>
        <v>0</v>
      </c>
      <c r="L479" s="93">
        <f t="shared" si="60"/>
        <v>0</v>
      </c>
      <c r="M479" s="93">
        <f t="shared" si="61"/>
        <v>0</v>
      </c>
      <c r="N479" s="96" t="s">
        <v>325</v>
      </c>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87"/>
      <c r="AU479" s="87"/>
      <c r="AV479" s="87"/>
      <c r="AW479" s="100"/>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87"/>
      <c r="EJ479" s="87"/>
      <c r="EK479" s="87"/>
      <c r="EL479" s="100"/>
      <c r="EM479" s="100"/>
      <c r="EN479" s="100"/>
      <c r="EO479" s="100"/>
      <c r="EP479" s="100"/>
      <c r="EQ479" s="100"/>
    </row>
    <row r="480" spans="1:147" outlineLevel="1">
      <c r="A480" s="31" t="str">
        <f t="shared" si="55"/>
        <v>lt003_entityesg_sbsctr</v>
      </c>
      <c r="B480" s="76" t="s">
        <v>28</v>
      </c>
      <c r="C480" s="77" t="s">
        <v>28</v>
      </c>
      <c r="D480" s="73" t="s">
        <v>40</v>
      </c>
      <c r="E480" s="79" t="s">
        <v>323</v>
      </c>
      <c r="F480" s="80" t="s">
        <v>348</v>
      </c>
      <c r="G480" s="73" t="str">
        <f>INDEX(Auxiliar!$B$16:$B$23,MATCH(Plano_V3!H480,Auxiliar!$C$16:$C$23,0),1)</f>
        <v>7. Por iniciar</v>
      </c>
      <c r="H480" s="73">
        <f>VLOOKUP(A480,'Aux - pivots1'!$A:$B,2,0)</f>
        <v>7</v>
      </c>
      <c r="I480" s="93">
        <f>SUMIFS(Table1[Estimação (horas)],Table1[Tabela],Plano_V3!E480,Table1[Campo],Plano_V3!F480)</f>
        <v>4.0999999999999996</v>
      </c>
      <c r="J480" s="93">
        <f t="shared" si="59"/>
        <v>0.51249999999999996</v>
      </c>
      <c r="K480" s="93">
        <f>SUMIFS(Table1[Horas efetivas],Table1[Tabela],Plano_V3!E480,Table1[Campo],Plano_V3!F480)</f>
        <v>0</v>
      </c>
      <c r="L480" s="93">
        <f t="shared" si="60"/>
        <v>0</v>
      </c>
      <c r="M480" s="93">
        <f t="shared" si="61"/>
        <v>0</v>
      </c>
      <c r="N480" s="96" t="s">
        <v>325</v>
      </c>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87"/>
      <c r="AU480" s="87"/>
      <c r="AV480" s="87"/>
      <c r="AW480" s="100"/>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87"/>
      <c r="EJ480" s="87"/>
      <c r="EK480" s="87"/>
      <c r="EL480" s="100"/>
      <c r="EM480" s="100"/>
      <c r="EN480" s="100"/>
      <c r="EO480" s="100"/>
      <c r="EP480" s="100"/>
      <c r="EQ480" s="100"/>
    </row>
    <row r="481" spans="1:147" outlineLevel="1">
      <c r="A481" s="31" t="str">
        <f t="shared" si="55"/>
        <v>lt003_entityttl_lblty</v>
      </c>
      <c r="B481" s="76" t="s">
        <v>28</v>
      </c>
      <c r="C481" s="77" t="s">
        <v>28</v>
      </c>
      <c r="D481" s="73" t="s">
        <v>40</v>
      </c>
      <c r="E481" s="79" t="s">
        <v>323</v>
      </c>
      <c r="F481" s="80" t="s">
        <v>349</v>
      </c>
      <c r="G481" s="73" t="str">
        <f>INDEX(Auxiliar!$B$16:$B$23,MATCH(Plano_V3!H481,Auxiliar!$C$16:$C$23,0),1)</f>
        <v>7. Por iniciar</v>
      </c>
      <c r="H481" s="73">
        <f>VLOOKUP(A481,'Aux - pivots1'!$A:$B,2,0)</f>
        <v>7</v>
      </c>
      <c r="I481" s="93">
        <f>SUMIFS(Table1[Estimação (horas)],Table1[Tabela],Plano_V3!E481,Table1[Campo],Plano_V3!F481)</f>
        <v>4.0999999999999996</v>
      </c>
      <c r="J481" s="93">
        <f t="shared" si="59"/>
        <v>0.51249999999999996</v>
      </c>
      <c r="K481" s="93">
        <f>SUMIFS(Table1[Horas efetivas],Table1[Tabela],Plano_V3!E481,Table1[Campo],Plano_V3!F481)</f>
        <v>0</v>
      </c>
      <c r="L481" s="93">
        <f t="shared" si="60"/>
        <v>0</v>
      </c>
      <c r="M481" s="93">
        <f t="shared" si="61"/>
        <v>0</v>
      </c>
      <c r="N481" s="96" t="s">
        <v>325</v>
      </c>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87"/>
      <c r="AU481" s="87"/>
      <c r="AV481" s="87"/>
      <c r="AW481" s="100"/>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87"/>
      <c r="EJ481" s="87"/>
      <c r="EK481" s="87"/>
      <c r="EL481" s="100"/>
      <c r="EM481" s="100"/>
      <c r="EN481" s="100"/>
      <c r="EO481" s="100"/>
      <c r="EP481" s="100"/>
      <c r="EQ481" s="100"/>
    </row>
    <row r="482" spans="1:147" outlineLevel="1">
      <c r="A482" s="31" t="str">
        <f t="shared" si="55"/>
        <v>lt003_entityisin</v>
      </c>
      <c r="B482" s="76" t="s">
        <v>28</v>
      </c>
      <c r="C482" s="77" t="s">
        <v>28</v>
      </c>
      <c r="D482" s="73" t="s">
        <v>40</v>
      </c>
      <c r="E482" s="79" t="s">
        <v>323</v>
      </c>
      <c r="F482" s="80" t="s">
        <v>230</v>
      </c>
      <c r="G482" s="73" t="str">
        <f>INDEX(Auxiliar!$B$16:$B$23,MATCH(Plano_V3!H482,Auxiliar!$C$16:$C$23,0),1)</f>
        <v>7. Por iniciar</v>
      </c>
      <c r="H482" s="73">
        <f>VLOOKUP(A482,'Aux - pivots1'!$A:$B,2,0)</f>
        <v>7</v>
      </c>
      <c r="I482" s="93">
        <f>SUMIFS(Table1[Estimação (horas)],Table1[Tabela],Plano_V3!E482,Table1[Campo],Plano_V3!F482)</f>
        <v>4.0999999999999996</v>
      </c>
      <c r="J482" s="93">
        <f t="shared" si="59"/>
        <v>0.51249999999999996</v>
      </c>
      <c r="K482" s="93">
        <f>SUMIFS(Table1[Horas efetivas],Table1[Tabela],Plano_V3!E482,Table1[Campo],Plano_V3!F482)</f>
        <v>0</v>
      </c>
      <c r="L482" s="93">
        <f t="shared" si="60"/>
        <v>0</v>
      </c>
      <c r="M482" s="93">
        <f t="shared" si="61"/>
        <v>0</v>
      </c>
      <c r="N482" s="96" t="s">
        <v>325</v>
      </c>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87"/>
      <c r="AU482" s="87"/>
      <c r="AV482" s="87"/>
      <c r="AW482" s="100"/>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87"/>
      <c r="EJ482" s="87"/>
      <c r="EK482" s="87"/>
      <c r="EL482" s="100"/>
      <c r="EM482" s="100"/>
      <c r="EN482" s="100"/>
      <c r="EO482" s="100"/>
      <c r="EP482" s="100"/>
      <c r="EQ482" s="100"/>
    </row>
    <row r="483" spans="1:147" outlineLevel="1">
      <c r="A483" s="31" t="str">
        <f t="shared" si="55"/>
        <v>lt003_entitygrp_annl_trnvr_le</v>
      </c>
      <c r="B483" s="76" t="s">
        <v>28</v>
      </c>
      <c r="C483" s="77" t="s">
        <v>28</v>
      </c>
      <c r="D483" s="73" t="s">
        <v>40</v>
      </c>
      <c r="E483" s="79" t="s">
        <v>323</v>
      </c>
      <c r="F483" s="80" t="s">
        <v>350</v>
      </c>
      <c r="G483" s="73" t="str">
        <f>INDEX(Auxiliar!$B$16:$B$23,MATCH(Plano_V3!H483,Auxiliar!$C$16:$C$23,0),1)</f>
        <v>7. Por iniciar</v>
      </c>
      <c r="H483" s="73">
        <f>VLOOKUP(A483,'Aux - pivots1'!$A:$B,2,0)</f>
        <v>7</v>
      </c>
      <c r="I483" s="93">
        <f>SUMIFS(Table1[Estimação (horas)],Table1[Tabela],Plano_V3!E483,Table1[Campo],Plano_V3!F483)</f>
        <v>4.0999999999999996</v>
      </c>
      <c r="J483" s="93">
        <f t="shared" si="59"/>
        <v>0.51249999999999996</v>
      </c>
      <c r="K483" s="93">
        <f>SUMIFS(Table1[Horas efetivas],Table1[Tabela],Plano_V3!E483,Table1[Campo],Plano_V3!F483)</f>
        <v>0</v>
      </c>
      <c r="L483" s="93">
        <f t="shared" si="60"/>
        <v>0</v>
      </c>
      <c r="M483" s="93">
        <f t="shared" si="61"/>
        <v>0</v>
      </c>
      <c r="N483" s="96" t="s">
        <v>325</v>
      </c>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87"/>
      <c r="AU483" s="87"/>
      <c r="AV483" s="87"/>
      <c r="AW483" s="100"/>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87"/>
      <c r="EJ483" s="87"/>
      <c r="EK483" s="87"/>
      <c r="EL483" s="100"/>
      <c r="EM483" s="100"/>
      <c r="EN483" s="100"/>
      <c r="EO483" s="100"/>
      <c r="EP483" s="100"/>
      <c r="EQ483" s="100"/>
    </row>
    <row r="484" spans="1:147" outlineLevel="1">
      <c r="A484" s="31" t="str">
        <f t="shared" si="55"/>
        <v>lt003_entitygrp_ttl_lblty</v>
      </c>
      <c r="B484" s="76" t="s">
        <v>28</v>
      </c>
      <c r="C484" s="77" t="s">
        <v>28</v>
      </c>
      <c r="D484" s="73" t="s">
        <v>40</v>
      </c>
      <c r="E484" s="79" t="s">
        <v>323</v>
      </c>
      <c r="F484" s="80" t="s">
        <v>351</v>
      </c>
      <c r="G484" s="73" t="str">
        <f>INDEX(Auxiliar!$B$16:$B$23,MATCH(Plano_V3!H484,Auxiliar!$C$16:$C$23,0),1)</f>
        <v>7. Por iniciar</v>
      </c>
      <c r="H484" s="73">
        <f>VLOOKUP(A484,'Aux - pivots1'!$A:$B,2,0)</f>
        <v>7</v>
      </c>
      <c r="I484" s="93">
        <f>SUMIFS(Table1[Estimação (horas)],Table1[Tabela],Plano_V3!E484,Table1[Campo],Plano_V3!F484)</f>
        <v>4.0999999999999996</v>
      </c>
      <c r="J484" s="93">
        <f t="shared" si="59"/>
        <v>0.51249999999999996</v>
      </c>
      <c r="K484" s="93">
        <f>SUMIFS(Table1[Horas efetivas],Table1[Tabela],Plano_V3!E484,Table1[Campo],Plano_V3!F484)</f>
        <v>0</v>
      </c>
      <c r="L484" s="93">
        <f t="shared" si="60"/>
        <v>0</v>
      </c>
      <c r="M484" s="93">
        <f t="shared" si="61"/>
        <v>0</v>
      </c>
      <c r="N484" s="96" t="s">
        <v>325</v>
      </c>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87"/>
      <c r="AU484" s="87"/>
      <c r="AV484" s="87"/>
      <c r="AW484" s="100"/>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87"/>
      <c r="EJ484" s="87"/>
      <c r="EK484" s="87"/>
      <c r="EL484" s="100"/>
      <c r="EM484" s="100"/>
      <c r="EN484" s="100"/>
      <c r="EO484" s="100"/>
      <c r="EP484" s="100"/>
      <c r="EQ484" s="100"/>
    </row>
    <row r="485" spans="1:147" outlineLevel="1">
      <c r="A485" s="31" t="str">
        <f t="shared" si="55"/>
        <v>lt003_entityflg_grp_nfrd_applcblty</v>
      </c>
      <c r="B485" s="76" t="s">
        <v>28</v>
      </c>
      <c r="C485" s="77" t="s">
        <v>28</v>
      </c>
      <c r="D485" s="73" t="s">
        <v>40</v>
      </c>
      <c r="E485" s="79" t="s">
        <v>323</v>
      </c>
      <c r="F485" s="80" t="s">
        <v>352</v>
      </c>
      <c r="G485" s="73" t="str">
        <f>INDEX(Auxiliar!$B$16:$B$23,MATCH(Plano_V3!H485,Auxiliar!$C$16:$C$23,0),1)</f>
        <v>7. Por iniciar</v>
      </c>
      <c r="H485" s="73">
        <f>VLOOKUP(A485,'Aux - pivots1'!$A:$B,2,0)</f>
        <v>7</v>
      </c>
      <c r="I485" s="93">
        <f>SUMIFS(Table1[Estimação (horas)],Table1[Tabela],Plano_V3!E485,Table1[Campo],Plano_V3!F485)</f>
        <v>4.0999999999999996</v>
      </c>
      <c r="J485" s="93">
        <f t="shared" si="59"/>
        <v>0.51249999999999996</v>
      </c>
      <c r="K485" s="93">
        <f>SUMIFS(Table1[Horas efetivas],Table1[Tabela],Plano_V3!E485,Table1[Campo],Plano_V3!F485)</f>
        <v>0</v>
      </c>
      <c r="L485" s="93">
        <f t="shared" si="60"/>
        <v>0</v>
      </c>
      <c r="M485" s="93">
        <f t="shared" si="61"/>
        <v>0</v>
      </c>
      <c r="N485" s="96" t="s">
        <v>325</v>
      </c>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87"/>
      <c r="AU485" s="87"/>
      <c r="AV485" s="87"/>
      <c r="AW485" s="100"/>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87"/>
      <c r="EJ485" s="87"/>
      <c r="EK485" s="87"/>
      <c r="EL485" s="100"/>
      <c r="EM485" s="100"/>
      <c r="EN485" s="100"/>
      <c r="EO485" s="100"/>
      <c r="EP485" s="100"/>
      <c r="EQ485" s="100"/>
    </row>
    <row r="486" spans="1:147" outlineLevel="1">
      <c r="A486" s="31" t="str">
        <f t="shared" ref="A486:A583" si="62">E486&amp;F486</f>
        <v>lt003_entitygrp_emssns_scp1</v>
      </c>
      <c r="B486" s="76" t="s">
        <v>28</v>
      </c>
      <c r="C486" s="77" t="s">
        <v>28</v>
      </c>
      <c r="D486" s="73" t="s">
        <v>40</v>
      </c>
      <c r="E486" s="79" t="s">
        <v>323</v>
      </c>
      <c r="F486" s="80" t="s">
        <v>353</v>
      </c>
      <c r="G486" s="73" t="str">
        <f>INDEX(Auxiliar!$B$16:$B$23,MATCH(Plano_V3!H486,Auxiliar!$C$16:$C$23,0),1)</f>
        <v>7. Por iniciar</v>
      </c>
      <c r="H486" s="73">
        <f>VLOOKUP(A486,'Aux - pivots1'!$A:$B,2,0)</f>
        <v>7</v>
      </c>
      <c r="I486" s="93">
        <f>SUMIFS(Table1[Estimação (horas)],Table1[Tabela],Plano_V3!E486,Table1[Campo],Plano_V3!F486)</f>
        <v>4.0999999999999996</v>
      </c>
      <c r="J486" s="93">
        <f t="shared" si="59"/>
        <v>0.51249999999999996</v>
      </c>
      <c r="K486" s="93">
        <f>SUMIFS(Table1[Horas efetivas],Table1[Tabela],Plano_V3!E486,Table1[Campo],Plano_V3!F486)</f>
        <v>0</v>
      </c>
      <c r="L486" s="93">
        <f t="shared" si="60"/>
        <v>0</v>
      </c>
      <c r="M486" s="93">
        <f t="shared" si="61"/>
        <v>0</v>
      </c>
      <c r="N486" s="96" t="s">
        <v>325</v>
      </c>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87"/>
      <c r="AU486" s="87"/>
      <c r="AV486" s="87"/>
      <c r="AW486" s="100"/>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87"/>
      <c r="EJ486" s="87"/>
      <c r="EK486" s="87"/>
      <c r="EL486" s="100"/>
      <c r="EM486" s="100"/>
      <c r="EN486" s="100"/>
      <c r="EO486" s="100"/>
      <c r="EP486" s="100"/>
      <c r="EQ486" s="100"/>
    </row>
    <row r="487" spans="1:147" outlineLevel="1">
      <c r="A487" s="31" t="str">
        <f t="shared" si="62"/>
        <v>lt003_entitygrp_emssns_scp2</v>
      </c>
      <c r="B487" s="76" t="s">
        <v>28</v>
      </c>
      <c r="C487" s="77" t="s">
        <v>28</v>
      </c>
      <c r="D487" s="73" t="s">
        <v>40</v>
      </c>
      <c r="E487" s="79" t="s">
        <v>323</v>
      </c>
      <c r="F487" s="80" t="s">
        <v>354</v>
      </c>
      <c r="G487" s="73" t="str">
        <f>INDEX(Auxiliar!$B$16:$B$23,MATCH(Plano_V3!H487,Auxiliar!$C$16:$C$23,0),1)</f>
        <v>7. Por iniciar</v>
      </c>
      <c r="H487" s="73">
        <f>VLOOKUP(A487,'Aux - pivots1'!$A:$B,2,0)</f>
        <v>7</v>
      </c>
      <c r="I487" s="93">
        <f>SUMIFS(Table1[Estimação (horas)],Table1[Tabela],Plano_V3!E487,Table1[Campo],Plano_V3!F487)</f>
        <v>4.0999999999999996</v>
      </c>
      <c r="J487" s="93">
        <f t="shared" si="59"/>
        <v>0.51249999999999996</v>
      </c>
      <c r="K487" s="93">
        <f>SUMIFS(Table1[Horas efetivas],Table1[Tabela],Plano_V3!E487,Table1[Campo],Plano_V3!F487)</f>
        <v>0</v>
      </c>
      <c r="L487" s="93">
        <f t="shared" si="60"/>
        <v>0</v>
      </c>
      <c r="M487" s="93">
        <f t="shared" si="61"/>
        <v>0</v>
      </c>
      <c r="N487" s="96" t="s">
        <v>325</v>
      </c>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87"/>
      <c r="AU487" s="87"/>
      <c r="AV487" s="87"/>
      <c r="AW487" s="100"/>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87"/>
      <c r="EJ487" s="87"/>
      <c r="EK487" s="87"/>
      <c r="EL487" s="100"/>
      <c r="EM487" s="100"/>
      <c r="EN487" s="100"/>
      <c r="EO487" s="100"/>
      <c r="EP487" s="100"/>
      <c r="EQ487" s="100"/>
    </row>
    <row r="488" spans="1:147" outlineLevel="1">
      <c r="A488" s="31" t="str">
        <f t="shared" si="62"/>
        <v>lt003_entitygrp_emssns_scp3</v>
      </c>
      <c r="B488" s="76" t="s">
        <v>28</v>
      </c>
      <c r="C488" s="77" t="s">
        <v>28</v>
      </c>
      <c r="D488" s="73" t="s">
        <v>40</v>
      </c>
      <c r="E488" s="79" t="s">
        <v>323</v>
      </c>
      <c r="F488" s="80" t="s">
        <v>355</v>
      </c>
      <c r="G488" s="73" t="str">
        <f>INDEX(Auxiliar!$B$16:$B$23,MATCH(Plano_V3!H488,Auxiliar!$C$16:$C$23,0),1)</f>
        <v>7. Por iniciar</v>
      </c>
      <c r="H488" s="73">
        <f>VLOOKUP(A488,'Aux - pivots1'!$A:$B,2,0)</f>
        <v>7</v>
      </c>
      <c r="I488" s="93">
        <f>SUMIFS(Table1[Estimação (horas)],Table1[Tabela],Plano_V3!E488,Table1[Campo],Plano_V3!F488)</f>
        <v>4.0999999999999996</v>
      </c>
      <c r="J488" s="93">
        <f t="shared" si="59"/>
        <v>0.51249999999999996</v>
      </c>
      <c r="K488" s="93">
        <f>SUMIFS(Table1[Horas efetivas],Table1[Tabela],Plano_V3!E488,Table1[Campo],Plano_V3!F488)</f>
        <v>0</v>
      </c>
      <c r="L488" s="93">
        <f t="shared" si="60"/>
        <v>0</v>
      </c>
      <c r="M488" s="93">
        <f t="shared" si="61"/>
        <v>0</v>
      </c>
      <c r="N488" s="96" t="s">
        <v>325</v>
      </c>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87"/>
      <c r="AU488" s="87"/>
      <c r="AV488" s="87"/>
      <c r="AW488" s="100"/>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87"/>
      <c r="EJ488" s="87"/>
      <c r="EK488" s="87"/>
      <c r="EL488" s="100"/>
      <c r="EM488" s="100"/>
      <c r="EN488" s="100"/>
      <c r="EO488" s="100"/>
      <c r="EP488" s="100"/>
      <c r="EQ488" s="100"/>
    </row>
    <row r="489" spans="1:147" outlineLevel="1">
      <c r="A489" s="31" t="str">
        <f t="shared" si="62"/>
        <v>lt004_protectiontyp_ep_scr</v>
      </c>
      <c r="B489" s="76" t="s">
        <v>28</v>
      </c>
      <c r="C489" s="77" t="s">
        <v>28</v>
      </c>
      <c r="D489" s="73" t="s">
        <v>40</v>
      </c>
      <c r="E489" s="79" t="s">
        <v>356</v>
      </c>
      <c r="F489" s="80" t="s">
        <v>357</v>
      </c>
      <c r="G489" s="73" t="str">
        <f>INDEX(Auxiliar!$B$16:$B$23,MATCH(Plano_V3!H489,Auxiliar!$C$16:$C$23,0),1)</f>
        <v>7. Por iniciar</v>
      </c>
      <c r="H489" s="73">
        <f>VLOOKUP(A489,'Aux - pivots1'!$A:$B,2,0)</f>
        <v>7</v>
      </c>
      <c r="I489" s="93">
        <f>SUMIFS(Table1[Estimação (horas)],Table1[Tabela],Plano_V3!E489,Table1[Campo],Plano_V3!F489)</f>
        <v>4.0999999999999996</v>
      </c>
      <c r="J489" s="93">
        <f t="shared" si="59"/>
        <v>0.51249999999999996</v>
      </c>
      <c r="K489" s="93">
        <f>SUMIFS(Table1[Horas efetivas],Table1[Tabela],Plano_V3!E489,Table1[Campo],Plano_V3!F489)</f>
        <v>0</v>
      </c>
      <c r="L489" s="93">
        <f t="shared" si="60"/>
        <v>0</v>
      </c>
      <c r="M489" s="93">
        <f t="shared" si="61"/>
        <v>0</v>
      </c>
      <c r="N489" s="98" t="s">
        <v>39</v>
      </c>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87"/>
      <c r="AU489" s="87"/>
      <c r="AV489" s="87"/>
      <c r="AW489" s="100"/>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87"/>
      <c r="EJ489" s="87"/>
      <c r="EK489" s="87"/>
      <c r="EL489" s="100"/>
      <c r="EM489" s="100"/>
      <c r="EN489" s="100"/>
      <c r="EO489" s="100"/>
      <c r="EP489" s="100"/>
      <c r="EQ489" s="100"/>
    </row>
    <row r="490" spans="1:147" outlineLevel="1">
      <c r="A490" s="31" t="str">
        <f t="shared" si="62"/>
        <v>lt004_protectionep_scr</v>
      </c>
      <c r="B490" s="76" t="s">
        <v>28</v>
      </c>
      <c r="C490" s="77" t="s">
        <v>28</v>
      </c>
      <c r="D490" s="73" t="s">
        <v>40</v>
      </c>
      <c r="E490" s="79" t="s">
        <v>356</v>
      </c>
      <c r="F490" s="80" t="s">
        <v>358</v>
      </c>
      <c r="G490" s="73" t="str">
        <f>INDEX(Auxiliar!$B$16:$B$23,MATCH(Plano_V3!H490,Auxiliar!$C$16:$C$23,0),1)</f>
        <v>7. Por iniciar</v>
      </c>
      <c r="H490" s="73">
        <f>VLOOKUP(A490,'Aux - pivots1'!$A:$B,2,0)</f>
        <v>7</v>
      </c>
      <c r="I490" s="93">
        <f>SUMIFS(Table1[Estimação (horas)],Table1[Tabela],Plano_V3!E490,Table1[Campo],Plano_V3!F490)</f>
        <v>4.0999999999999996</v>
      </c>
      <c r="J490" s="93">
        <f t="shared" si="59"/>
        <v>0.51249999999999996</v>
      </c>
      <c r="K490" s="93">
        <f>SUMIFS(Table1[Horas efetivas],Table1[Tabela],Plano_V3!E490,Table1[Campo],Plano_V3!F490)</f>
        <v>0</v>
      </c>
      <c r="L490" s="93">
        <f t="shared" si="60"/>
        <v>0</v>
      </c>
      <c r="M490" s="93">
        <f t="shared" si="61"/>
        <v>0</v>
      </c>
      <c r="N490" s="98" t="s">
        <v>39</v>
      </c>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87"/>
      <c r="AU490" s="87"/>
      <c r="AV490" s="87"/>
      <c r="AW490" s="100"/>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87"/>
      <c r="EJ490" s="87"/>
      <c r="EK490" s="87"/>
      <c r="EL490" s="100"/>
      <c r="EM490" s="100"/>
      <c r="EN490" s="100"/>
      <c r="EO490" s="100"/>
      <c r="EP490" s="100"/>
      <c r="EQ490" s="100"/>
    </row>
    <row r="491" spans="1:147" outlineLevel="1">
      <c r="A491" s="31" t="str">
        <f t="shared" si="62"/>
        <v>lt004_protectiontyp_epc_lbl</v>
      </c>
      <c r="B491" s="76" t="s">
        <v>28</v>
      </c>
      <c r="C491" s="77" t="s">
        <v>28</v>
      </c>
      <c r="D491" s="73" t="s">
        <v>40</v>
      </c>
      <c r="E491" s="79" t="s">
        <v>356</v>
      </c>
      <c r="F491" s="80" t="s">
        <v>359</v>
      </c>
      <c r="G491" s="73" t="str">
        <f>INDEX(Auxiliar!$B$16:$B$23,MATCH(Plano_V3!H491,Auxiliar!$C$16:$C$23,0),1)</f>
        <v>7. Por iniciar</v>
      </c>
      <c r="H491" s="73">
        <f>VLOOKUP(A491,'Aux - pivots1'!$A:$B,2,0)</f>
        <v>7</v>
      </c>
      <c r="I491" s="93">
        <f>SUMIFS(Table1[Estimação (horas)],Table1[Tabela],Plano_V3!E491,Table1[Campo],Plano_V3!F491)</f>
        <v>4.0999999999999996</v>
      </c>
      <c r="J491" s="93">
        <f t="shared" si="59"/>
        <v>0.51249999999999996</v>
      </c>
      <c r="K491" s="93">
        <f>SUMIFS(Table1[Horas efetivas],Table1[Tabela],Plano_V3!E491,Table1[Campo],Plano_V3!F491)</f>
        <v>0</v>
      </c>
      <c r="L491" s="93">
        <f t="shared" si="60"/>
        <v>0</v>
      </c>
      <c r="M491" s="93">
        <f t="shared" si="61"/>
        <v>0</v>
      </c>
      <c r="N491" s="98" t="s">
        <v>39</v>
      </c>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87"/>
      <c r="AU491" s="87"/>
      <c r="AV491" s="87"/>
      <c r="AW491" s="100"/>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87"/>
      <c r="EJ491" s="87"/>
      <c r="EK491" s="87"/>
      <c r="EL491" s="100"/>
      <c r="EM491" s="100"/>
      <c r="EN491" s="100"/>
      <c r="EO491" s="100"/>
      <c r="EP491" s="100"/>
      <c r="EQ491" s="100"/>
    </row>
    <row r="492" spans="1:147" outlineLevel="1">
      <c r="A492" s="31" t="str">
        <f t="shared" si="62"/>
        <v>lt004_protectionepc_lbl</v>
      </c>
      <c r="B492" s="76" t="s">
        <v>28</v>
      </c>
      <c r="C492" s="77" t="s">
        <v>28</v>
      </c>
      <c r="D492" s="73" t="s">
        <v>40</v>
      </c>
      <c r="E492" s="79" t="s">
        <v>356</v>
      </c>
      <c r="F492" s="80" t="s">
        <v>360</v>
      </c>
      <c r="G492" s="73" t="str">
        <f>INDEX(Auxiliar!$B$16:$B$23,MATCH(Plano_V3!H492,Auxiliar!$C$16:$C$23,0),1)</f>
        <v>7. Por iniciar</v>
      </c>
      <c r="H492" s="73">
        <f>VLOOKUP(A492,'Aux - pivots1'!$A:$B,2,0)</f>
        <v>7</v>
      </c>
      <c r="I492" s="93">
        <f>SUMIFS(Table1[Estimação (horas)],Table1[Tabela],Plano_V3!E492,Table1[Campo],Plano_V3!F492)</f>
        <v>4.0999999999999996</v>
      </c>
      <c r="J492" s="93">
        <f t="shared" si="59"/>
        <v>0.51249999999999996</v>
      </c>
      <c r="K492" s="93">
        <f>SUMIFS(Table1[Horas efetivas],Table1[Tabela],Plano_V3!E492,Table1[Campo],Plano_V3!F492)</f>
        <v>0</v>
      </c>
      <c r="L492" s="93">
        <f t="shared" si="60"/>
        <v>0</v>
      </c>
      <c r="M492" s="93">
        <f t="shared" si="61"/>
        <v>0</v>
      </c>
      <c r="N492" s="98" t="s">
        <v>39</v>
      </c>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87"/>
      <c r="AU492" s="87"/>
      <c r="AV492" s="87"/>
      <c r="AW492" s="100"/>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87"/>
      <c r="EJ492" s="87"/>
      <c r="EK492" s="87"/>
      <c r="EL492" s="100"/>
      <c r="EM492" s="100"/>
      <c r="EN492" s="100"/>
      <c r="EO492" s="100"/>
      <c r="EP492" s="100"/>
      <c r="EQ492" s="100"/>
    </row>
    <row r="493" spans="1:147" outlineLevel="1">
      <c r="A493" s="31" t="str">
        <f t="shared" si="62"/>
        <v>lt004_protectionemssns_scp1_prtctn</v>
      </c>
      <c r="B493" s="76" t="s">
        <v>28</v>
      </c>
      <c r="C493" s="77" t="s">
        <v>28</v>
      </c>
      <c r="D493" s="73" t="s">
        <v>40</v>
      </c>
      <c r="E493" s="79" t="s">
        <v>356</v>
      </c>
      <c r="F493" s="80" t="s">
        <v>361</v>
      </c>
      <c r="G493" s="73" t="str">
        <f>INDEX(Auxiliar!$B$16:$B$23,MATCH(Plano_V3!H493,Auxiliar!$C$16:$C$23,0),1)</f>
        <v>7. Por iniciar</v>
      </c>
      <c r="H493" s="73">
        <f>VLOOKUP(A493,'Aux - pivots1'!$A:$B,2,0)</f>
        <v>7</v>
      </c>
      <c r="I493" s="93">
        <f>SUMIFS(Table1[Estimação (horas)],Table1[Tabela],Plano_V3!E493,Table1[Campo],Plano_V3!F493)</f>
        <v>4.0999999999999996</v>
      </c>
      <c r="J493" s="93">
        <f t="shared" si="59"/>
        <v>0.51249999999999996</v>
      </c>
      <c r="K493" s="93">
        <f>SUMIFS(Table1[Horas efetivas],Table1[Tabela],Plano_V3!E493,Table1[Campo],Plano_V3!F493)</f>
        <v>1</v>
      </c>
      <c r="L493" s="93">
        <f t="shared" si="60"/>
        <v>0.125</v>
      </c>
      <c r="M493" s="93">
        <f t="shared" si="61"/>
        <v>0.24390243902439027</v>
      </c>
      <c r="N493" s="98" t="s">
        <v>39</v>
      </c>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87"/>
      <c r="AU493" s="87"/>
      <c r="AV493" s="87"/>
      <c r="AW493" s="100"/>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87"/>
      <c r="EJ493" s="87"/>
      <c r="EK493" s="87"/>
      <c r="EL493" s="100"/>
      <c r="EM493" s="100"/>
      <c r="EN493" s="100"/>
      <c r="EO493" s="100"/>
      <c r="EP493" s="100"/>
      <c r="EQ493" s="100"/>
    </row>
    <row r="494" spans="1:147" outlineLevel="1">
      <c r="A494" s="31" t="str">
        <f t="shared" si="62"/>
        <v>lt004_protectionemssns_scp2_prtctn</v>
      </c>
      <c r="B494" s="76" t="s">
        <v>28</v>
      </c>
      <c r="C494" s="77" t="s">
        <v>28</v>
      </c>
      <c r="D494" s="73" t="s">
        <v>40</v>
      </c>
      <c r="E494" s="79" t="s">
        <v>356</v>
      </c>
      <c r="F494" s="80" t="s">
        <v>362</v>
      </c>
      <c r="G494" s="73" t="str">
        <f>INDEX(Auxiliar!$B$16:$B$23,MATCH(Plano_V3!H494,Auxiliar!$C$16:$C$23,0),1)</f>
        <v>7. Por iniciar</v>
      </c>
      <c r="H494" s="73">
        <f>VLOOKUP(A494,'Aux - pivots1'!$A:$B,2,0)</f>
        <v>7</v>
      </c>
      <c r="I494" s="93">
        <f>SUMIFS(Table1[Estimação (horas)],Table1[Tabela],Plano_V3!E494,Table1[Campo],Plano_V3!F494)</f>
        <v>4.0999999999999996</v>
      </c>
      <c r="J494" s="93">
        <f t="shared" si="59"/>
        <v>0.51249999999999996</v>
      </c>
      <c r="K494" s="93">
        <f>SUMIFS(Table1[Horas efetivas],Table1[Tabela],Plano_V3!E494,Table1[Campo],Plano_V3!F494)</f>
        <v>1</v>
      </c>
      <c r="L494" s="93">
        <f t="shared" si="60"/>
        <v>0.125</v>
      </c>
      <c r="M494" s="93">
        <f t="shared" si="61"/>
        <v>0.24390243902439027</v>
      </c>
      <c r="N494" s="98" t="s">
        <v>39</v>
      </c>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87"/>
      <c r="AU494" s="87"/>
      <c r="AV494" s="87"/>
      <c r="AW494" s="100"/>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87"/>
      <c r="EJ494" s="87"/>
      <c r="EK494" s="87"/>
      <c r="EL494" s="100"/>
      <c r="EM494" s="100"/>
      <c r="EN494" s="100"/>
      <c r="EO494" s="100"/>
      <c r="EP494" s="100"/>
      <c r="EQ494" s="100"/>
    </row>
    <row r="495" spans="1:147" outlineLevel="1">
      <c r="A495" s="31" t="str">
        <f t="shared" si="62"/>
        <v>lt004_protectionemssns_scp3_prtctn</v>
      </c>
      <c r="B495" s="76" t="s">
        <v>28</v>
      </c>
      <c r="C495" s="77" t="s">
        <v>28</v>
      </c>
      <c r="D495" s="73" t="s">
        <v>40</v>
      </c>
      <c r="E495" s="79" t="s">
        <v>356</v>
      </c>
      <c r="F495" s="80" t="s">
        <v>363</v>
      </c>
      <c r="G495" s="73" t="str">
        <f>INDEX(Auxiliar!$B$16:$B$23,MATCH(Plano_V3!H495,Auxiliar!$C$16:$C$23,0),1)</f>
        <v>7. Por iniciar</v>
      </c>
      <c r="H495" s="73">
        <f>VLOOKUP(A495,'Aux - pivots1'!$A:$B,2,0)</f>
        <v>7</v>
      </c>
      <c r="I495" s="93">
        <f>SUMIFS(Table1[Estimação (horas)],Table1[Tabela],Plano_V3!E495,Table1[Campo],Plano_V3!F495)</f>
        <v>4.0999999999999996</v>
      </c>
      <c r="J495" s="93">
        <f t="shared" si="59"/>
        <v>0.51249999999999996</v>
      </c>
      <c r="K495" s="93">
        <f>SUMIFS(Table1[Horas efetivas],Table1[Tabela],Plano_V3!E495,Table1[Campo],Plano_V3!F495)</f>
        <v>1</v>
      </c>
      <c r="L495" s="93">
        <f t="shared" si="60"/>
        <v>0.125</v>
      </c>
      <c r="M495" s="93">
        <f t="shared" si="61"/>
        <v>0.24390243902439027</v>
      </c>
      <c r="N495" s="98" t="s">
        <v>39</v>
      </c>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87"/>
      <c r="AU495" s="87"/>
      <c r="AV495" s="87"/>
      <c r="AW495" s="100"/>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87"/>
      <c r="EJ495" s="87"/>
      <c r="EK495" s="87"/>
      <c r="EL495" s="100"/>
      <c r="EM495" s="100"/>
      <c r="EN495" s="100"/>
      <c r="EO495" s="100"/>
      <c r="EP495" s="100"/>
      <c r="EQ495" s="100"/>
    </row>
    <row r="496" spans="1:147" outlineLevel="1">
      <c r="A496" s="31" t="str">
        <f t="shared" si="62"/>
        <v>lt004_protectionmthd_usd_prtctn_scp_1</v>
      </c>
      <c r="B496" s="76" t="s">
        <v>28</v>
      </c>
      <c r="C496" s="77" t="s">
        <v>28</v>
      </c>
      <c r="D496" s="73" t="s">
        <v>40</v>
      </c>
      <c r="E496" s="79" t="s">
        <v>356</v>
      </c>
      <c r="F496" s="80" t="s">
        <v>364</v>
      </c>
      <c r="G496" s="73" t="str">
        <f>INDEX(Auxiliar!$B$16:$B$23,MATCH(Plano_V3!H496,Auxiliar!$C$16:$C$23,0),1)</f>
        <v>7. Por iniciar</v>
      </c>
      <c r="H496" s="73">
        <f>VLOOKUP(A496,'Aux - pivots1'!$A:$B,2,0)</f>
        <v>7</v>
      </c>
      <c r="I496" s="93">
        <f>SUMIFS(Table1[Estimação (horas)],Table1[Tabela],Plano_V3!E496,Table1[Campo],Plano_V3!F496)</f>
        <v>4.0999999999999996</v>
      </c>
      <c r="J496" s="93">
        <f t="shared" si="59"/>
        <v>0.51249999999999996</v>
      </c>
      <c r="K496" s="93">
        <f>SUMIFS(Table1[Horas efetivas],Table1[Tabela],Plano_V3!E496,Table1[Campo],Plano_V3!F496)</f>
        <v>0</v>
      </c>
      <c r="L496" s="93">
        <f t="shared" si="60"/>
        <v>0</v>
      </c>
      <c r="M496" s="93">
        <f t="shared" si="61"/>
        <v>0</v>
      </c>
      <c r="N496" s="98" t="s">
        <v>39</v>
      </c>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87"/>
      <c r="AU496" s="87"/>
      <c r="AV496" s="87"/>
      <c r="AW496" s="100"/>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87"/>
      <c r="EJ496" s="87"/>
      <c r="EK496" s="87"/>
      <c r="EL496" s="100"/>
      <c r="EM496" s="100"/>
      <c r="EN496" s="100"/>
      <c r="EO496" s="100"/>
      <c r="EP496" s="100"/>
      <c r="EQ496" s="100"/>
    </row>
    <row r="497" spans="1:147" outlineLevel="1">
      <c r="A497" s="31" t="str">
        <f t="shared" si="62"/>
        <v>lt004_protectionmthd_usd_prtctn_scp_2</v>
      </c>
      <c r="B497" s="76" t="s">
        <v>28</v>
      </c>
      <c r="C497" s="77" t="s">
        <v>28</v>
      </c>
      <c r="D497" s="73" t="s">
        <v>40</v>
      </c>
      <c r="E497" s="79" t="s">
        <v>356</v>
      </c>
      <c r="F497" s="80" t="s">
        <v>365</v>
      </c>
      <c r="G497" s="73" t="str">
        <f>INDEX(Auxiliar!$B$16:$B$23,MATCH(Plano_V3!H497,Auxiliar!$C$16:$C$23,0),1)</f>
        <v>7. Por iniciar</v>
      </c>
      <c r="H497" s="73">
        <f>VLOOKUP(A497,'Aux - pivots1'!$A:$B,2,0)</f>
        <v>7</v>
      </c>
      <c r="I497" s="93">
        <f>SUMIFS(Table1[Estimação (horas)],Table1[Tabela],Plano_V3!E497,Table1[Campo],Plano_V3!F497)</f>
        <v>4.0999999999999996</v>
      </c>
      <c r="J497" s="93">
        <f t="shared" si="59"/>
        <v>0.51249999999999996</v>
      </c>
      <c r="K497" s="93">
        <f>SUMIFS(Table1[Horas efetivas],Table1[Tabela],Plano_V3!E497,Table1[Campo],Plano_V3!F497)</f>
        <v>0</v>
      </c>
      <c r="L497" s="93">
        <f t="shared" si="60"/>
        <v>0</v>
      </c>
      <c r="M497" s="93">
        <f t="shared" si="61"/>
        <v>0</v>
      </c>
      <c r="N497" s="98" t="s">
        <v>39</v>
      </c>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87"/>
      <c r="AU497" s="87"/>
      <c r="AV497" s="87"/>
      <c r="AW497" s="100"/>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87"/>
      <c r="EJ497" s="87"/>
      <c r="EK497" s="87"/>
      <c r="EL497" s="100"/>
      <c r="EM497" s="100"/>
      <c r="EN497" s="100"/>
      <c r="EO497" s="100"/>
      <c r="EP497" s="100"/>
      <c r="EQ497" s="100"/>
    </row>
    <row r="498" spans="1:147" outlineLevel="1">
      <c r="A498" s="31" t="str">
        <f t="shared" si="62"/>
        <v>lt004_protectionmthd_usd_prtctn_scp_3</v>
      </c>
      <c r="B498" s="76" t="s">
        <v>28</v>
      </c>
      <c r="C498" s="77" t="s">
        <v>28</v>
      </c>
      <c r="D498" s="73" t="s">
        <v>40</v>
      </c>
      <c r="E498" s="79" t="s">
        <v>356</v>
      </c>
      <c r="F498" s="80" t="s">
        <v>366</v>
      </c>
      <c r="G498" s="73" t="str">
        <f>INDEX(Auxiliar!$B$16:$B$23,MATCH(Plano_V3!H498,Auxiliar!$C$16:$C$23,0),1)</f>
        <v>7. Por iniciar</v>
      </c>
      <c r="H498" s="73">
        <f>VLOOKUP(A498,'Aux - pivots1'!$A:$B,2,0)</f>
        <v>7</v>
      </c>
      <c r="I498" s="93">
        <f>SUMIFS(Table1[Estimação (horas)],Table1[Tabela],Plano_V3!E498,Table1[Campo],Plano_V3!F498)</f>
        <v>4.0999999999999996</v>
      </c>
      <c r="J498" s="93">
        <f t="shared" si="59"/>
        <v>0.51249999999999996</v>
      </c>
      <c r="K498" s="93">
        <f>SUMIFS(Table1[Horas efetivas],Table1[Tabela],Plano_V3!E498,Table1[Campo],Plano_V3!F498)</f>
        <v>0</v>
      </c>
      <c r="L498" s="93">
        <f t="shared" si="60"/>
        <v>0</v>
      </c>
      <c r="M498" s="93">
        <f t="shared" si="61"/>
        <v>0</v>
      </c>
      <c r="N498" s="98" t="s">
        <v>39</v>
      </c>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87"/>
      <c r="AU498" s="87"/>
      <c r="AV498" s="87"/>
      <c r="AW498" s="100"/>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87"/>
      <c r="EJ498" s="87"/>
      <c r="EK498" s="87"/>
      <c r="EL498" s="100"/>
      <c r="EM498" s="100"/>
      <c r="EN498" s="100"/>
      <c r="EO498" s="100"/>
      <c r="EP498" s="100"/>
      <c r="EQ498" s="100"/>
    </row>
    <row r="499" spans="1:147" outlineLevel="1">
      <c r="A499" s="31" t="str">
        <f t="shared" si="62"/>
        <v>lt004_protectionflg_act_physcl_rsk</v>
      </c>
      <c r="B499" s="76" t="s">
        <v>28</v>
      </c>
      <c r="C499" s="77" t="s">
        <v>28</v>
      </c>
      <c r="D499" s="73" t="s">
        <v>40</v>
      </c>
      <c r="E499" s="79" t="s">
        <v>356</v>
      </c>
      <c r="F499" s="80" t="s">
        <v>345</v>
      </c>
      <c r="G499" s="73" t="str">
        <f>INDEX(Auxiliar!$B$16:$B$23,MATCH(Plano_V3!H499,Auxiliar!$C$16:$C$23,0),1)</f>
        <v>4. Validação EF</v>
      </c>
      <c r="H499" s="73">
        <f>VLOOKUP(A499,'Aux - pivots1'!$A:$B,2,0)</f>
        <v>4</v>
      </c>
      <c r="I499" s="93">
        <f>SUMIFS(Table1[Estimação (horas)],Table1[Tabela],Plano_V3!E499,Table1[Campo],Plano_V3!F499)</f>
        <v>4.0999999999999996</v>
      </c>
      <c r="J499" s="93">
        <f t="shared" si="59"/>
        <v>0.51249999999999996</v>
      </c>
      <c r="K499" s="93">
        <f>SUMIFS(Table1[Horas efetivas],Table1[Tabela],Plano_V3!E499,Table1[Campo],Plano_V3!F499)</f>
        <v>1.0249999999999999</v>
      </c>
      <c r="L499" s="93">
        <f t="shared" si="60"/>
        <v>0.12812499999999999</v>
      </c>
      <c r="M499" s="93">
        <f t="shared" si="61"/>
        <v>0.25</v>
      </c>
      <c r="N499" s="98" t="s">
        <v>39</v>
      </c>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87"/>
      <c r="AU499" s="87"/>
      <c r="AV499" s="87"/>
      <c r="AW499" s="100"/>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87"/>
      <c r="EJ499" s="87"/>
      <c r="EK499" s="87"/>
      <c r="EL499" s="100"/>
      <c r="EM499" s="100"/>
      <c r="EN499" s="100"/>
      <c r="EO499" s="100"/>
      <c r="EP499" s="100"/>
      <c r="EQ499" s="100"/>
    </row>
    <row r="500" spans="1:147" outlineLevel="1">
      <c r="A500" s="31" t="str">
        <f t="shared" si="62"/>
        <v>lt004_protectionflg_chrnc_physcl_rsk</v>
      </c>
      <c r="B500" s="76" t="s">
        <v>28</v>
      </c>
      <c r="C500" s="77" t="s">
        <v>28</v>
      </c>
      <c r="D500" s="73" t="s">
        <v>40</v>
      </c>
      <c r="E500" s="79" t="s">
        <v>356</v>
      </c>
      <c r="F500" s="80" t="s">
        <v>346</v>
      </c>
      <c r="G500" s="73" t="str">
        <f>INDEX(Auxiliar!$B$16:$B$23,MATCH(Plano_V3!H500,Auxiliar!$C$16:$C$23,0),1)</f>
        <v>4. Validação EF</v>
      </c>
      <c r="H500" s="73">
        <f>VLOOKUP(A500,'Aux - pivots1'!$A:$B,2,0)</f>
        <v>4</v>
      </c>
      <c r="I500" s="93">
        <f>SUMIFS(Table1[Estimação (horas)],Table1[Tabela],Plano_V3!E500,Table1[Campo],Plano_V3!F500)</f>
        <v>4.0999999999999996</v>
      </c>
      <c r="J500" s="93">
        <f t="shared" si="59"/>
        <v>0.51249999999999996</v>
      </c>
      <c r="K500" s="93">
        <f>SUMIFS(Table1[Horas efetivas],Table1[Tabela],Plano_V3!E500,Table1[Campo],Plano_V3!F500)</f>
        <v>1.0249999999999999</v>
      </c>
      <c r="L500" s="93">
        <f t="shared" si="60"/>
        <v>0.12812499999999999</v>
      </c>
      <c r="M500" s="93">
        <f t="shared" si="61"/>
        <v>0.25</v>
      </c>
      <c r="N500" s="98" t="s">
        <v>39</v>
      </c>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87"/>
      <c r="AU500" s="87"/>
      <c r="AV500" s="87"/>
      <c r="AW500" s="100"/>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87"/>
      <c r="EJ500" s="87"/>
      <c r="EK500" s="87"/>
      <c r="EL500" s="100"/>
      <c r="EM500" s="100"/>
      <c r="EN500" s="100"/>
      <c r="EO500" s="100"/>
      <c r="EP500" s="100"/>
      <c r="EQ500" s="100"/>
    </row>
    <row r="501" spans="1:147" outlineLevel="1">
      <c r="A501" s="31" t="str">
        <f t="shared" si="62"/>
        <v>lt002_instrumentrsk_mtgtd_cct</v>
      </c>
      <c r="B501" s="76" t="s">
        <v>28</v>
      </c>
      <c r="C501" s="77" t="s">
        <v>28</v>
      </c>
      <c r="D501" s="73" t="s">
        <v>40</v>
      </c>
      <c r="E501" s="79" t="s">
        <v>367</v>
      </c>
      <c r="F501" s="80" t="s">
        <v>368</v>
      </c>
      <c r="G501" s="73" t="str">
        <f>INDEX(Auxiliar!$B$16:$B$23,MATCH(Plano_V3!H501,Auxiliar!$C$16:$C$23,0),1)</f>
        <v>7. Por iniciar</v>
      </c>
      <c r="H501" s="73">
        <f>VLOOKUP(A501,'Aux - pivots1'!$A:$B,2,0)</f>
        <v>7</v>
      </c>
      <c r="I501" s="93">
        <f>SUMIFS(Table1[Estimação (horas)],Table1[Tabela],Plano_V3!E501,Table1[Campo],Plano_V3!F501)</f>
        <v>4.0999999999999996</v>
      </c>
      <c r="J501" s="93">
        <f t="shared" si="59"/>
        <v>0.51249999999999996</v>
      </c>
      <c r="K501" s="93">
        <f>SUMIFS(Table1[Horas efetivas],Table1[Tabela],Plano_V3!E501,Table1[Campo],Plano_V3!F501)</f>
        <v>0</v>
      </c>
      <c r="L501" s="93">
        <f t="shared" si="60"/>
        <v>0</v>
      </c>
      <c r="M501" s="93">
        <f t="shared" si="61"/>
        <v>0</v>
      </c>
      <c r="N501" s="98" t="s">
        <v>39</v>
      </c>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87"/>
      <c r="AU501" s="87"/>
      <c r="AV501" s="87"/>
      <c r="AW501" s="100"/>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87"/>
      <c r="EJ501" s="87"/>
      <c r="EK501" s="87"/>
      <c r="EL501" s="100"/>
      <c r="EM501" s="100"/>
      <c r="EN501" s="100"/>
      <c r="EO501" s="100"/>
      <c r="EP501" s="100"/>
      <c r="EQ501" s="100"/>
    </row>
    <row r="502" spans="1:147" outlineLevel="1">
      <c r="A502" s="31" t="str">
        <f t="shared" si="62"/>
        <v>lt002_instrumentrsk_mtgtd_ccp</v>
      </c>
      <c r="B502" s="76" t="s">
        <v>28</v>
      </c>
      <c r="C502" s="77" t="s">
        <v>28</v>
      </c>
      <c r="D502" s="73" t="s">
        <v>40</v>
      </c>
      <c r="E502" s="79" t="s">
        <v>367</v>
      </c>
      <c r="F502" s="80" t="s">
        <v>369</v>
      </c>
      <c r="G502" s="73" t="str">
        <f>INDEX(Auxiliar!$B$16:$B$23,MATCH(Plano_V3!H502,Auxiliar!$C$16:$C$23,0),1)</f>
        <v>7. Por iniciar</v>
      </c>
      <c r="H502" s="73">
        <f>VLOOKUP(A502,'Aux - pivots1'!$A:$B,2,0)</f>
        <v>7</v>
      </c>
      <c r="I502" s="93">
        <f>SUMIFS(Table1[Estimação (horas)],Table1[Tabela],Plano_V3!E502,Table1[Campo],Plano_V3!F502)</f>
        <v>4.0999999999999996</v>
      </c>
      <c r="J502" s="93">
        <f t="shared" si="59"/>
        <v>0.51249999999999996</v>
      </c>
      <c r="K502" s="93">
        <f>SUMIFS(Table1[Horas efetivas],Table1[Tabela],Plano_V3!E502,Table1[Campo],Plano_V3!F502)</f>
        <v>0</v>
      </c>
      <c r="L502" s="93">
        <f t="shared" si="60"/>
        <v>0</v>
      </c>
      <c r="M502" s="93">
        <f t="shared" si="61"/>
        <v>0</v>
      </c>
      <c r="N502" s="98" t="s">
        <v>39</v>
      </c>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87"/>
      <c r="AU502" s="87"/>
      <c r="AV502" s="87"/>
      <c r="AW502" s="100"/>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87"/>
      <c r="EJ502" s="87"/>
      <c r="EK502" s="87"/>
      <c r="EL502" s="100"/>
      <c r="EM502" s="100"/>
      <c r="EN502" s="100"/>
      <c r="EO502" s="100"/>
      <c r="EP502" s="100"/>
      <c r="EQ502" s="100"/>
    </row>
    <row r="503" spans="1:147" outlineLevel="1">
      <c r="A503" s="31" t="str">
        <f t="shared" si="62"/>
        <v>lt002_instrumentenvrnmntl_objctv</v>
      </c>
      <c r="B503" s="76" t="s">
        <v>28</v>
      </c>
      <c r="C503" s="77" t="s">
        <v>28</v>
      </c>
      <c r="D503" s="73" t="s">
        <v>40</v>
      </c>
      <c r="E503" s="79" t="s">
        <v>367</v>
      </c>
      <c r="F503" s="80" t="s">
        <v>370</v>
      </c>
      <c r="G503" s="73" t="str">
        <f>INDEX(Auxiliar!$B$16:$B$23,MATCH(Plano_V3!H503,Auxiliar!$C$16:$C$23,0),1)</f>
        <v>7. Por iniciar</v>
      </c>
      <c r="H503" s="73">
        <f>VLOOKUP(A503,'Aux - pivots1'!$A:$B,2,0)</f>
        <v>7</v>
      </c>
      <c r="I503" s="93">
        <f>SUMIFS(Table1[Estimação (horas)],Table1[Tabela],Plano_V3!E503,Table1[Campo],Plano_V3!F503)</f>
        <v>4.0999999999999996</v>
      </c>
      <c r="J503" s="93">
        <f t="shared" si="59"/>
        <v>0.51249999999999996</v>
      </c>
      <c r="K503" s="93">
        <f>SUMIFS(Table1[Horas efetivas],Table1[Tabela],Plano_V3!E503,Table1[Campo],Plano_V3!F503)</f>
        <v>0</v>
      </c>
      <c r="L503" s="93">
        <f t="shared" si="60"/>
        <v>0</v>
      </c>
      <c r="M503" s="93">
        <f t="shared" si="61"/>
        <v>0</v>
      </c>
      <c r="N503" s="98" t="s">
        <v>39</v>
      </c>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87"/>
      <c r="AU503" s="87"/>
      <c r="AV503" s="87"/>
      <c r="AW503" s="100"/>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87"/>
      <c r="EJ503" s="87"/>
      <c r="EK503" s="87"/>
      <c r="EL503" s="100"/>
      <c r="EM503" s="100"/>
      <c r="EN503" s="100"/>
      <c r="EO503" s="100"/>
      <c r="EP503" s="100"/>
      <c r="EQ503" s="100"/>
    </row>
    <row r="504" spans="1:147" outlineLevel="1">
      <c r="A504" s="31" t="str">
        <f t="shared" si="62"/>
        <v>lt002_instrumenttyp_actvty</v>
      </c>
      <c r="B504" s="76" t="s">
        <v>28</v>
      </c>
      <c r="C504" s="77" t="s">
        <v>28</v>
      </c>
      <c r="D504" s="73" t="s">
        <v>40</v>
      </c>
      <c r="E504" s="79" t="s">
        <v>367</v>
      </c>
      <c r="F504" s="80" t="s">
        <v>371</v>
      </c>
      <c r="G504" s="73" t="str">
        <f>INDEX(Auxiliar!$B$16:$B$23,MATCH(Plano_V3!H504,Auxiliar!$C$16:$C$23,0),1)</f>
        <v>7. Por iniciar</v>
      </c>
      <c r="H504" s="73">
        <f>VLOOKUP(A504,'Aux - pivots1'!$A:$B,2,0)</f>
        <v>7</v>
      </c>
      <c r="I504" s="93">
        <f>SUMIFS(Table1[Estimação (horas)],Table1[Tabela],Plano_V3!E504,Table1[Campo],Plano_V3!F504)</f>
        <v>4.0999999999999996</v>
      </c>
      <c r="J504" s="93">
        <f t="shared" si="59"/>
        <v>0.51249999999999996</v>
      </c>
      <c r="K504" s="93">
        <f>SUMIFS(Table1[Horas efetivas],Table1[Tabela],Plano_V3!E504,Table1[Campo],Plano_V3!F504)</f>
        <v>0</v>
      </c>
      <c r="L504" s="93">
        <f t="shared" si="60"/>
        <v>0</v>
      </c>
      <c r="M504" s="93">
        <f t="shared" si="61"/>
        <v>0</v>
      </c>
      <c r="N504" s="98" t="s">
        <v>39</v>
      </c>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87"/>
      <c r="AU504" s="87"/>
      <c r="AV504" s="87"/>
      <c r="AW504" s="100"/>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87"/>
      <c r="EJ504" s="87"/>
      <c r="EK504" s="87"/>
      <c r="EL504" s="100"/>
      <c r="EM504" s="100"/>
      <c r="EN504" s="100"/>
      <c r="EO504" s="100"/>
      <c r="EP504" s="100"/>
      <c r="EQ504" s="100"/>
    </row>
    <row r="505" spans="1:147" outlineLevel="1">
      <c r="A505" s="31" t="str">
        <f t="shared" si="62"/>
        <v>lt002_instrumentlns_clltrlzd_clssfctn</v>
      </c>
      <c r="B505" s="76" t="s">
        <v>28</v>
      </c>
      <c r="C505" s="77" t="s">
        <v>28</v>
      </c>
      <c r="D505" s="73" t="s">
        <v>40</v>
      </c>
      <c r="E505" s="79" t="s">
        <v>367</v>
      </c>
      <c r="F505" s="80" t="s">
        <v>372</v>
      </c>
      <c r="G505" s="73" t="str">
        <f>INDEX(Auxiliar!$B$16:$B$23,MATCH(Plano_V3!H505,Auxiliar!$C$16:$C$23,0),1)</f>
        <v>7. Por iniciar</v>
      </c>
      <c r="H505" s="73">
        <f>VLOOKUP(A505,'Aux - pivots1'!$A:$B,2,0)</f>
        <v>7</v>
      </c>
      <c r="I505" s="93">
        <f>SUMIFS(Table1[Estimação (horas)],Table1[Tabela],Plano_V3!E505,Table1[Campo],Plano_V3!F505)</f>
        <v>4.0999999999999996</v>
      </c>
      <c r="J505" s="93">
        <f t="shared" si="59"/>
        <v>0.51249999999999996</v>
      </c>
      <c r="K505" s="93">
        <f>SUMIFS(Table1[Horas efetivas],Table1[Tabela],Plano_V3!E505,Table1[Campo],Plano_V3!F505)</f>
        <v>0</v>
      </c>
      <c r="L505" s="93">
        <f t="shared" si="60"/>
        <v>0</v>
      </c>
      <c r="M505" s="93">
        <f t="shared" si="61"/>
        <v>0</v>
      </c>
      <c r="N505" s="98" t="s">
        <v>39</v>
      </c>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87"/>
      <c r="AU505" s="87"/>
      <c r="AV505" s="87"/>
      <c r="AW505" s="100"/>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87"/>
      <c r="EJ505" s="87"/>
      <c r="EK505" s="87"/>
      <c r="EL505" s="100"/>
      <c r="EM505" s="100"/>
      <c r="EN505" s="100"/>
      <c r="EO505" s="100"/>
      <c r="EP505" s="100"/>
      <c r="EQ505" s="100"/>
    </row>
    <row r="506" spans="1:147" outlineLevel="1">
      <c r="A506" s="31" t="str">
        <f t="shared" si="62"/>
        <v>lt002_instrumentmthd_usd_instrmnt_scp_1</v>
      </c>
      <c r="B506" s="76" t="s">
        <v>28</v>
      </c>
      <c r="C506" s="77" t="s">
        <v>28</v>
      </c>
      <c r="D506" s="73" t="s">
        <v>40</v>
      </c>
      <c r="E506" s="79" t="s">
        <v>367</v>
      </c>
      <c r="F506" s="80" t="s">
        <v>373</v>
      </c>
      <c r="G506" s="73" t="str">
        <f>INDEX(Auxiliar!$B$16:$B$23,MATCH(Plano_V3!H506,Auxiliar!$C$16:$C$23,0),1)</f>
        <v>7. Por iniciar</v>
      </c>
      <c r="H506" s="73">
        <f>VLOOKUP(A506,'Aux - pivots1'!$A:$B,2,0)</f>
        <v>7</v>
      </c>
      <c r="I506" s="93">
        <f>SUMIFS(Table1[Estimação (horas)],Table1[Tabela],Plano_V3!E506,Table1[Campo],Plano_V3!F506)</f>
        <v>4.0999999999999996</v>
      </c>
      <c r="J506" s="93">
        <f t="shared" si="59"/>
        <v>0.51249999999999996</v>
      </c>
      <c r="K506" s="93">
        <f>SUMIFS(Table1[Horas efetivas],Table1[Tabela],Plano_V3!E506,Table1[Campo],Plano_V3!F506)</f>
        <v>0</v>
      </c>
      <c r="L506" s="93">
        <f t="shared" si="60"/>
        <v>0</v>
      </c>
      <c r="M506" s="93">
        <f t="shared" si="61"/>
        <v>0</v>
      </c>
      <c r="N506" s="98" t="s">
        <v>39</v>
      </c>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87"/>
      <c r="AU506" s="87"/>
      <c r="AV506" s="87"/>
      <c r="AW506" s="100"/>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87"/>
      <c r="EJ506" s="87"/>
      <c r="EK506" s="87"/>
      <c r="EL506" s="100"/>
      <c r="EM506" s="100"/>
      <c r="EN506" s="100"/>
      <c r="EO506" s="100"/>
      <c r="EP506" s="100"/>
      <c r="EQ506" s="100"/>
    </row>
    <row r="507" spans="1:147" outlineLevel="1">
      <c r="A507" s="31" t="str">
        <f t="shared" si="62"/>
        <v>lt002_instrumentmthd_usd_instrmnt_scp_2</v>
      </c>
      <c r="B507" s="76" t="s">
        <v>28</v>
      </c>
      <c r="C507" s="77" t="s">
        <v>28</v>
      </c>
      <c r="D507" s="73" t="s">
        <v>40</v>
      </c>
      <c r="E507" s="79" t="s">
        <v>367</v>
      </c>
      <c r="F507" s="80" t="s">
        <v>374</v>
      </c>
      <c r="G507" s="73" t="str">
        <f>INDEX(Auxiliar!$B$16:$B$23,MATCH(Plano_V3!H507,Auxiliar!$C$16:$C$23,0),1)</f>
        <v>7. Por iniciar</v>
      </c>
      <c r="H507" s="73">
        <f>VLOOKUP(A507,'Aux - pivots1'!$A:$B,2,0)</f>
        <v>7</v>
      </c>
      <c r="I507" s="93">
        <f>SUMIFS(Table1[Estimação (horas)],Table1[Tabela],Plano_V3!E507,Table1[Campo],Plano_V3!F507)</f>
        <v>4.0999999999999996</v>
      </c>
      <c r="J507" s="93">
        <f t="shared" si="59"/>
        <v>0.51249999999999996</v>
      </c>
      <c r="K507" s="93">
        <f>SUMIFS(Table1[Horas efetivas],Table1[Tabela],Plano_V3!E507,Table1[Campo],Plano_V3!F507)</f>
        <v>0</v>
      </c>
      <c r="L507" s="93">
        <f t="shared" si="60"/>
        <v>0</v>
      </c>
      <c r="M507" s="93">
        <f t="shared" si="61"/>
        <v>0</v>
      </c>
      <c r="N507" s="98" t="s">
        <v>39</v>
      </c>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87"/>
      <c r="AU507" s="87"/>
      <c r="AV507" s="87"/>
      <c r="AW507" s="100"/>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87"/>
      <c r="EJ507" s="87"/>
      <c r="EK507" s="87"/>
      <c r="EL507" s="100"/>
      <c r="EM507" s="100"/>
      <c r="EN507" s="100"/>
      <c r="EO507" s="100"/>
      <c r="EP507" s="100"/>
      <c r="EQ507" s="100"/>
    </row>
    <row r="508" spans="1:147" outlineLevel="1">
      <c r="A508" s="31" t="str">
        <f t="shared" si="62"/>
        <v>lt002_instrumentmthd_usd_instrmnt_scp_3</v>
      </c>
      <c r="B508" s="76" t="s">
        <v>28</v>
      </c>
      <c r="C508" s="77" t="s">
        <v>28</v>
      </c>
      <c r="D508" s="73" t="s">
        <v>40</v>
      </c>
      <c r="E508" s="79" t="s">
        <v>367</v>
      </c>
      <c r="F508" s="80" t="s">
        <v>375</v>
      </c>
      <c r="G508" s="73" t="str">
        <f>INDEX(Auxiliar!$B$16:$B$23,MATCH(Plano_V3!H508,Auxiliar!$C$16:$C$23,0),1)</f>
        <v>7. Por iniciar</v>
      </c>
      <c r="H508" s="73">
        <f>VLOOKUP(A508,'Aux - pivots1'!$A:$B,2,0)</f>
        <v>7</v>
      </c>
      <c r="I508" s="93">
        <f>SUMIFS(Table1[Estimação (horas)],Table1[Tabela],Plano_V3!E508,Table1[Campo],Plano_V3!F508)</f>
        <v>4.0999999999999996</v>
      </c>
      <c r="J508" s="93">
        <f t="shared" si="59"/>
        <v>0.51249999999999996</v>
      </c>
      <c r="K508" s="93">
        <f>SUMIFS(Table1[Horas efetivas],Table1[Tabela],Plano_V3!E508,Table1[Campo],Plano_V3!F508)</f>
        <v>0</v>
      </c>
      <c r="L508" s="93">
        <f t="shared" si="60"/>
        <v>0</v>
      </c>
      <c r="M508" s="93">
        <f t="shared" si="61"/>
        <v>0</v>
      </c>
      <c r="N508" s="98" t="s">
        <v>39</v>
      </c>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87"/>
      <c r="AU508" s="87"/>
      <c r="AV508" s="87"/>
      <c r="AW508" s="100"/>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87"/>
      <c r="EJ508" s="87"/>
      <c r="EK508" s="87"/>
      <c r="EL508" s="100"/>
      <c r="EM508" s="100"/>
      <c r="EN508" s="100"/>
      <c r="EO508" s="100"/>
      <c r="EP508" s="100"/>
      <c r="EQ508" s="100"/>
    </row>
    <row r="509" spans="1:147" outlineLevel="1">
      <c r="A509" s="31" t="str">
        <f t="shared" si="62"/>
        <v>lt002_instrumentsstnbl_ctgry_txnmy</v>
      </c>
      <c r="B509" s="76" t="s">
        <v>28</v>
      </c>
      <c r="C509" s="77" t="s">
        <v>28</v>
      </c>
      <c r="D509" s="73" t="s">
        <v>40</v>
      </c>
      <c r="E509" s="79" t="s">
        <v>367</v>
      </c>
      <c r="F509" s="80" t="s">
        <v>376</v>
      </c>
      <c r="G509" s="73" t="str">
        <f>INDEX(Auxiliar!$B$16:$B$23,MATCH(Plano_V3!H509,Auxiliar!$C$16:$C$23,0),1)</f>
        <v>7. Por iniciar</v>
      </c>
      <c r="H509" s="73">
        <f>VLOOKUP(A509,'Aux - pivots1'!$A:$B,2,0)</f>
        <v>7</v>
      </c>
      <c r="I509" s="93">
        <f>SUMIFS(Table1[Estimação (horas)],Table1[Tabela],Plano_V3!E509,Table1[Campo],Plano_V3!F509)</f>
        <v>4.0999999999999996</v>
      </c>
      <c r="J509" s="93">
        <f t="shared" si="59"/>
        <v>0.51249999999999996</v>
      </c>
      <c r="K509" s="93">
        <f>SUMIFS(Table1[Horas efetivas],Table1[Tabela],Plano_V3!E509,Table1[Campo],Plano_V3!F509)</f>
        <v>0</v>
      </c>
      <c r="L509" s="93">
        <f t="shared" si="60"/>
        <v>0</v>
      </c>
      <c r="M509" s="93">
        <f t="shared" si="61"/>
        <v>0</v>
      </c>
      <c r="N509" s="98" t="s">
        <v>39</v>
      </c>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87"/>
      <c r="AU509" s="87"/>
      <c r="AV509" s="87"/>
      <c r="AW509" s="100"/>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87"/>
      <c r="EJ509" s="87"/>
      <c r="EK509" s="87"/>
      <c r="EL509" s="100"/>
      <c r="EM509" s="100"/>
      <c r="EN509" s="100"/>
      <c r="EO509" s="100"/>
      <c r="EP509" s="100"/>
      <c r="EQ509" s="100"/>
    </row>
    <row r="510" spans="1:147" outlineLevel="1">
      <c r="A510" s="31" t="str">
        <f t="shared" si="62"/>
        <v>lt825_mthd_usd_instrmntambito</v>
      </c>
      <c r="B510" s="76" t="s">
        <v>28</v>
      </c>
      <c r="C510" s="77" t="s">
        <v>28</v>
      </c>
      <c r="D510" s="73" t="s">
        <v>40</v>
      </c>
      <c r="E510" s="79" t="s">
        <v>377</v>
      </c>
      <c r="F510" s="81" t="s">
        <v>378</v>
      </c>
      <c r="G510" s="73" t="str">
        <f>INDEX(Auxiliar!$B$16:$B$23,MATCH(Plano_V3!H510,Auxiliar!$C$16:$C$23,0),1)</f>
        <v>7. Por iniciar</v>
      </c>
      <c r="H510" s="73">
        <f>VLOOKUP(A510,'Aux - pivots1'!$A:$B,2,0)</f>
        <v>7</v>
      </c>
      <c r="I510" s="93">
        <f>SUMIFS(Table1[Estimação (horas)],Table1[Tabela],Plano_V3!E510,Table1[Campo],Plano_V3!F510)</f>
        <v>4.0999999999999996</v>
      </c>
      <c r="J510" s="93">
        <f t="shared" si="59"/>
        <v>0.51249999999999996</v>
      </c>
      <c r="K510" s="93">
        <f>SUMIFS(Table1[Horas efetivas],Table1[Tabela],Plano_V3!E510,Table1[Campo],Plano_V3!F510)</f>
        <v>0</v>
      </c>
      <c r="L510" s="93">
        <f t="shared" si="60"/>
        <v>0</v>
      </c>
      <c r="M510" s="93">
        <f t="shared" si="61"/>
        <v>0</v>
      </c>
      <c r="N510" s="98" t="s">
        <v>39</v>
      </c>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87"/>
      <c r="AU510" s="87"/>
      <c r="AV510" s="87"/>
      <c r="AW510" s="100"/>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87"/>
      <c r="EJ510" s="87"/>
      <c r="EK510" s="87"/>
      <c r="EL510" s="100"/>
      <c r="EM510" s="100"/>
      <c r="EN510" s="100"/>
      <c r="EO510" s="100"/>
      <c r="EP510" s="100"/>
      <c r="EQ510" s="100"/>
    </row>
    <row r="511" spans="1:147" outlineLevel="1">
      <c r="A511" s="31" t="str">
        <f t="shared" si="62"/>
        <v>lt825_mthd_usd_instrmntref_date</v>
      </c>
      <c r="B511" s="76" t="s">
        <v>28</v>
      </c>
      <c r="C511" s="77" t="s">
        <v>28</v>
      </c>
      <c r="D511" s="73" t="s">
        <v>40</v>
      </c>
      <c r="E511" s="79" t="s">
        <v>377</v>
      </c>
      <c r="F511" s="81" t="s">
        <v>73</v>
      </c>
      <c r="G511" s="73" t="str">
        <f>INDEX(Auxiliar!$B$16:$B$23,MATCH(Plano_V3!H511,Auxiliar!$C$16:$C$23,0),1)</f>
        <v>7. Por iniciar</v>
      </c>
      <c r="H511" s="73">
        <f>VLOOKUP(A511,'Aux - pivots1'!$A:$B,2,0)</f>
        <v>7</v>
      </c>
      <c r="I511" s="93">
        <f>SUMIFS(Table1[Estimação (horas)],Table1[Tabela],Plano_V3!E511,Table1[Campo],Plano_V3!F511)</f>
        <v>4.0999999999999996</v>
      </c>
      <c r="J511" s="93">
        <f t="shared" si="59"/>
        <v>0.51249999999999996</v>
      </c>
      <c r="K511" s="93">
        <f>SUMIFS(Table1[Horas efetivas],Table1[Tabela],Plano_V3!E511,Table1[Campo],Plano_V3!F511)</f>
        <v>0</v>
      </c>
      <c r="L511" s="93">
        <f t="shared" si="60"/>
        <v>0</v>
      </c>
      <c r="M511" s="93">
        <f t="shared" si="61"/>
        <v>0</v>
      </c>
      <c r="N511" s="98" t="s">
        <v>39</v>
      </c>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87"/>
      <c r="AU511" s="87"/>
      <c r="AV511" s="87"/>
      <c r="AW511" s="100"/>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87"/>
      <c r="EJ511" s="87"/>
      <c r="EK511" s="87"/>
      <c r="EL511" s="100"/>
      <c r="EM511" s="100"/>
      <c r="EN511" s="100"/>
      <c r="EO511" s="100"/>
      <c r="EP511" s="100"/>
      <c r="EQ511" s="100"/>
    </row>
    <row r="512" spans="1:147" outlineLevel="1">
      <c r="A512" s="31" t="str">
        <f t="shared" si="62"/>
        <v>lt825_mthd_usd_instrmntordem</v>
      </c>
      <c r="B512" s="76" t="s">
        <v>28</v>
      </c>
      <c r="C512" s="77" t="s">
        <v>28</v>
      </c>
      <c r="D512" s="73" t="s">
        <v>40</v>
      </c>
      <c r="E512" s="79" t="s">
        <v>377</v>
      </c>
      <c r="F512" s="81" t="s">
        <v>322</v>
      </c>
      <c r="G512" s="73" t="str">
        <f>INDEX(Auxiliar!$B$16:$B$23,MATCH(Plano_V3!H512,Auxiliar!$C$16:$C$23,0),1)</f>
        <v>7. Por iniciar</v>
      </c>
      <c r="H512" s="73">
        <f>VLOOKUP(A512,'Aux - pivots1'!$A:$B,2,0)</f>
        <v>7</v>
      </c>
      <c r="I512" s="93">
        <f>SUMIFS(Table1[Estimação (horas)],Table1[Tabela],Plano_V3!E512,Table1[Campo],Plano_V3!F512)</f>
        <v>4.0999999999999996</v>
      </c>
      <c r="J512" s="93">
        <f t="shared" si="59"/>
        <v>0.51249999999999996</v>
      </c>
      <c r="K512" s="93">
        <f>SUMIFS(Table1[Horas efetivas],Table1[Tabela],Plano_V3!E512,Table1[Campo],Plano_V3!F512)</f>
        <v>0</v>
      </c>
      <c r="L512" s="93">
        <f t="shared" si="60"/>
        <v>0</v>
      </c>
      <c r="M512" s="93">
        <f t="shared" si="61"/>
        <v>0</v>
      </c>
      <c r="N512" s="98" t="s">
        <v>39</v>
      </c>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87"/>
      <c r="AU512" s="87"/>
      <c r="AV512" s="87"/>
      <c r="AW512" s="100"/>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87"/>
      <c r="EJ512" s="87"/>
      <c r="EK512" s="87"/>
      <c r="EL512" s="100"/>
      <c r="EM512" s="100"/>
      <c r="EN512" s="100"/>
      <c r="EO512" s="100"/>
      <c r="EP512" s="100"/>
      <c r="EQ512" s="100"/>
    </row>
    <row r="513" spans="1:147" outlineLevel="1">
      <c r="A513" s="31" t="str">
        <f t="shared" si="62"/>
        <v>lt825_mthd_usd_instrmnttabela</v>
      </c>
      <c r="B513" s="76" t="s">
        <v>28</v>
      </c>
      <c r="C513" s="77" t="s">
        <v>28</v>
      </c>
      <c r="D513" s="73" t="s">
        <v>40</v>
      </c>
      <c r="E513" s="79" t="s">
        <v>377</v>
      </c>
      <c r="F513" s="81" t="s">
        <v>379</v>
      </c>
      <c r="G513" s="73" t="str">
        <f>INDEX(Auxiliar!$B$16:$B$23,MATCH(Plano_V3!H513,Auxiliar!$C$16:$C$23,0),1)</f>
        <v>7. Por iniciar</v>
      </c>
      <c r="H513" s="73">
        <f>VLOOKUP(A513,'Aux - pivots1'!$A:$B,2,0)</f>
        <v>7</v>
      </c>
      <c r="I513" s="93">
        <f>SUMIFS(Table1[Estimação (horas)],Table1[Tabela],Plano_V3!E513,Table1[Campo],Plano_V3!F513)</f>
        <v>4.0999999999999996</v>
      </c>
      <c r="J513" s="93">
        <f t="shared" si="59"/>
        <v>0.51249999999999996</v>
      </c>
      <c r="K513" s="93">
        <f>SUMIFS(Table1[Horas efetivas],Table1[Tabela],Plano_V3!E513,Table1[Campo],Plano_V3!F513)</f>
        <v>0</v>
      </c>
      <c r="L513" s="93">
        <f t="shared" si="60"/>
        <v>0</v>
      </c>
      <c r="M513" s="93">
        <f t="shared" si="61"/>
        <v>0</v>
      </c>
      <c r="N513" s="98" t="s">
        <v>39</v>
      </c>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87"/>
      <c r="AU513" s="87"/>
      <c r="AV513" s="87"/>
      <c r="AW513" s="100"/>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87"/>
      <c r="EJ513" s="87"/>
      <c r="EK513" s="87"/>
      <c r="EL513" s="100"/>
      <c r="EM513" s="100"/>
      <c r="EN513" s="100"/>
      <c r="EO513" s="100"/>
      <c r="EP513" s="100"/>
      <c r="EQ513" s="100"/>
    </row>
    <row r="514" spans="1:147" outlineLevel="1">
      <c r="A514" s="31" t="str">
        <f t="shared" si="62"/>
        <v>lt825_mthd_usd_instrmntorigem_scp1_emss</v>
      </c>
      <c r="B514" s="76" t="s">
        <v>28</v>
      </c>
      <c r="C514" s="77" t="s">
        <v>28</v>
      </c>
      <c r="D514" s="73" t="s">
        <v>40</v>
      </c>
      <c r="E514" s="79" t="s">
        <v>377</v>
      </c>
      <c r="F514" s="80" t="s">
        <v>306</v>
      </c>
      <c r="G514" s="73" t="str">
        <f>INDEX(Auxiliar!$B$16:$B$23,MATCH(Plano_V3!H514,Auxiliar!$C$16:$C$23,0),1)</f>
        <v>7. Por iniciar</v>
      </c>
      <c r="H514" s="73">
        <f>VLOOKUP(A514,'Aux - pivots1'!$A:$B,2,0)</f>
        <v>7</v>
      </c>
      <c r="I514" s="93">
        <f>SUMIFS(Table1[Estimação (horas)],Table1[Tabela],Plano_V3!E514,Table1[Campo],Plano_V3!F514)</f>
        <v>4.0999999999999996</v>
      </c>
      <c r="J514" s="93">
        <f t="shared" si="59"/>
        <v>0.51249999999999996</v>
      </c>
      <c r="K514" s="93">
        <f>SUMIFS(Table1[Horas efetivas],Table1[Tabela],Plano_V3!E514,Table1[Campo],Plano_V3!F514)</f>
        <v>0</v>
      </c>
      <c r="L514" s="93">
        <f t="shared" si="60"/>
        <v>0</v>
      </c>
      <c r="M514" s="93">
        <f t="shared" si="61"/>
        <v>0</v>
      </c>
      <c r="N514" s="98" t="s">
        <v>39</v>
      </c>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87"/>
      <c r="AU514" s="87"/>
      <c r="AV514" s="87"/>
      <c r="AW514" s="100"/>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87"/>
      <c r="EJ514" s="87"/>
      <c r="EK514" s="87"/>
      <c r="EL514" s="100"/>
      <c r="EM514" s="100"/>
      <c r="EN514" s="100"/>
      <c r="EO514" s="100"/>
      <c r="EP514" s="100"/>
      <c r="EQ514" s="100"/>
    </row>
    <row r="515" spans="1:147" outlineLevel="1">
      <c r="A515" s="31" t="str">
        <f t="shared" si="62"/>
        <v>lt825_mthd_usd_instrmntorigem_scp2_emss</v>
      </c>
      <c r="B515" s="76" t="s">
        <v>28</v>
      </c>
      <c r="C515" s="77" t="s">
        <v>28</v>
      </c>
      <c r="D515" s="73" t="s">
        <v>40</v>
      </c>
      <c r="E515" s="79" t="s">
        <v>377</v>
      </c>
      <c r="F515" s="80" t="s">
        <v>307</v>
      </c>
      <c r="G515" s="73" t="str">
        <f>INDEX(Auxiliar!$B$16:$B$23,MATCH(Plano_V3!H515,Auxiliar!$C$16:$C$23,0),1)</f>
        <v>7. Por iniciar</v>
      </c>
      <c r="H515" s="73">
        <f>VLOOKUP(A515,'Aux - pivots1'!$A:$B,2,0)</f>
        <v>7</v>
      </c>
      <c r="I515" s="93">
        <f>SUMIFS(Table1[Estimação (horas)],Table1[Tabela],Plano_V3!E515,Table1[Campo],Plano_V3!F515)</f>
        <v>4.0999999999999996</v>
      </c>
      <c r="J515" s="93">
        <f t="shared" si="59"/>
        <v>0.51249999999999996</v>
      </c>
      <c r="K515" s="93">
        <f>SUMIFS(Table1[Horas efetivas],Table1[Tabela],Plano_V3!E515,Table1[Campo],Plano_V3!F515)</f>
        <v>0</v>
      </c>
      <c r="L515" s="93">
        <f t="shared" si="60"/>
        <v>0</v>
      </c>
      <c r="M515" s="93">
        <f t="shared" si="61"/>
        <v>0</v>
      </c>
      <c r="N515" s="98" t="s">
        <v>39</v>
      </c>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87"/>
      <c r="AU515" s="87"/>
      <c r="AV515" s="87"/>
      <c r="AW515" s="100"/>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87"/>
      <c r="EJ515" s="87"/>
      <c r="EK515" s="87"/>
      <c r="EL515" s="100"/>
      <c r="EM515" s="100"/>
      <c r="EN515" s="100"/>
      <c r="EO515" s="100"/>
      <c r="EP515" s="100"/>
      <c r="EQ515" s="100"/>
    </row>
    <row r="516" spans="1:147" outlineLevel="1">
      <c r="A516" s="31" t="str">
        <f t="shared" si="62"/>
        <v>lt825_mthd_usd_instrmntorigem_scp3_emss</v>
      </c>
      <c r="B516" s="76" t="s">
        <v>28</v>
      </c>
      <c r="C516" s="77" t="s">
        <v>28</v>
      </c>
      <c r="D516" s="73" t="s">
        <v>40</v>
      </c>
      <c r="E516" s="79" t="s">
        <v>377</v>
      </c>
      <c r="F516" s="80" t="s">
        <v>308</v>
      </c>
      <c r="G516" s="73" t="str">
        <f>INDEX(Auxiliar!$B$16:$B$23,MATCH(Plano_V3!H516,Auxiliar!$C$16:$C$23,0),1)</f>
        <v>7. Por iniciar</v>
      </c>
      <c r="H516" s="73">
        <f>VLOOKUP(A516,'Aux - pivots1'!$A:$B,2,0)</f>
        <v>7</v>
      </c>
      <c r="I516" s="93">
        <f>SUMIFS(Table1[Estimação (horas)],Table1[Tabela],Plano_V3!E516,Table1[Campo],Plano_V3!F516)</f>
        <v>4.0999999999999996</v>
      </c>
      <c r="J516" s="93">
        <f t="shared" si="59"/>
        <v>0.51249999999999996</v>
      </c>
      <c r="K516" s="93">
        <f>SUMIFS(Table1[Horas efetivas],Table1[Tabela],Plano_V3!E516,Table1[Campo],Plano_V3!F516)</f>
        <v>0</v>
      </c>
      <c r="L516" s="93">
        <f t="shared" si="60"/>
        <v>0</v>
      </c>
      <c r="M516" s="93">
        <f t="shared" si="61"/>
        <v>0</v>
      </c>
      <c r="N516" s="98" t="s">
        <v>39</v>
      </c>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87"/>
      <c r="AU516" s="87"/>
      <c r="AV516" s="87"/>
      <c r="AW516" s="100"/>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87"/>
      <c r="EJ516" s="87"/>
      <c r="EK516" s="87"/>
      <c r="EL516" s="100"/>
      <c r="EM516" s="100"/>
      <c r="EN516" s="100"/>
      <c r="EO516" s="100"/>
      <c r="EP516" s="100"/>
      <c r="EQ516" s="100"/>
    </row>
    <row r="517" spans="1:147" outlineLevel="1">
      <c r="A517" s="31" t="str">
        <f t="shared" si="62"/>
        <v>lt825_mthd_usd_instrmntmthd_usd_instrmnt_scp_1</v>
      </c>
      <c r="B517" s="76" t="s">
        <v>28</v>
      </c>
      <c r="C517" s="77" t="s">
        <v>28</v>
      </c>
      <c r="D517" s="73" t="s">
        <v>40</v>
      </c>
      <c r="E517" s="79" t="s">
        <v>377</v>
      </c>
      <c r="F517" s="80" t="s">
        <v>373</v>
      </c>
      <c r="G517" s="73" t="str">
        <f>INDEX(Auxiliar!$B$16:$B$23,MATCH(Plano_V3!H517,Auxiliar!$C$16:$C$23,0),1)</f>
        <v>7. Por iniciar</v>
      </c>
      <c r="H517" s="73">
        <f>VLOOKUP(A517,'Aux - pivots1'!$A:$B,2,0)</f>
        <v>7</v>
      </c>
      <c r="I517" s="93">
        <f>SUMIFS(Table1[Estimação (horas)],Table1[Tabela],Plano_V3!E517,Table1[Campo],Plano_V3!F517)</f>
        <v>4.0999999999999996</v>
      </c>
      <c r="J517" s="93">
        <f t="shared" si="59"/>
        <v>0.51249999999999996</v>
      </c>
      <c r="K517" s="93">
        <f>SUMIFS(Table1[Horas efetivas],Table1[Tabela],Plano_V3!E517,Table1[Campo],Plano_V3!F517)</f>
        <v>0</v>
      </c>
      <c r="L517" s="93">
        <f t="shared" si="60"/>
        <v>0</v>
      </c>
      <c r="M517" s="93">
        <f t="shared" si="61"/>
        <v>0</v>
      </c>
      <c r="N517" s="98" t="s">
        <v>39</v>
      </c>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87"/>
      <c r="AU517" s="87"/>
      <c r="AV517" s="87"/>
      <c r="AW517" s="100"/>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87"/>
      <c r="EJ517" s="87"/>
      <c r="EK517" s="87"/>
      <c r="EL517" s="100"/>
      <c r="EM517" s="100"/>
      <c r="EN517" s="100"/>
      <c r="EO517" s="100"/>
      <c r="EP517" s="100"/>
      <c r="EQ517" s="100"/>
    </row>
    <row r="518" spans="1:147" outlineLevel="1">
      <c r="A518" s="31" t="str">
        <f t="shared" si="62"/>
        <v>lt825_mthd_usd_instrmntmthd_usd_instrmnt_scp_2</v>
      </c>
      <c r="B518" s="76" t="s">
        <v>28</v>
      </c>
      <c r="C518" s="77" t="s">
        <v>28</v>
      </c>
      <c r="D518" s="73" t="s">
        <v>40</v>
      </c>
      <c r="E518" s="79" t="s">
        <v>377</v>
      </c>
      <c r="F518" s="80" t="s">
        <v>374</v>
      </c>
      <c r="G518" s="73" t="str">
        <f>INDEX(Auxiliar!$B$16:$B$23,MATCH(Plano_V3!H518,Auxiliar!$C$16:$C$23,0),1)</f>
        <v>7. Por iniciar</v>
      </c>
      <c r="H518" s="73">
        <f>VLOOKUP(A518,'Aux - pivots1'!$A:$B,2,0)</f>
        <v>7</v>
      </c>
      <c r="I518" s="93">
        <f>SUMIFS(Table1[Estimação (horas)],Table1[Tabela],Plano_V3!E518,Table1[Campo],Plano_V3!F518)</f>
        <v>4.0999999999999996</v>
      </c>
      <c r="J518" s="93">
        <f t="shared" si="59"/>
        <v>0.51249999999999996</v>
      </c>
      <c r="K518" s="93">
        <f>SUMIFS(Table1[Horas efetivas],Table1[Tabela],Plano_V3!E518,Table1[Campo],Plano_V3!F518)</f>
        <v>0</v>
      </c>
      <c r="L518" s="93">
        <f t="shared" si="60"/>
        <v>0</v>
      </c>
      <c r="M518" s="93">
        <f t="shared" si="61"/>
        <v>0</v>
      </c>
      <c r="N518" s="98" t="s">
        <v>39</v>
      </c>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87"/>
      <c r="AU518" s="87"/>
      <c r="AV518" s="87"/>
      <c r="AW518" s="100"/>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87"/>
      <c r="EJ518" s="87"/>
      <c r="EK518" s="87"/>
      <c r="EL518" s="100"/>
      <c r="EM518" s="100"/>
      <c r="EN518" s="100"/>
      <c r="EO518" s="100"/>
      <c r="EP518" s="100"/>
      <c r="EQ518" s="100"/>
    </row>
    <row r="519" spans="1:147" outlineLevel="1">
      <c r="A519" s="31" t="str">
        <f t="shared" si="62"/>
        <v>lt825_mthd_usd_instrmntmthd_usd_instrmnt_scp_3</v>
      </c>
      <c r="B519" s="76" t="s">
        <v>28</v>
      </c>
      <c r="C519" s="77" t="s">
        <v>28</v>
      </c>
      <c r="D519" s="73" t="s">
        <v>40</v>
      </c>
      <c r="E519" s="79" t="s">
        <v>377</v>
      </c>
      <c r="F519" s="80" t="s">
        <v>375</v>
      </c>
      <c r="G519" s="73" t="str">
        <f>INDEX(Auxiliar!$B$16:$B$23,MATCH(Plano_V3!H519,Auxiliar!$C$16:$C$23,0),1)</f>
        <v>7. Por iniciar</v>
      </c>
      <c r="H519" s="73">
        <f>VLOOKUP(A519,'Aux - pivots1'!$A:$B,2,0)</f>
        <v>7</v>
      </c>
      <c r="I519" s="93">
        <f>SUMIFS(Table1[Estimação (horas)],Table1[Tabela],Plano_V3!E519,Table1[Campo],Plano_V3!F519)</f>
        <v>4.0999999999999996</v>
      </c>
      <c r="J519" s="93">
        <f t="shared" si="59"/>
        <v>0.51249999999999996</v>
      </c>
      <c r="K519" s="93">
        <f>SUMIFS(Table1[Horas efetivas],Table1[Tabela],Plano_V3!E519,Table1[Campo],Plano_V3!F519)</f>
        <v>0</v>
      </c>
      <c r="L519" s="93">
        <f t="shared" si="60"/>
        <v>0</v>
      </c>
      <c r="M519" s="93">
        <f t="shared" si="61"/>
        <v>0</v>
      </c>
      <c r="N519" s="98" t="s">
        <v>39</v>
      </c>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87"/>
      <c r="AU519" s="87"/>
      <c r="AV519" s="87"/>
      <c r="AW519" s="100"/>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87"/>
      <c r="EJ519" s="87"/>
      <c r="EK519" s="87"/>
      <c r="EL519" s="100"/>
      <c r="EM519" s="100"/>
      <c r="EN519" s="100"/>
      <c r="EO519" s="100"/>
      <c r="EP519" s="100"/>
      <c r="EQ519" s="100"/>
    </row>
    <row r="520" spans="1:147" outlineLevel="1">
      <c r="A520" s="31" t="str">
        <f t="shared" si="62"/>
        <v>lt826_esg_sbsctrambito</v>
      </c>
      <c r="B520" s="76" t="s">
        <v>28</v>
      </c>
      <c r="C520" s="77" t="s">
        <v>28</v>
      </c>
      <c r="D520" s="73" t="s">
        <v>40</v>
      </c>
      <c r="E520" s="79" t="s">
        <v>380</v>
      </c>
      <c r="F520" s="81" t="s">
        <v>378</v>
      </c>
      <c r="G520" s="73" t="str">
        <f>INDEX(Auxiliar!$B$16:$B$23,MATCH(Plano_V3!H520,Auxiliar!$C$16:$C$23,0),1)</f>
        <v>7. Por iniciar</v>
      </c>
      <c r="H520" s="73">
        <f>VLOOKUP(A520,'Aux - pivots1'!$A:$B,2,0)</f>
        <v>7</v>
      </c>
      <c r="I520" s="93">
        <f>SUMIFS(Table1[Estimação (horas)],Table1[Tabela],Plano_V3!E520,Table1[Campo],Plano_V3!F520)</f>
        <v>4.0999999999999996</v>
      </c>
      <c r="J520" s="93">
        <f t="shared" si="59"/>
        <v>0.51249999999999996</v>
      </c>
      <c r="K520" s="93">
        <f>SUMIFS(Table1[Horas efetivas],Table1[Tabela],Plano_V3!E520,Table1[Campo],Plano_V3!F520)</f>
        <v>0</v>
      </c>
      <c r="L520" s="93">
        <f t="shared" si="60"/>
        <v>0</v>
      </c>
      <c r="M520" s="93">
        <f t="shared" si="61"/>
        <v>0</v>
      </c>
      <c r="N520" s="98" t="s">
        <v>39</v>
      </c>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87"/>
      <c r="AU520" s="87"/>
      <c r="AV520" s="87"/>
      <c r="AW520" s="100"/>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87"/>
      <c r="EJ520" s="87"/>
      <c r="EK520" s="87"/>
      <c r="EL520" s="100"/>
      <c r="EM520" s="100"/>
      <c r="EN520" s="100"/>
      <c r="EO520" s="100"/>
      <c r="EP520" s="100"/>
      <c r="EQ520" s="100"/>
    </row>
    <row r="521" spans="1:147" outlineLevel="1">
      <c r="A521" s="31" t="str">
        <f t="shared" si="62"/>
        <v>lt826_esg_sbsctrref_date</v>
      </c>
      <c r="B521" s="76" t="s">
        <v>28</v>
      </c>
      <c r="C521" s="77" t="s">
        <v>28</v>
      </c>
      <c r="D521" s="73" t="s">
        <v>40</v>
      </c>
      <c r="E521" s="79" t="s">
        <v>380</v>
      </c>
      <c r="F521" s="81" t="s">
        <v>73</v>
      </c>
      <c r="G521" s="73" t="str">
        <f>INDEX(Auxiliar!$B$16:$B$23,MATCH(Plano_V3!H521,Auxiliar!$C$16:$C$23,0),1)</f>
        <v>7. Por iniciar</v>
      </c>
      <c r="H521" s="73">
        <f>VLOOKUP(A521,'Aux - pivots1'!$A:$B,2,0)</f>
        <v>7</v>
      </c>
      <c r="I521" s="93">
        <f>SUMIFS(Table1[Estimação (horas)],Table1[Tabela],Plano_V3!E521,Table1[Campo],Plano_V3!F521)</f>
        <v>4.0999999999999996</v>
      </c>
      <c r="J521" s="93">
        <f t="shared" ref="J521:J582" si="63">I521/8</f>
        <v>0.51249999999999996</v>
      </c>
      <c r="K521" s="93">
        <f>SUMIFS(Table1[Horas efetivas],Table1[Tabela],Plano_V3!E521,Table1[Campo],Plano_V3!F521)</f>
        <v>0</v>
      </c>
      <c r="L521" s="93">
        <f t="shared" ref="L521:L582" si="64">K521/8</f>
        <v>0</v>
      </c>
      <c r="M521" s="93">
        <f t="shared" ref="M521:M583" si="65">L521/J521</f>
        <v>0</v>
      </c>
      <c r="N521" s="98" t="s">
        <v>39</v>
      </c>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87"/>
      <c r="AU521" s="87"/>
      <c r="AV521" s="87"/>
      <c r="AW521" s="100"/>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87"/>
      <c r="EJ521" s="87"/>
      <c r="EK521" s="87"/>
      <c r="EL521" s="100"/>
      <c r="EM521" s="100"/>
      <c r="EN521" s="100"/>
      <c r="EO521" s="100"/>
      <c r="EP521" s="100"/>
      <c r="EQ521" s="100"/>
    </row>
    <row r="522" spans="1:147" outlineLevel="1">
      <c r="A522" s="31" t="str">
        <f t="shared" si="62"/>
        <v>lt826_esg_sbsctrordem</v>
      </c>
      <c r="B522" s="76" t="s">
        <v>28</v>
      </c>
      <c r="C522" s="77" t="s">
        <v>28</v>
      </c>
      <c r="D522" s="73" t="s">
        <v>40</v>
      </c>
      <c r="E522" s="79" t="s">
        <v>380</v>
      </c>
      <c r="F522" s="81" t="s">
        <v>322</v>
      </c>
      <c r="G522" s="73" t="str">
        <f>INDEX(Auxiliar!$B$16:$B$23,MATCH(Plano_V3!H522,Auxiliar!$C$16:$C$23,0),1)</f>
        <v>7. Por iniciar</v>
      </c>
      <c r="H522" s="73">
        <f>VLOOKUP(A522,'Aux - pivots1'!$A:$B,2,0)</f>
        <v>7</v>
      </c>
      <c r="I522" s="93">
        <f>SUMIFS(Table1[Estimação (horas)],Table1[Tabela],Plano_V3!E522,Table1[Campo],Plano_V3!F522)</f>
        <v>4.0999999999999996</v>
      </c>
      <c r="J522" s="93">
        <f t="shared" si="63"/>
        <v>0.51249999999999996</v>
      </c>
      <c r="K522" s="93">
        <f>SUMIFS(Table1[Horas efetivas],Table1[Tabela],Plano_V3!E522,Table1[Campo],Plano_V3!F522)</f>
        <v>0</v>
      </c>
      <c r="L522" s="93">
        <f t="shared" si="64"/>
        <v>0</v>
      </c>
      <c r="M522" s="93">
        <f t="shared" si="65"/>
        <v>0</v>
      </c>
      <c r="N522" s="98" t="s">
        <v>39</v>
      </c>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87"/>
      <c r="AU522" s="87"/>
      <c r="AV522" s="87"/>
      <c r="AW522" s="100"/>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87"/>
      <c r="EJ522" s="87"/>
      <c r="EK522" s="87"/>
      <c r="EL522" s="100"/>
      <c r="EM522" s="100"/>
      <c r="EN522" s="100"/>
      <c r="EO522" s="100"/>
      <c r="EP522" s="100"/>
      <c r="EQ522" s="100"/>
    </row>
    <row r="523" spans="1:147" outlineLevel="1">
      <c r="A523" s="31" t="str">
        <f t="shared" si="62"/>
        <v>lt826_esg_sbsctrnace_code</v>
      </c>
      <c r="B523" s="76" t="s">
        <v>28</v>
      </c>
      <c r="C523" s="77" t="s">
        <v>28</v>
      </c>
      <c r="D523" s="73" t="s">
        <v>40</v>
      </c>
      <c r="E523" s="79" t="s">
        <v>380</v>
      </c>
      <c r="F523" s="80" t="s">
        <v>381</v>
      </c>
      <c r="G523" s="73" t="str">
        <f>INDEX(Auxiliar!$B$16:$B$23,MATCH(Plano_V3!H523,Auxiliar!$C$16:$C$23,0),1)</f>
        <v>7. Por iniciar</v>
      </c>
      <c r="H523" s="73">
        <f>VLOOKUP(A523,'Aux - pivots1'!$A:$B,2,0)</f>
        <v>7</v>
      </c>
      <c r="I523" s="93">
        <f>SUMIFS(Table1[Estimação (horas)],Table1[Tabela],Plano_V3!E523,Table1[Campo],Plano_V3!F523)</f>
        <v>4.0999999999999996</v>
      </c>
      <c r="J523" s="93">
        <f t="shared" si="63"/>
        <v>0.51249999999999996</v>
      </c>
      <c r="K523" s="93">
        <f>SUMIFS(Table1[Horas efetivas],Table1[Tabela],Plano_V3!E523,Table1[Campo],Plano_V3!F523)</f>
        <v>0</v>
      </c>
      <c r="L523" s="93">
        <f t="shared" si="64"/>
        <v>0</v>
      </c>
      <c r="M523" s="93">
        <f t="shared" si="65"/>
        <v>0</v>
      </c>
      <c r="N523" s="98" t="s">
        <v>39</v>
      </c>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87"/>
      <c r="AU523" s="87"/>
      <c r="AV523" s="87"/>
      <c r="AW523" s="100"/>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87"/>
      <c r="EJ523" s="87"/>
      <c r="EK523" s="87"/>
      <c r="EL523" s="100"/>
      <c r="EM523" s="100"/>
      <c r="EN523" s="100"/>
      <c r="EO523" s="100"/>
      <c r="EP523" s="100"/>
      <c r="EQ523" s="100"/>
    </row>
    <row r="524" spans="1:147" outlineLevel="1">
      <c r="A524" s="31" t="str">
        <f t="shared" si="62"/>
        <v>lt826_esg_sbsctrcontraparte</v>
      </c>
      <c r="B524" s="76" t="s">
        <v>28</v>
      </c>
      <c r="C524" s="77" t="s">
        <v>28</v>
      </c>
      <c r="D524" s="73" t="s">
        <v>40</v>
      </c>
      <c r="E524" s="79" t="s">
        <v>380</v>
      </c>
      <c r="F524" s="80" t="s">
        <v>382</v>
      </c>
      <c r="G524" s="73" t="str">
        <f>INDEX(Auxiliar!$B$16:$B$23,MATCH(Plano_V3!H524,Auxiliar!$C$16:$C$23,0),1)</f>
        <v>7. Por iniciar</v>
      </c>
      <c r="H524" s="73">
        <f>VLOOKUP(A524,'Aux - pivots1'!$A:$B,2,0)</f>
        <v>7</v>
      </c>
      <c r="I524" s="93">
        <f>SUMIFS(Table1[Estimação (horas)],Table1[Tabela],Plano_V3!E524,Table1[Campo],Plano_V3!F524)</f>
        <v>4.0999999999999996</v>
      </c>
      <c r="J524" s="93">
        <f t="shared" si="63"/>
        <v>0.51249999999999996</v>
      </c>
      <c r="K524" s="93">
        <f>SUMIFS(Table1[Horas efetivas],Table1[Tabela],Plano_V3!E524,Table1[Campo],Plano_V3!F524)</f>
        <v>0</v>
      </c>
      <c r="L524" s="93">
        <f t="shared" si="64"/>
        <v>0</v>
      </c>
      <c r="M524" s="93">
        <f t="shared" si="65"/>
        <v>0</v>
      </c>
      <c r="N524" s="98" t="s">
        <v>39</v>
      </c>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87"/>
      <c r="AU524" s="87"/>
      <c r="AV524" s="87"/>
      <c r="AW524" s="100"/>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87"/>
      <c r="EJ524" s="87"/>
      <c r="EK524" s="87"/>
      <c r="EL524" s="100"/>
      <c r="EM524" s="100"/>
      <c r="EN524" s="100"/>
      <c r="EO524" s="100"/>
      <c r="EP524" s="100"/>
      <c r="EQ524" s="100"/>
    </row>
    <row r="525" spans="1:147" outlineLevel="1">
      <c r="A525" s="31" t="str">
        <f t="shared" si="62"/>
        <v>lt826_esg_sbsctrcnatureza_juri</v>
      </c>
      <c r="B525" s="76" t="s">
        <v>28</v>
      </c>
      <c r="C525" s="77" t="s">
        <v>28</v>
      </c>
      <c r="D525" s="73" t="s">
        <v>40</v>
      </c>
      <c r="E525" s="79" t="s">
        <v>380</v>
      </c>
      <c r="F525" s="80" t="s">
        <v>383</v>
      </c>
      <c r="G525" s="73" t="str">
        <f>INDEX(Auxiliar!$B$16:$B$23,MATCH(Plano_V3!H525,Auxiliar!$C$16:$C$23,0),1)</f>
        <v>7. Por iniciar</v>
      </c>
      <c r="H525" s="73">
        <f>VLOOKUP(A525,'Aux - pivots1'!$A:$B,2,0)</f>
        <v>7</v>
      </c>
      <c r="I525" s="93">
        <f>SUMIFS(Table1[Estimação (horas)],Table1[Tabela],Plano_V3!E525,Table1[Campo],Plano_V3!F525)</f>
        <v>4.0999999999999996</v>
      </c>
      <c r="J525" s="93">
        <f t="shared" si="63"/>
        <v>0.51249999999999996</v>
      </c>
      <c r="K525" s="93">
        <f>SUMIFS(Table1[Horas efetivas],Table1[Tabela],Plano_V3!E525,Table1[Campo],Plano_V3!F525)</f>
        <v>0</v>
      </c>
      <c r="L525" s="93">
        <f t="shared" si="64"/>
        <v>0</v>
      </c>
      <c r="M525" s="93">
        <f t="shared" si="65"/>
        <v>0</v>
      </c>
      <c r="N525" s="98" t="s">
        <v>39</v>
      </c>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87"/>
      <c r="AU525" s="87"/>
      <c r="AV525" s="87"/>
      <c r="AW525" s="100"/>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87"/>
      <c r="EJ525" s="87"/>
      <c r="EK525" s="87"/>
      <c r="EL525" s="100"/>
      <c r="EM525" s="100"/>
      <c r="EN525" s="100"/>
      <c r="EO525" s="100"/>
      <c r="EP525" s="100"/>
      <c r="EQ525" s="100"/>
    </row>
    <row r="526" spans="1:147" outlineLevel="1">
      <c r="A526" s="31" t="str">
        <f t="shared" si="62"/>
        <v>lt826_esg_sbsctridcomb</v>
      </c>
      <c r="B526" s="76" t="s">
        <v>28</v>
      </c>
      <c r="C526" s="77" t="s">
        <v>28</v>
      </c>
      <c r="D526" s="73" t="s">
        <v>40</v>
      </c>
      <c r="E526" s="79" t="s">
        <v>380</v>
      </c>
      <c r="F526" s="80" t="s">
        <v>384</v>
      </c>
      <c r="G526" s="73" t="str">
        <f>INDEX(Auxiliar!$B$16:$B$23,MATCH(Plano_V3!H526,Auxiliar!$C$16:$C$23,0),1)</f>
        <v>7. Por iniciar</v>
      </c>
      <c r="H526" s="73">
        <f>VLOOKUP(A526,'Aux - pivots1'!$A:$B,2,0)</f>
        <v>7</v>
      </c>
      <c r="I526" s="93">
        <f>SUMIFS(Table1[Estimação (horas)],Table1[Tabela],Plano_V3!E526,Table1[Campo],Plano_V3!F526)</f>
        <v>4.0999999999999996</v>
      </c>
      <c r="J526" s="93">
        <f t="shared" si="63"/>
        <v>0.51249999999999996</v>
      </c>
      <c r="K526" s="93">
        <f>SUMIFS(Table1[Horas efetivas],Table1[Tabela],Plano_V3!E526,Table1[Campo],Plano_V3!F526)</f>
        <v>0</v>
      </c>
      <c r="L526" s="93">
        <f t="shared" si="64"/>
        <v>0</v>
      </c>
      <c r="M526" s="93">
        <f t="shared" si="65"/>
        <v>0</v>
      </c>
      <c r="N526" s="98" t="s">
        <v>39</v>
      </c>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87"/>
      <c r="AU526" s="87"/>
      <c r="AV526" s="87"/>
      <c r="AW526" s="100"/>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87"/>
      <c r="EJ526" s="87"/>
      <c r="EK526" s="87"/>
      <c r="EL526" s="100"/>
      <c r="EM526" s="100"/>
      <c r="EN526" s="100"/>
      <c r="EO526" s="100"/>
      <c r="EP526" s="100"/>
      <c r="EQ526" s="100"/>
    </row>
    <row r="527" spans="1:147" outlineLevel="1">
      <c r="A527" s="31" t="str">
        <f t="shared" si="62"/>
        <v>lt826_esg_sbsctresg_sbsctr</v>
      </c>
      <c r="B527" s="76" t="s">
        <v>28</v>
      </c>
      <c r="C527" s="77" t="s">
        <v>28</v>
      </c>
      <c r="D527" s="73" t="s">
        <v>40</v>
      </c>
      <c r="E527" s="79" t="s">
        <v>380</v>
      </c>
      <c r="F527" s="80" t="s">
        <v>348</v>
      </c>
      <c r="G527" s="73" t="str">
        <f>INDEX(Auxiliar!$B$16:$B$23,MATCH(Plano_V3!H527,Auxiliar!$C$16:$C$23,0),1)</f>
        <v>7. Por iniciar</v>
      </c>
      <c r="H527" s="73">
        <f>VLOOKUP(A527,'Aux - pivots1'!$A:$B,2,0)</f>
        <v>7</v>
      </c>
      <c r="I527" s="93">
        <f>SUMIFS(Table1[Estimação (horas)],Table1[Tabela],Plano_V3!E527,Table1[Campo],Plano_V3!F527)</f>
        <v>4.0999999999999996</v>
      </c>
      <c r="J527" s="93">
        <f t="shared" si="63"/>
        <v>0.51249999999999996</v>
      </c>
      <c r="K527" s="93">
        <f>SUMIFS(Table1[Horas efetivas],Table1[Tabela],Plano_V3!E527,Table1[Campo],Plano_V3!F527)</f>
        <v>0</v>
      </c>
      <c r="L527" s="93">
        <f t="shared" si="64"/>
        <v>0</v>
      </c>
      <c r="M527" s="93">
        <f t="shared" si="65"/>
        <v>0</v>
      </c>
      <c r="N527" s="98" t="s">
        <v>39</v>
      </c>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87"/>
      <c r="AU527" s="87"/>
      <c r="AV527" s="87"/>
      <c r="AW527" s="100"/>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87"/>
      <c r="EJ527" s="87"/>
      <c r="EK527" s="87"/>
      <c r="EL527" s="100"/>
      <c r="EM527" s="100"/>
      <c r="EN527" s="100"/>
      <c r="EO527" s="100"/>
      <c r="EP527" s="100"/>
      <c r="EQ527" s="100"/>
    </row>
    <row r="528" spans="1:147" outlineLevel="1">
      <c r="A528" s="31" t="str">
        <f t="shared" si="62"/>
        <v>lt826_esg_sbsctrdescrição</v>
      </c>
      <c r="B528" s="76" t="s">
        <v>28</v>
      </c>
      <c r="C528" s="77" t="s">
        <v>28</v>
      </c>
      <c r="D528" s="73" t="s">
        <v>40</v>
      </c>
      <c r="E528" s="79" t="s">
        <v>380</v>
      </c>
      <c r="F528" s="80" t="s">
        <v>385</v>
      </c>
      <c r="G528" s="73" t="str">
        <f>INDEX(Auxiliar!$B$16:$B$23,MATCH(Plano_V3!H528,Auxiliar!$C$16:$C$23,0),1)</f>
        <v>7. Por iniciar</v>
      </c>
      <c r="H528" s="73">
        <f>VLOOKUP(A528,'Aux - pivots1'!$A:$B,2,0)</f>
        <v>7</v>
      </c>
      <c r="I528" s="93">
        <f>SUMIFS(Table1[Estimação (horas)],Table1[Tabela],Plano_V3!E528,Table1[Campo],Plano_V3!F528)</f>
        <v>4.0999999999999996</v>
      </c>
      <c r="J528" s="93">
        <f t="shared" si="63"/>
        <v>0.51249999999999996</v>
      </c>
      <c r="K528" s="93">
        <f>SUMIFS(Table1[Horas efetivas],Table1[Tabela],Plano_V3!E528,Table1[Campo],Plano_V3!F528)</f>
        <v>0</v>
      </c>
      <c r="L528" s="93">
        <f t="shared" si="64"/>
        <v>0</v>
      </c>
      <c r="M528" s="93">
        <f t="shared" si="65"/>
        <v>0</v>
      </c>
      <c r="N528" s="98" t="s">
        <v>39</v>
      </c>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87"/>
      <c r="AU528" s="87"/>
      <c r="AV528" s="87"/>
      <c r="AW528" s="100"/>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87"/>
      <c r="EJ528" s="87"/>
      <c r="EK528" s="87"/>
      <c r="EL528" s="100"/>
      <c r="EM528" s="100"/>
      <c r="EN528" s="100"/>
      <c r="EO528" s="100"/>
      <c r="EP528" s="100"/>
      <c r="EQ528" s="100"/>
    </row>
    <row r="529" spans="1:147" outlineLevel="1">
      <c r="A529" s="31" t="str">
        <f t="shared" si="62"/>
        <v>lt002_instrumentdt_rfrnc</v>
      </c>
      <c r="B529" s="76" t="s">
        <v>28</v>
      </c>
      <c r="C529" s="77" t="s">
        <v>28</v>
      </c>
      <c r="D529" s="73" t="s">
        <v>40</v>
      </c>
      <c r="E529" s="79" t="s">
        <v>367</v>
      </c>
      <c r="F529" s="80" t="s">
        <v>386</v>
      </c>
      <c r="G529" s="73" t="str">
        <f>INDEX(Auxiliar!$B$16:$B$23,MATCH(Plano_V3!H529,Auxiliar!$C$16:$C$23,0),1)</f>
        <v>1. Concluído</v>
      </c>
      <c r="H529" s="73">
        <f>VLOOKUP(A529,'Aux - pivots1'!$A:$B,2,0)</f>
        <v>1</v>
      </c>
      <c r="I529" s="93">
        <f>SUMIFS(Table1[Estimação (horas)],Table1[Tabela],Plano_V3!E529,Table1[Campo],Plano_V3!F529)</f>
        <v>0.1</v>
      </c>
      <c r="J529" s="93">
        <f t="shared" si="63"/>
        <v>1.2500000000000001E-2</v>
      </c>
      <c r="K529" s="93">
        <f>SUMIFS(Table1[Horas efetivas],Table1[Tabela],Plano_V3!E529,Table1[Campo],Plano_V3!F529)</f>
        <v>0.1</v>
      </c>
      <c r="L529" s="93">
        <f t="shared" si="64"/>
        <v>1.2500000000000001E-2</v>
      </c>
      <c r="M529" s="93">
        <f t="shared" si="65"/>
        <v>1</v>
      </c>
      <c r="N529" s="98" t="s">
        <v>387</v>
      </c>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87"/>
      <c r="AU529" s="87"/>
      <c r="AV529" s="87"/>
      <c r="AW529" s="100"/>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87"/>
      <c r="EJ529" s="87"/>
      <c r="EK529" s="87"/>
      <c r="EL529" s="100"/>
      <c r="EM529" s="100"/>
      <c r="EN529" s="100"/>
      <c r="EO529" s="100"/>
      <c r="EP529" s="100"/>
      <c r="EQ529" s="100"/>
    </row>
    <row r="530" spans="1:147" outlineLevel="1">
      <c r="A530" s="31" t="str">
        <f t="shared" si="62"/>
        <v>lt002_instrumentinstrmnt_id</v>
      </c>
      <c r="B530" s="76" t="s">
        <v>28</v>
      </c>
      <c r="C530" s="77" t="s">
        <v>28</v>
      </c>
      <c r="D530" s="73" t="s">
        <v>40</v>
      </c>
      <c r="E530" s="79" t="s">
        <v>367</v>
      </c>
      <c r="F530" s="80" t="s">
        <v>388</v>
      </c>
      <c r="G530" s="73" t="str">
        <f>INDEX(Auxiliar!$B$16:$B$23,MATCH(Plano_V3!H530,Auxiliar!$C$16:$C$23,0),1)</f>
        <v>1. Concluído</v>
      </c>
      <c r="H530" s="73">
        <f>VLOOKUP(A530,'Aux - pivots1'!$A:$B,2,0)</f>
        <v>1</v>
      </c>
      <c r="I530" s="93">
        <f>SUMIFS(Table1[Estimação (horas)],Table1[Tabela],Plano_V3!E530,Table1[Campo],Plano_V3!F530)</f>
        <v>0.1</v>
      </c>
      <c r="J530" s="93">
        <f t="shared" si="63"/>
        <v>1.2500000000000001E-2</v>
      </c>
      <c r="K530" s="93">
        <f>SUMIFS(Table1[Horas efetivas],Table1[Tabela],Plano_V3!E530,Table1[Campo],Plano_V3!F530)</f>
        <v>0.1</v>
      </c>
      <c r="L530" s="93">
        <f t="shared" si="64"/>
        <v>1.2500000000000001E-2</v>
      </c>
      <c r="M530" s="93">
        <f t="shared" si="65"/>
        <v>1</v>
      </c>
      <c r="N530" s="98" t="s">
        <v>387</v>
      </c>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87"/>
      <c r="AU530" s="87"/>
      <c r="AV530" s="87"/>
      <c r="AW530" s="100"/>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87"/>
      <c r="EJ530" s="87"/>
      <c r="EK530" s="87"/>
      <c r="EL530" s="100"/>
      <c r="EM530" s="100"/>
      <c r="EN530" s="100"/>
      <c r="EO530" s="100"/>
      <c r="EP530" s="100"/>
      <c r="EQ530" s="100"/>
    </row>
    <row r="531" spans="1:147" outlineLevel="1">
      <c r="A531" s="31" t="str">
        <f t="shared" si="62"/>
        <v>lt002_instrumentdt_incptn</v>
      </c>
      <c r="B531" s="76" t="s">
        <v>28</v>
      </c>
      <c r="C531" s="77" t="s">
        <v>28</v>
      </c>
      <c r="D531" s="73" t="s">
        <v>40</v>
      </c>
      <c r="E531" s="79" t="s">
        <v>367</v>
      </c>
      <c r="F531" s="80" t="s">
        <v>389</v>
      </c>
      <c r="G531" s="73" t="str">
        <f>INDEX(Auxiliar!$B$16:$B$23,MATCH(Plano_V3!H531,Auxiliar!$C$16:$C$23,0),1)</f>
        <v>1. Concluído</v>
      </c>
      <c r="H531" s="73">
        <f>VLOOKUP(A531,'Aux - pivots1'!$A:$B,2,0)</f>
        <v>1</v>
      </c>
      <c r="I531" s="93">
        <f>SUMIFS(Table1[Estimação (horas)],Table1[Tabela],Plano_V3!E531,Table1[Campo],Plano_V3!F531)</f>
        <v>0.1</v>
      </c>
      <c r="J531" s="93">
        <f t="shared" si="63"/>
        <v>1.2500000000000001E-2</v>
      </c>
      <c r="K531" s="93">
        <f>SUMIFS(Table1[Horas efetivas],Table1[Tabela],Plano_V3!E531,Table1[Campo],Plano_V3!F531)</f>
        <v>0.1</v>
      </c>
      <c r="L531" s="93">
        <f t="shared" si="64"/>
        <v>1.2500000000000001E-2</v>
      </c>
      <c r="M531" s="93">
        <f t="shared" si="65"/>
        <v>1</v>
      </c>
      <c r="N531" s="98" t="s">
        <v>387</v>
      </c>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87"/>
      <c r="AU531" s="87"/>
      <c r="AV531" s="87"/>
      <c r="AW531" s="100"/>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87"/>
      <c r="EJ531" s="87"/>
      <c r="EK531" s="87"/>
      <c r="EL531" s="100"/>
      <c r="EM531" s="100"/>
      <c r="EN531" s="100"/>
      <c r="EO531" s="100"/>
      <c r="EP531" s="100"/>
      <c r="EQ531" s="100"/>
    </row>
    <row r="532" spans="1:147" outlineLevel="1">
      <c r="A532" s="31" t="str">
        <f t="shared" si="62"/>
        <v>lt002_instrumentdflt_stts_instrmnt</v>
      </c>
      <c r="B532" s="76" t="s">
        <v>28</v>
      </c>
      <c r="C532" s="77" t="s">
        <v>28</v>
      </c>
      <c r="D532" s="73" t="s">
        <v>40</v>
      </c>
      <c r="E532" s="79" t="s">
        <v>367</v>
      </c>
      <c r="F532" s="80" t="s">
        <v>390</v>
      </c>
      <c r="G532" s="73" t="str">
        <f>INDEX(Auxiliar!$B$16:$B$23,MATCH(Plano_V3!H532,Auxiliar!$C$16:$C$23,0),1)</f>
        <v>1. Concluído</v>
      </c>
      <c r="H532" s="73">
        <f>VLOOKUP(A532,'Aux - pivots1'!$A:$B,2,0)</f>
        <v>1</v>
      </c>
      <c r="I532" s="93">
        <f>SUMIFS(Table1[Estimação (horas)],Table1[Tabela],Plano_V3!E532,Table1[Campo],Plano_V3!F532)</f>
        <v>0.1</v>
      </c>
      <c r="J532" s="93">
        <f t="shared" si="63"/>
        <v>1.2500000000000001E-2</v>
      </c>
      <c r="K532" s="93">
        <f>SUMIFS(Table1[Horas efetivas],Table1[Tabela],Plano_V3!E532,Table1[Campo],Plano_V3!F532)</f>
        <v>0.1</v>
      </c>
      <c r="L532" s="93">
        <f t="shared" si="64"/>
        <v>1.2500000000000001E-2</v>
      </c>
      <c r="M532" s="93">
        <f t="shared" si="65"/>
        <v>1</v>
      </c>
      <c r="N532" s="98" t="s">
        <v>387</v>
      </c>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87"/>
      <c r="AU532" s="87"/>
      <c r="AV532" s="87"/>
      <c r="AW532" s="100"/>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87"/>
      <c r="EJ532" s="87"/>
      <c r="EK532" s="87"/>
      <c r="EL532" s="100"/>
      <c r="EM532" s="100"/>
      <c r="EN532" s="100"/>
      <c r="EO532" s="100"/>
      <c r="EP532" s="100"/>
      <c r="EQ532" s="100"/>
    </row>
    <row r="533" spans="1:147" outlineLevel="1">
      <c r="A533" s="31" t="str">
        <f t="shared" si="62"/>
        <v>lt002_instrumentimprmnt_stts</v>
      </c>
      <c r="B533" s="76" t="s">
        <v>28</v>
      </c>
      <c r="C533" s="77" t="s">
        <v>28</v>
      </c>
      <c r="D533" s="73" t="s">
        <v>40</v>
      </c>
      <c r="E533" s="79" t="s">
        <v>367</v>
      </c>
      <c r="F533" s="80" t="s">
        <v>391</v>
      </c>
      <c r="G533" s="73" t="str">
        <f>INDEX(Auxiliar!$B$16:$B$23,MATCH(Plano_V3!H533,Auxiliar!$C$16:$C$23,0),1)</f>
        <v>1. Concluído</v>
      </c>
      <c r="H533" s="73">
        <f>VLOOKUP(A533,'Aux - pivots1'!$A:$B,2,0)</f>
        <v>1</v>
      </c>
      <c r="I533" s="93">
        <f>SUMIFS(Table1[Estimação (horas)],Table1[Tabela],Plano_V3!E533,Table1[Campo],Plano_V3!F533)</f>
        <v>0.1</v>
      </c>
      <c r="J533" s="93">
        <f t="shared" si="63"/>
        <v>1.2500000000000001E-2</v>
      </c>
      <c r="K533" s="93">
        <f>SUMIFS(Table1[Horas efetivas],Table1[Tabela],Plano_V3!E533,Table1[Campo],Plano_V3!F533)</f>
        <v>0.1</v>
      </c>
      <c r="L533" s="93">
        <f t="shared" si="64"/>
        <v>1.2500000000000001E-2</v>
      </c>
      <c r="M533" s="93">
        <f t="shared" si="65"/>
        <v>1</v>
      </c>
      <c r="N533" s="98" t="s">
        <v>387</v>
      </c>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87"/>
      <c r="AU533" s="87"/>
      <c r="AV533" s="87"/>
      <c r="AW533" s="100"/>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87"/>
      <c r="EJ533" s="87"/>
      <c r="EK533" s="87"/>
      <c r="EL533" s="100"/>
      <c r="EM533" s="100"/>
      <c r="EN533" s="100"/>
      <c r="EO533" s="100"/>
      <c r="EP533" s="100"/>
      <c r="EQ533" s="100"/>
    </row>
    <row r="534" spans="1:147" outlineLevel="1">
      <c r="A534" s="31" t="str">
        <f t="shared" si="62"/>
        <v>lt002_instrumentprfrmng_stts</v>
      </c>
      <c r="B534" s="76" t="s">
        <v>28</v>
      </c>
      <c r="C534" s="77" t="s">
        <v>28</v>
      </c>
      <c r="D534" s="73" t="s">
        <v>40</v>
      </c>
      <c r="E534" s="79" t="s">
        <v>367</v>
      </c>
      <c r="F534" s="80" t="s">
        <v>392</v>
      </c>
      <c r="G534" s="73" t="str">
        <f>INDEX(Auxiliar!$B$16:$B$23,MATCH(Plano_V3!H534,Auxiliar!$C$16:$C$23,0),1)</f>
        <v>1. Concluído</v>
      </c>
      <c r="H534" s="73">
        <f>VLOOKUP(A534,'Aux - pivots1'!$A:$B,2,0)</f>
        <v>1</v>
      </c>
      <c r="I534" s="93">
        <f>SUMIFS(Table1[Estimação (horas)],Table1[Tabela],Plano_V3!E534,Table1[Campo],Plano_V3!F534)</f>
        <v>0.1</v>
      </c>
      <c r="J534" s="93">
        <f t="shared" si="63"/>
        <v>1.2500000000000001E-2</v>
      </c>
      <c r="K534" s="93">
        <f>SUMIFS(Table1[Horas efetivas],Table1[Tabela],Plano_V3!E534,Table1[Campo],Plano_V3!F534)</f>
        <v>0.1</v>
      </c>
      <c r="L534" s="93">
        <f t="shared" si="64"/>
        <v>1.2500000000000001E-2</v>
      </c>
      <c r="M534" s="93">
        <f t="shared" si="65"/>
        <v>1</v>
      </c>
      <c r="N534" s="98" t="s">
        <v>387</v>
      </c>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87"/>
      <c r="AU534" s="87"/>
      <c r="AV534" s="87"/>
      <c r="AW534" s="100"/>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87"/>
      <c r="EJ534" s="87"/>
      <c r="EK534" s="87"/>
      <c r="EL534" s="100"/>
      <c r="EM534" s="100"/>
      <c r="EN534" s="100"/>
      <c r="EO534" s="100"/>
      <c r="EP534" s="100"/>
      <c r="EQ534" s="100"/>
    </row>
    <row r="535" spans="1:147" outlineLevel="1">
      <c r="A535" s="31" t="str">
        <f t="shared" si="62"/>
        <v>lt002_instrumentprjct_fnnc_ln</v>
      </c>
      <c r="B535" s="76" t="s">
        <v>28</v>
      </c>
      <c r="C535" s="77" t="s">
        <v>28</v>
      </c>
      <c r="D535" s="73" t="s">
        <v>40</v>
      </c>
      <c r="E535" s="79" t="s">
        <v>367</v>
      </c>
      <c r="F535" s="80" t="s">
        <v>393</v>
      </c>
      <c r="G535" s="73" t="str">
        <f>INDEX(Auxiliar!$B$16:$B$23,MATCH(Plano_V3!H535,Auxiliar!$C$16:$C$23,0),1)</f>
        <v>1. Concluído</v>
      </c>
      <c r="H535" s="73">
        <f>VLOOKUP(A535,'Aux - pivots1'!$A:$B,2,0)</f>
        <v>1</v>
      </c>
      <c r="I535" s="93">
        <f>SUMIFS(Table1[Estimação (horas)],Table1[Tabela],Plano_V3!E535,Table1[Campo],Plano_V3!F535)</f>
        <v>0.1</v>
      </c>
      <c r="J535" s="93">
        <f t="shared" si="63"/>
        <v>1.2500000000000001E-2</v>
      </c>
      <c r="K535" s="93">
        <f>SUMIFS(Table1[Horas efetivas],Table1[Tabela],Plano_V3!E535,Table1[Campo],Plano_V3!F535)</f>
        <v>0.1</v>
      </c>
      <c r="L535" s="93">
        <f t="shared" si="64"/>
        <v>1.2500000000000001E-2</v>
      </c>
      <c r="M535" s="93">
        <f t="shared" si="65"/>
        <v>1</v>
      </c>
      <c r="N535" s="98" t="s">
        <v>387</v>
      </c>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87"/>
      <c r="AU535" s="87"/>
      <c r="AV535" s="87"/>
      <c r="AW535" s="100"/>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87"/>
      <c r="EJ535" s="87"/>
      <c r="EK535" s="87"/>
      <c r="EL535" s="100"/>
      <c r="EM535" s="100"/>
      <c r="EN535" s="100"/>
      <c r="EO535" s="100"/>
      <c r="EP535" s="100"/>
      <c r="EQ535" s="100"/>
    </row>
    <row r="536" spans="1:147" outlineLevel="1">
      <c r="A536" s="31" t="str">
        <f t="shared" si="62"/>
        <v>lt002_instrumenttyp_instrmnt</v>
      </c>
      <c r="B536" s="76" t="s">
        <v>28</v>
      </c>
      <c r="C536" s="77" t="s">
        <v>28</v>
      </c>
      <c r="D536" s="73" t="s">
        <v>40</v>
      </c>
      <c r="E536" s="79" t="s">
        <v>367</v>
      </c>
      <c r="F536" s="80" t="s">
        <v>394</v>
      </c>
      <c r="G536" s="73" t="str">
        <f>INDEX(Auxiliar!$B$16:$B$23,MATCH(Plano_V3!H536,Auxiliar!$C$16:$C$23,0),1)</f>
        <v>1. Concluído</v>
      </c>
      <c r="H536" s="73">
        <f>VLOOKUP(A536,'Aux - pivots1'!$A:$B,2,0)</f>
        <v>1</v>
      </c>
      <c r="I536" s="93">
        <f>SUMIFS(Table1[Estimação (horas)],Table1[Tabela],Plano_V3!E536,Table1[Campo],Plano_V3!F536)</f>
        <v>0.1</v>
      </c>
      <c r="J536" s="93">
        <f t="shared" si="63"/>
        <v>1.2500000000000001E-2</v>
      </c>
      <c r="K536" s="93">
        <f>SUMIFS(Table1[Horas efetivas],Table1[Tabela],Plano_V3!E536,Table1[Campo],Plano_V3!F536)</f>
        <v>0.1</v>
      </c>
      <c r="L536" s="93">
        <f t="shared" si="64"/>
        <v>1.2500000000000001E-2</v>
      </c>
      <c r="M536" s="93">
        <f t="shared" si="65"/>
        <v>1</v>
      </c>
      <c r="N536" s="98" t="s">
        <v>387</v>
      </c>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87"/>
      <c r="AU536" s="87"/>
      <c r="AV536" s="87"/>
      <c r="AW536" s="100"/>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87"/>
      <c r="EJ536" s="87"/>
      <c r="EK536" s="87"/>
      <c r="EL536" s="100"/>
      <c r="EM536" s="100"/>
      <c r="EN536" s="100"/>
      <c r="EO536" s="100"/>
      <c r="EP536" s="100"/>
      <c r="EQ536" s="100"/>
    </row>
    <row r="537" spans="1:147" outlineLevel="1">
      <c r="A537" s="31" t="str">
        <f t="shared" si="62"/>
        <v>lt002_instrumentgrss_crryng_amnt_instrmnt</v>
      </c>
      <c r="B537" s="76" t="s">
        <v>28</v>
      </c>
      <c r="C537" s="77" t="s">
        <v>28</v>
      </c>
      <c r="D537" s="73" t="s">
        <v>40</v>
      </c>
      <c r="E537" s="79" t="s">
        <v>367</v>
      </c>
      <c r="F537" s="80" t="s">
        <v>395</v>
      </c>
      <c r="G537" s="73" t="str">
        <f>INDEX(Auxiliar!$B$16:$B$23,MATCH(Plano_V3!H537,Auxiliar!$C$16:$C$23,0),1)</f>
        <v>1. Concluído</v>
      </c>
      <c r="H537" s="73">
        <f>VLOOKUP(A537,'Aux - pivots1'!$A:$B,2,0)</f>
        <v>1</v>
      </c>
      <c r="I537" s="93">
        <f>SUMIFS(Table1[Estimação (horas)],Table1[Tabela],Plano_V3!E537,Table1[Campo],Plano_V3!F537)</f>
        <v>0.1</v>
      </c>
      <c r="J537" s="93">
        <f t="shared" si="63"/>
        <v>1.2500000000000001E-2</v>
      </c>
      <c r="K537" s="93">
        <f>SUMIFS(Table1[Horas efetivas],Table1[Tabela],Plano_V3!E537,Table1[Campo],Plano_V3!F537)</f>
        <v>0.1</v>
      </c>
      <c r="L537" s="93">
        <f t="shared" si="64"/>
        <v>1.2500000000000001E-2</v>
      </c>
      <c r="M537" s="93">
        <f t="shared" si="65"/>
        <v>1</v>
      </c>
      <c r="N537" s="98" t="s">
        <v>387</v>
      </c>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87"/>
      <c r="AU537" s="87"/>
      <c r="AV537" s="87"/>
      <c r="AW537" s="100"/>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87"/>
      <c r="EJ537" s="87"/>
      <c r="EK537" s="87"/>
      <c r="EL537" s="100"/>
      <c r="EM537" s="100"/>
      <c r="EN537" s="100"/>
      <c r="EO537" s="100"/>
      <c r="EP537" s="100"/>
      <c r="EQ537" s="100"/>
    </row>
    <row r="538" spans="1:147" outlineLevel="1">
      <c r="A538" s="31" t="str">
        <f t="shared" si="62"/>
        <v>lt002_instrumentaccmltd_chngs_fv_cr_instrmnt</v>
      </c>
      <c r="B538" s="76" t="s">
        <v>28</v>
      </c>
      <c r="C538" s="77" t="s">
        <v>28</v>
      </c>
      <c r="D538" s="73" t="s">
        <v>40</v>
      </c>
      <c r="E538" s="79" t="s">
        <v>367</v>
      </c>
      <c r="F538" s="80" t="s">
        <v>396</v>
      </c>
      <c r="G538" s="73" t="str">
        <f>INDEX(Auxiliar!$B$16:$B$23,MATCH(Plano_V3!H538,Auxiliar!$C$16:$C$23,0),1)</f>
        <v>1. Concluído</v>
      </c>
      <c r="H538" s="73">
        <f>VLOOKUP(A538,'Aux - pivots1'!$A:$B,2,0)</f>
        <v>1</v>
      </c>
      <c r="I538" s="93">
        <f>SUMIFS(Table1[Estimação (horas)],Table1[Tabela],Plano_V3!E538,Table1[Campo],Plano_V3!F538)</f>
        <v>0.1</v>
      </c>
      <c r="J538" s="93">
        <f t="shared" si="63"/>
        <v>1.2500000000000001E-2</v>
      </c>
      <c r="K538" s="93">
        <f>SUMIFS(Table1[Horas efetivas],Table1[Tabela],Plano_V3!E538,Table1[Campo],Plano_V3!F538)</f>
        <v>0.1</v>
      </c>
      <c r="L538" s="93">
        <f t="shared" si="64"/>
        <v>1.2500000000000001E-2</v>
      </c>
      <c r="M538" s="93">
        <f t="shared" si="65"/>
        <v>1</v>
      </c>
      <c r="N538" s="98" t="s">
        <v>387</v>
      </c>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87"/>
      <c r="AU538" s="87"/>
      <c r="AV538" s="87"/>
      <c r="AW538" s="100"/>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87"/>
      <c r="EJ538" s="87"/>
      <c r="EK538" s="87"/>
      <c r="EL538" s="100"/>
      <c r="EM538" s="100"/>
      <c r="EN538" s="100"/>
      <c r="EO538" s="100"/>
      <c r="EP538" s="100"/>
      <c r="EQ538" s="100"/>
    </row>
    <row r="539" spans="1:147" outlineLevel="1">
      <c r="A539" s="31" t="str">
        <f t="shared" si="62"/>
        <v>lt002_instrumentaccntng_clssfctn</v>
      </c>
      <c r="B539" s="76" t="s">
        <v>28</v>
      </c>
      <c r="C539" s="77" t="s">
        <v>28</v>
      </c>
      <c r="D539" s="73" t="s">
        <v>40</v>
      </c>
      <c r="E539" s="79" t="s">
        <v>367</v>
      </c>
      <c r="F539" s="80" t="s">
        <v>397</v>
      </c>
      <c r="G539" s="73" t="str">
        <f>INDEX(Auxiliar!$B$16:$B$23,MATCH(Plano_V3!H539,Auxiliar!$C$16:$C$23,0),1)</f>
        <v>1. Concluído</v>
      </c>
      <c r="H539" s="73">
        <f>VLOOKUP(A539,'Aux - pivots1'!$A:$B,2,0)</f>
        <v>1</v>
      </c>
      <c r="I539" s="93">
        <f>SUMIFS(Table1[Estimação (horas)],Table1[Tabela],Plano_V3!E539,Table1[Campo],Plano_V3!F539)</f>
        <v>0.1</v>
      </c>
      <c r="J539" s="93">
        <f t="shared" si="63"/>
        <v>1.2500000000000001E-2</v>
      </c>
      <c r="K539" s="93">
        <f>SUMIFS(Table1[Horas efetivas],Table1[Tabela],Plano_V3!E539,Table1[Campo],Plano_V3!F539)</f>
        <v>0.1</v>
      </c>
      <c r="L539" s="93">
        <f t="shared" si="64"/>
        <v>1.2500000000000001E-2</v>
      </c>
      <c r="M539" s="93">
        <f t="shared" si="65"/>
        <v>1</v>
      </c>
      <c r="N539" s="98" t="s">
        <v>387</v>
      </c>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87"/>
      <c r="AU539" s="87"/>
      <c r="AV539" s="87"/>
      <c r="AW539" s="100"/>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87"/>
      <c r="EJ539" s="87"/>
      <c r="EK539" s="87"/>
      <c r="EL539" s="100"/>
      <c r="EM539" s="100"/>
      <c r="EN539" s="100"/>
      <c r="EO539" s="100"/>
      <c r="EP539" s="100"/>
      <c r="EQ539" s="100"/>
    </row>
    <row r="540" spans="1:147" outlineLevel="1">
      <c r="A540" s="31" t="str">
        <f t="shared" si="62"/>
        <v>lt002_instrumentdt_lgl_fnl_mtrty</v>
      </c>
      <c r="B540" s="76" t="s">
        <v>28</v>
      </c>
      <c r="C540" s="77" t="s">
        <v>28</v>
      </c>
      <c r="D540" s="73" t="s">
        <v>40</v>
      </c>
      <c r="E540" s="79" t="s">
        <v>367</v>
      </c>
      <c r="F540" s="80" t="s">
        <v>398</v>
      </c>
      <c r="G540" s="73" t="str">
        <f>INDEX(Auxiliar!$B$16:$B$23,MATCH(Plano_V3!H540,Auxiliar!$C$16:$C$23,0),1)</f>
        <v>1. Concluído</v>
      </c>
      <c r="H540" s="73">
        <f>VLOOKUP(A540,'Aux - pivots1'!$A:$B,2,0)</f>
        <v>1</v>
      </c>
      <c r="I540" s="93">
        <f>SUMIFS(Table1[Estimação (horas)],Table1[Tabela],Plano_V3!E540,Table1[Campo],Plano_V3!F540)</f>
        <v>0.1</v>
      </c>
      <c r="J540" s="93">
        <f t="shared" si="63"/>
        <v>1.2500000000000001E-2</v>
      </c>
      <c r="K540" s="93">
        <f>SUMIFS(Table1[Horas efetivas],Table1[Tabela],Plano_V3!E540,Table1[Campo],Plano_V3!F540)</f>
        <v>0.1</v>
      </c>
      <c r="L540" s="93">
        <f t="shared" si="64"/>
        <v>1.2500000000000001E-2</v>
      </c>
      <c r="M540" s="93">
        <f t="shared" si="65"/>
        <v>1</v>
      </c>
      <c r="N540" s="98" t="s">
        <v>387</v>
      </c>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87"/>
      <c r="AU540" s="87"/>
      <c r="AV540" s="87"/>
      <c r="AW540" s="100"/>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87"/>
      <c r="EJ540" s="87"/>
      <c r="EK540" s="87"/>
      <c r="EL540" s="100"/>
      <c r="EM540" s="100"/>
      <c r="EN540" s="100"/>
      <c r="EO540" s="100"/>
      <c r="EP540" s="100"/>
      <c r="EQ540" s="100"/>
    </row>
    <row r="541" spans="1:147" outlineLevel="1">
      <c r="A541" s="31" t="str">
        <f t="shared" si="62"/>
        <v>lt002_instrumentaccmltd_imprmnt_instrmnt</v>
      </c>
      <c r="B541" s="76" t="s">
        <v>28</v>
      </c>
      <c r="C541" s="77" t="s">
        <v>28</v>
      </c>
      <c r="D541" s="73" t="s">
        <v>40</v>
      </c>
      <c r="E541" s="79" t="s">
        <v>367</v>
      </c>
      <c r="F541" s="80" t="s">
        <v>399</v>
      </c>
      <c r="G541" s="73" t="str">
        <f>INDEX(Auxiliar!$B$16:$B$23,MATCH(Plano_V3!H541,Auxiliar!$C$16:$C$23,0),1)</f>
        <v>1. Concluído</v>
      </c>
      <c r="H541" s="73">
        <f>VLOOKUP(A541,'Aux - pivots1'!$A:$B,2,0)</f>
        <v>1</v>
      </c>
      <c r="I541" s="93">
        <f>SUMIFS(Table1[Estimação (horas)],Table1[Tabela],Plano_V3!E541,Table1[Campo],Plano_V3!F541)</f>
        <v>0.1</v>
      </c>
      <c r="J541" s="93">
        <f t="shared" si="63"/>
        <v>1.2500000000000001E-2</v>
      </c>
      <c r="K541" s="93">
        <f>SUMIFS(Table1[Horas efetivas],Table1[Tabela],Plano_V3!E541,Table1[Campo],Plano_V3!F541)</f>
        <v>0.1</v>
      </c>
      <c r="L541" s="93">
        <f t="shared" si="64"/>
        <v>1.2500000000000001E-2</v>
      </c>
      <c r="M541" s="93">
        <f t="shared" si="65"/>
        <v>1</v>
      </c>
      <c r="N541" s="98" t="s">
        <v>387</v>
      </c>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87"/>
      <c r="AU541" s="87"/>
      <c r="AV541" s="87"/>
      <c r="AW541" s="100"/>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87"/>
      <c r="EJ541" s="87"/>
      <c r="EK541" s="87"/>
      <c r="EL541" s="100"/>
      <c r="EM541" s="100"/>
      <c r="EN541" s="100"/>
      <c r="EO541" s="100"/>
      <c r="EP541" s="100"/>
      <c r="EQ541" s="100"/>
    </row>
    <row r="542" spans="1:147" outlineLevel="1">
      <c r="A542" s="31" t="str">
        <f t="shared" si="62"/>
        <v>lt002_instrumentissr_cntry</v>
      </c>
      <c r="B542" s="76" t="s">
        <v>28</v>
      </c>
      <c r="C542" s="77" t="s">
        <v>28</v>
      </c>
      <c r="D542" s="73" t="s">
        <v>40</v>
      </c>
      <c r="E542" s="79" t="s">
        <v>367</v>
      </c>
      <c r="F542" s="80" t="s">
        <v>400</v>
      </c>
      <c r="G542" s="73" t="str">
        <f>INDEX(Auxiliar!$B$16:$B$23,MATCH(Plano_V3!H542,Auxiliar!$C$16:$C$23,0),1)</f>
        <v>1. Concluído</v>
      </c>
      <c r="H542" s="73">
        <f>VLOOKUP(A542,'Aux - pivots1'!$A:$B,2,0)</f>
        <v>1</v>
      </c>
      <c r="I542" s="93">
        <f>SUMIFS(Table1[Estimação (horas)],Table1[Tabela],Plano_V3!E542,Table1[Campo],Plano_V3!F542)</f>
        <v>0.1</v>
      </c>
      <c r="J542" s="93">
        <f t="shared" si="63"/>
        <v>1.2500000000000001E-2</v>
      </c>
      <c r="K542" s="93">
        <f>SUMIFS(Table1[Horas efetivas],Table1[Tabela],Plano_V3!E542,Table1[Campo],Plano_V3!F542)</f>
        <v>0.1</v>
      </c>
      <c r="L542" s="93">
        <f t="shared" si="64"/>
        <v>1.2500000000000001E-2</v>
      </c>
      <c r="M542" s="93">
        <f t="shared" si="65"/>
        <v>1</v>
      </c>
      <c r="N542" s="98" t="s">
        <v>387</v>
      </c>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87"/>
      <c r="AU542" s="87"/>
      <c r="AV542" s="87"/>
      <c r="AW542" s="100"/>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87"/>
      <c r="EJ542" s="87"/>
      <c r="EK542" s="87"/>
      <c r="EL542" s="100"/>
      <c r="EM542" s="100"/>
      <c r="EN542" s="100"/>
      <c r="EO542" s="100"/>
      <c r="EP542" s="100"/>
      <c r="EQ542" s="100"/>
    </row>
    <row r="543" spans="1:147" outlineLevel="1">
      <c r="A543" s="31" t="str">
        <f t="shared" si="62"/>
        <v>lt002_instrumentissr_nace_sctr</v>
      </c>
      <c r="B543" s="76" t="s">
        <v>28</v>
      </c>
      <c r="C543" s="77" t="s">
        <v>28</v>
      </c>
      <c r="D543" s="73" t="s">
        <v>40</v>
      </c>
      <c r="E543" s="79" t="s">
        <v>367</v>
      </c>
      <c r="F543" s="80" t="s">
        <v>401</v>
      </c>
      <c r="G543" s="73" t="str">
        <f>INDEX(Auxiliar!$B$16:$B$23,MATCH(Plano_V3!H543,Auxiliar!$C$16:$C$23,0),1)</f>
        <v>1. Concluído</v>
      </c>
      <c r="H543" s="73">
        <f>VLOOKUP(A543,'Aux - pivots1'!$A:$B,2,0)</f>
        <v>1</v>
      </c>
      <c r="I543" s="93">
        <f>SUMIFS(Table1[Estimação (horas)],Table1[Tabela],Plano_V3!E543,Table1[Campo],Plano_V3!F543)</f>
        <v>0.1</v>
      </c>
      <c r="J543" s="93">
        <f t="shared" si="63"/>
        <v>1.2500000000000001E-2</v>
      </c>
      <c r="K543" s="93">
        <f>SUMIFS(Table1[Horas efetivas],Table1[Tabela],Plano_V3!E543,Table1[Campo],Plano_V3!F543)</f>
        <v>0.1</v>
      </c>
      <c r="L543" s="93">
        <f t="shared" si="64"/>
        <v>1.2500000000000001E-2</v>
      </c>
      <c r="M543" s="93">
        <f t="shared" si="65"/>
        <v>1</v>
      </c>
      <c r="N543" s="98" t="s">
        <v>387</v>
      </c>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87"/>
      <c r="AU543" s="87"/>
      <c r="AV543" s="87"/>
      <c r="AW543" s="100"/>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87"/>
      <c r="EJ543" s="87"/>
      <c r="EK543" s="87"/>
      <c r="EL543" s="100"/>
      <c r="EM543" s="100"/>
      <c r="EN543" s="100"/>
      <c r="EO543" s="100"/>
      <c r="EP543" s="100"/>
      <c r="EQ543" s="100"/>
    </row>
    <row r="544" spans="1:147" outlineLevel="1">
      <c r="A544" s="31" t="str">
        <f t="shared" si="62"/>
        <v>lt002_instrumentprmry_asst_clssf</v>
      </c>
      <c r="B544" s="76" t="s">
        <v>28</v>
      </c>
      <c r="C544" s="77" t="s">
        <v>28</v>
      </c>
      <c r="D544" s="73" t="s">
        <v>40</v>
      </c>
      <c r="E544" s="79" t="s">
        <v>367</v>
      </c>
      <c r="F544" s="80" t="s">
        <v>402</v>
      </c>
      <c r="G544" s="73" t="str">
        <f>INDEX(Auxiliar!$B$16:$B$23,MATCH(Plano_V3!H544,Auxiliar!$C$16:$C$23,0),1)</f>
        <v>1. Concluído</v>
      </c>
      <c r="H544" s="73">
        <f>VLOOKUP(A544,'Aux - pivots1'!$A:$B,2,0)</f>
        <v>1</v>
      </c>
      <c r="I544" s="93">
        <f>SUMIFS(Table1[Estimação (horas)],Table1[Tabela],Plano_V3!E544,Table1[Campo],Plano_V3!F544)</f>
        <v>0.1</v>
      </c>
      <c r="J544" s="93">
        <f t="shared" si="63"/>
        <v>1.2500000000000001E-2</v>
      </c>
      <c r="K544" s="93">
        <f>SUMIFS(Table1[Horas efetivas],Table1[Tabela],Plano_V3!E544,Table1[Campo],Plano_V3!F544)</f>
        <v>0.1</v>
      </c>
      <c r="L544" s="93">
        <f t="shared" si="64"/>
        <v>1.2500000000000001E-2</v>
      </c>
      <c r="M544" s="93">
        <f t="shared" si="65"/>
        <v>1</v>
      </c>
      <c r="N544" s="98" t="s">
        <v>387</v>
      </c>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87"/>
      <c r="AU544" s="87"/>
      <c r="AV544" s="87"/>
      <c r="AW544" s="100"/>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87"/>
      <c r="EJ544" s="87"/>
      <c r="EK544" s="87"/>
      <c r="EL544" s="100"/>
      <c r="EM544" s="100"/>
      <c r="EN544" s="100"/>
      <c r="EO544" s="100"/>
      <c r="EP544" s="100"/>
      <c r="EQ544" s="100"/>
    </row>
    <row r="545" spans="1:147" outlineLevel="1">
      <c r="A545" s="31" t="str">
        <f t="shared" si="62"/>
        <v>lt002_instrumentsubportfolio_id</v>
      </c>
      <c r="B545" s="76" t="s">
        <v>28</v>
      </c>
      <c r="C545" s="77" t="s">
        <v>28</v>
      </c>
      <c r="D545" s="73" t="s">
        <v>40</v>
      </c>
      <c r="E545" s="79" t="s">
        <v>367</v>
      </c>
      <c r="F545" s="80" t="s">
        <v>403</v>
      </c>
      <c r="G545" s="73" t="str">
        <f>INDEX(Auxiliar!$B$16:$B$23,MATCH(Plano_V3!H545,Auxiliar!$C$16:$C$23,0),1)</f>
        <v>1. Concluído</v>
      </c>
      <c r="H545" s="73">
        <f>VLOOKUP(A545,'Aux - pivots1'!$A:$B,2,0)</f>
        <v>1</v>
      </c>
      <c r="I545" s="93">
        <f>SUMIFS(Table1[Estimação (horas)],Table1[Tabela],Plano_V3!E545,Table1[Campo],Plano_V3!F545)</f>
        <v>0.1</v>
      </c>
      <c r="J545" s="93">
        <f t="shared" si="63"/>
        <v>1.2500000000000001E-2</v>
      </c>
      <c r="K545" s="93">
        <f>SUMIFS(Table1[Horas efetivas],Table1[Tabela],Plano_V3!E545,Table1[Campo],Plano_V3!F545)</f>
        <v>0.1</v>
      </c>
      <c r="L545" s="93">
        <f t="shared" si="64"/>
        <v>1.2500000000000001E-2</v>
      </c>
      <c r="M545" s="93">
        <f t="shared" si="65"/>
        <v>1</v>
      </c>
      <c r="N545" s="98" t="s">
        <v>387</v>
      </c>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87"/>
      <c r="AU545" s="87"/>
      <c r="AV545" s="87"/>
      <c r="AW545" s="100"/>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87"/>
      <c r="EJ545" s="87"/>
      <c r="EK545" s="87"/>
      <c r="EL545" s="100"/>
      <c r="EM545" s="100"/>
      <c r="EN545" s="100"/>
      <c r="EO545" s="100"/>
      <c r="EP545" s="100"/>
      <c r="EQ545" s="100"/>
    </row>
    <row r="546" spans="1:147" outlineLevel="1">
      <c r="A546" s="31" t="str">
        <f t="shared" si="62"/>
        <v>lt002_instrumentcod_soc</v>
      </c>
      <c r="B546" s="76" t="s">
        <v>28</v>
      </c>
      <c r="C546" s="77" t="s">
        <v>28</v>
      </c>
      <c r="D546" s="73" t="s">
        <v>40</v>
      </c>
      <c r="E546" s="79" t="s">
        <v>367</v>
      </c>
      <c r="F546" s="80" t="s">
        <v>404</v>
      </c>
      <c r="G546" s="73" t="str">
        <f>INDEX(Auxiliar!$B$16:$B$23,MATCH(Plano_V3!H546,Auxiliar!$C$16:$C$23,0),1)</f>
        <v>1. Concluído</v>
      </c>
      <c r="H546" s="73">
        <f>VLOOKUP(A546,'Aux - pivots1'!$A:$B,2,0)</f>
        <v>1</v>
      </c>
      <c r="I546" s="93">
        <f>SUMIFS(Table1[Estimação (horas)],Table1[Tabela],Plano_V3!E546,Table1[Campo],Plano_V3!F546)</f>
        <v>0.1</v>
      </c>
      <c r="J546" s="93">
        <f t="shared" si="63"/>
        <v>1.2500000000000001E-2</v>
      </c>
      <c r="K546" s="93">
        <f>SUMIFS(Table1[Horas efetivas],Table1[Tabela],Plano_V3!E546,Table1[Campo],Plano_V3!F546)</f>
        <v>0.1</v>
      </c>
      <c r="L546" s="93">
        <f t="shared" si="64"/>
        <v>1.2500000000000001E-2</v>
      </c>
      <c r="M546" s="93">
        <f t="shared" si="65"/>
        <v>1</v>
      </c>
      <c r="N546" s="98" t="s">
        <v>387</v>
      </c>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87"/>
      <c r="AU546" s="87"/>
      <c r="AV546" s="87"/>
      <c r="AW546" s="100"/>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87"/>
      <c r="EJ546" s="87"/>
      <c r="EK546" s="87"/>
      <c r="EL546" s="100"/>
      <c r="EM546" s="100"/>
      <c r="EN546" s="100"/>
      <c r="EO546" s="100"/>
      <c r="EP546" s="100"/>
      <c r="EQ546" s="100"/>
    </row>
    <row r="547" spans="1:147" outlineLevel="1">
      <c r="A547" s="31" t="str">
        <f t="shared" si="62"/>
        <v>lt002_instrumentlcl_instmrnt_id</v>
      </c>
      <c r="B547" s="76" t="s">
        <v>28</v>
      </c>
      <c r="C547" s="77" t="s">
        <v>28</v>
      </c>
      <c r="D547" s="73" t="s">
        <v>40</v>
      </c>
      <c r="E547" s="79" t="s">
        <v>367</v>
      </c>
      <c r="F547" s="80" t="s">
        <v>405</v>
      </c>
      <c r="G547" s="73" t="str">
        <f>INDEX(Auxiliar!$B$16:$B$23,MATCH(Plano_V3!H547,Auxiliar!$C$16:$C$23,0),1)</f>
        <v>1. Concluído</v>
      </c>
      <c r="H547" s="73">
        <f>VLOOKUP(A547,'Aux - pivots1'!$A:$B,2,0)</f>
        <v>1</v>
      </c>
      <c r="I547" s="93">
        <f>SUMIFS(Table1[Estimação (horas)],Table1[Tabela],Plano_V3!E547,Table1[Campo],Plano_V3!F547)</f>
        <v>0.1</v>
      </c>
      <c r="J547" s="93">
        <f t="shared" si="63"/>
        <v>1.2500000000000001E-2</v>
      </c>
      <c r="K547" s="93">
        <f>SUMIFS(Table1[Horas efetivas],Table1[Tabela],Plano_V3!E547,Table1[Campo],Plano_V3!F547)</f>
        <v>0.1</v>
      </c>
      <c r="L547" s="93">
        <f t="shared" si="64"/>
        <v>1.2500000000000001E-2</v>
      </c>
      <c r="M547" s="93">
        <f t="shared" si="65"/>
        <v>1</v>
      </c>
      <c r="N547" s="98" t="s">
        <v>387</v>
      </c>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87"/>
      <c r="AU547" s="87"/>
      <c r="AV547" s="87"/>
      <c r="AW547" s="100"/>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87"/>
      <c r="EJ547" s="87"/>
      <c r="EK547" s="87"/>
      <c r="EL547" s="100"/>
      <c r="EM547" s="100"/>
      <c r="EN547" s="100"/>
      <c r="EO547" s="100"/>
      <c r="EP547" s="100"/>
      <c r="EQ547" s="100"/>
    </row>
    <row r="548" spans="1:147" outlineLevel="1">
      <c r="A548" s="31" t="str">
        <f t="shared" si="62"/>
        <v>lt002_instrumentsstnbl_indctr</v>
      </c>
      <c r="B548" s="76" t="s">
        <v>28</v>
      </c>
      <c r="C548" s="77" t="s">
        <v>28</v>
      </c>
      <c r="D548" s="73" t="s">
        <v>40</v>
      </c>
      <c r="E548" s="79" t="s">
        <v>367</v>
      </c>
      <c r="F548" s="80" t="s">
        <v>406</v>
      </c>
      <c r="G548" s="73" t="str">
        <f>INDEX(Auxiliar!$B$16:$B$23,MATCH(Plano_V3!H548,Auxiliar!$C$16:$C$23,0),1)</f>
        <v>7. Por iniciar</v>
      </c>
      <c r="H548" s="73">
        <f>VLOOKUP(A548,'Aux - pivots1'!$A:$B,2,0)</f>
        <v>7</v>
      </c>
      <c r="I548" s="93">
        <f>SUMIFS(Table1[Estimação (horas)],Table1[Tabela],Plano_V3!E548,Table1[Campo],Plano_V3!F548)</f>
        <v>0.1</v>
      </c>
      <c r="J548" s="93">
        <f t="shared" si="63"/>
        <v>1.2500000000000001E-2</v>
      </c>
      <c r="K548" s="93">
        <f>SUMIFS(Table1[Horas efetivas],Table1[Tabela],Plano_V3!E548,Table1[Campo],Plano_V3!F548)</f>
        <v>0</v>
      </c>
      <c r="L548" s="93">
        <f t="shared" si="64"/>
        <v>0</v>
      </c>
      <c r="M548" s="93">
        <f t="shared" si="65"/>
        <v>0</v>
      </c>
      <c r="N548" s="98" t="s">
        <v>32</v>
      </c>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87"/>
      <c r="AU548" s="87"/>
      <c r="AV548" s="87"/>
      <c r="AW548" s="100"/>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87"/>
      <c r="EJ548" s="87"/>
      <c r="EK548" s="87"/>
      <c r="EL548" s="100"/>
      <c r="EM548" s="100"/>
      <c r="EN548" s="100"/>
      <c r="EO548" s="100"/>
      <c r="EP548" s="100"/>
      <c r="EQ548" s="100"/>
    </row>
    <row r="549" spans="1:147" outlineLevel="1">
      <c r="A549" s="31" t="str">
        <f t="shared" si="62"/>
        <v>lt002_instrumentsstnbl_ctgry</v>
      </c>
      <c r="B549" s="76" t="s">
        <v>28</v>
      </c>
      <c r="C549" s="77" t="s">
        <v>28</v>
      </c>
      <c r="D549" s="73" t="s">
        <v>40</v>
      </c>
      <c r="E549" s="79" t="s">
        <v>367</v>
      </c>
      <c r="F549" s="80" t="s">
        <v>407</v>
      </c>
      <c r="G549" s="73" t="str">
        <f>INDEX(Auxiliar!$B$16:$B$23,MATCH(Plano_V3!H549,Auxiliar!$C$16:$C$23,0),1)</f>
        <v>7. Por iniciar</v>
      </c>
      <c r="H549" s="73">
        <f>VLOOKUP(A549,'Aux - pivots1'!$A:$B,2,0)</f>
        <v>7</v>
      </c>
      <c r="I549" s="93">
        <f>SUMIFS(Table1[Estimação (horas)],Table1[Tabela],Plano_V3!E549,Table1[Campo],Plano_V3!F549)</f>
        <v>0.1</v>
      </c>
      <c r="J549" s="93">
        <f t="shared" si="63"/>
        <v>1.2500000000000001E-2</v>
      </c>
      <c r="K549" s="93">
        <f>SUMIFS(Table1[Horas efetivas],Table1[Tabela],Plano_V3!E549,Table1[Campo],Plano_V3!F549)</f>
        <v>0</v>
      </c>
      <c r="L549" s="93">
        <f t="shared" si="64"/>
        <v>0</v>
      </c>
      <c r="M549" s="93">
        <f t="shared" si="65"/>
        <v>0</v>
      </c>
      <c r="N549" s="98" t="s">
        <v>32</v>
      </c>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87"/>
      <c r="AU549" s="87"/>
      <c r="AV549" s="87"/>
      <c r="AW549" s="100"/>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87"/>
      <c r="EJ549" s="87"/>
      <c r="EK549" s="87"/>
      <c r="EL549" s="100"/>
      <c r="EM549" s="100"/>
      <c r="EN549" s="100"/>
      <c r="EO549" s="100"/>
      <c r="EP549" s="100"/>
      <c r="EQ549" s="100"/>
    </row>
    <row r="550" spans="1:147" outlineLevel="1">
      <c r="A550" s="31" t="str">
        <f t="shared" si="62"/>
        <v>lt002_instrumentgrss_intrst_incm</v>
      </c>
      <c r="B550" s="76" t="s">
        <v>28</v>
      </c>
      <c r="C550" s="77" t="s">
        <v>28</v>
      </c>
      <c r="D550" s="73" t="s">
        <v>40</v>
      </c>
      <c r="E550" s="79" t="s">
        <v>367</v>
      </c>
      <c r="F550" s="80" t="s">
        <v>408</v>
      </c>
      <c r="G550" s="73" t="str">
        <f>INDEX(Auxiliar!$B$16:$B$23,MATCH(Plano_V3!H550,Auxiliar!$C$16:$C$23,0),1)</f>
        <v>7. Por iniciar</v>
      </c>
      <c r="H550" s="73">
        <f>VLOOKUP(A550,'Aux - pivots1'!$A:$B,2,0)</f>
        <v>7</v>
      </c>
      <c r="I550" s="93">
        <f>SUMIFS(Table1[Estimação (horas)],Table1[Tabela],Plano_V3!E550,Table1[Campo],Plano_V3!F550)</f>
        <v>0.1</v>
      </c>
      <c r="J550" s="93">
        <f t="shared" si="63"/>
        <v>1.2500000000000001E-2</v>
      </c>
      <c r="K550" s="93">
        <f>SUMIFS(Table1[Horas efetivas],Table1[Tabela],Plano_V3!E550,Table1[Campo],Plano_V3!F550)</f>
        <v>0</v>
      </c>
      <c r="L550" s="93">
        <f t="shared" si="64"/>
        <v>0</v>
      </c>
      <c r="M550" s="93">
        <f t="shared" si="65"/>
        <v>0</v>
      </c>
      <c r="N550" s="98" t="s">
        <v>32</v>
      </c>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87"/>
      <c r="AU550" s="87"/>
      <c r="AV550" s="87"/>
      <c r="AW550" s="100"/>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87"/>
      <c r="EJ550" s="87"/>
      <c r="EK550" s="87"/>
      <c r="EL550" s="100"/>
      <c r="EM550" s="100"/>
      <c r="EN550" s="100"/>
      <c r="EO550" s="100"/>
      <c r="EP550" s="100"/>
      <c r="EQ550" s="100"/>
    </row>
    <row r="551" spans="1:147" outlineLevel="1">
      <c r="A551" s="31" t="str">
        <f t="shared" si="62"/>
        <v>lt002_instrumentgrss_cmmssn_incm</v>
      </c>
      <c r="B551" s="76" t="s">
        <v>28</v>
      </c>
      <c r="C551" s="77" t="s">
        <v>28</v>
      </c>
      <c r="D551" s="73" t="s">
        <v>40</v>
      </c>
      <c r="E551" s="79" t="s">
        <v>367</v>
      </c>
      <c r="F551" s="80" t="s">
        <v>409</v>
      </c>
      <c r="G551" s="73" t="str">
        <f>INDEX(Auxiliar!$B$16:$B$23,MATCH(Plano_V3!H551,Auxiliar!$C$16:$C$23,0),1)</f>
        <v>7. Por iniciar</v>
      </c>
      <c r="H551" s="73">
        <f>VLOOKUP(A551,'Aux - pivots1'!$A:$B,2,0)</f>
        <v>7</v>
      </c>
      <c r="I551" s="93">
        <f>SUMIFS(Table1[Estimação (horas)],Table1[Tabela],Plano_V3!E551,Table1[Campo],Plano_V3!F551)</f>
        <v>0.1</v>
      </c>
      <c r="J551" s="93">
        <f t="shared" si="63"/>
        <v>1.2500000000000001E-2</v>
      </c>
      <c r="K551" s="93">
        <f>SUMIFS(Table1[Horas efetivas],Table1[Tabela],Plano_V3!E551,Table1[Campo],Plano_V3!F551)</f>
        <v>0</v>
      </c>
      <c r="L551" s="93">
        <f t="shared" si="64"/>
        <v>0</v>
      </c>
      <c r="M551" s="93">
        <f t="shared" si="65"/>
        <v>0</v>
      </c>
      <c r="N551" s="98" t="s">
        <v>32</v>
      </c>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87"/>
      <c r="AU551" s="87"/>
      <c r="AV551" s="87"/>
      <c r="AW551" s="100"/>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87"/>
      <c r="EJ551" s="87"/>
      <c r="EK551" s="87"/>
      <c r="EL551" s="100"/>
      <c r="EM551" s="100"/>
      <c r="EN551" s="100"/>
      <c r="EO551" s="100"/>
      <c r="EP551" s="100"/>
      <c r="EQ551" s="100"/>
    </row>
    <row r="552" spans="1:147" outlineLevel="1">
      <c r="A552" s="31" t="str">
        <f t="shared" si="62"/>
        <v>lt002_instrumentgrss_cmmssn_incm_off_blnc</v>
      </c>
      <c r="B552" s="76" t="s">
        <v>28</v>
      </c>
      <c r="C552" s="77" t="s">
        <v>28</v>
      </c>
      <c r="D552" s="73" t="s">
        <v>40</v>
      </c>
      <c r="E552" s="79" t="s">
        <v>367</v>
      </c>
      <c r="F552" s="80" t="s">
        <v>410</v>
      </c>
      <c r="G552" s="73" t="str">
        <f>INDEX(Auxiliar!$B$16:$B$23,MATCH(Plano_V3!H552,Auxiliar!$C$16:$C$23,0),1)</f>
        <v>7. Por iniciar</v>
      </c>
      <c r="H552" s="73">
        <f>VLOOKUP(A552,'Aux - pivots1'!$A:$B,2,0)</f>
        <v>7</v>
      </c>
      <c r="I552" s="93">
        <f>SUMIFS(Table1[Estimação (horas)],Table1[Tabela],Plano_V3!E552,Table1[Campo],Plano_V3!F552)</f>
        <v>0.1</v>
      </c>
      <c r="J552" s="93">
        <f t="shared" si="63"/>
        <v>1.2500000000000001E-2</v>
      </c>
      <c r="K552" s="93">
        <f>SUMIFS(Table1[Horas efetivas],Table1[Tabela],Plano_V3!E552,Table1[Campo],Plano_V3!F552)</f>
        <v>0</v>
      </c>
      <c r="L552" s="93">
        <f t="shared" si="64"/>
        <v>0</v>
      </c>
      <c r="M552" s="93">
        <f t="shared" si="65"/>
        <v>0</v>
      </c>
      <c r="N552" s="98" t="s">
        <v>32</v>
      </c>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87"/>
      <c r="AU552" s="87"/>
      <c r="AV552" s="87"/>
      <c r="AW552" s="100"/>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87"/>
      <c r="EJ552" s="87"/>
      <c r="EK552" s="87"/>
      <c r="EL552" s="100"/>
      <c r="EM552" s="100"/>
      <c r="EN552" s="100"/>
      <c r="EO552" s="100"/>
      <c r="EP552" s="100"/>
      <c r="EQ552" s="100"/>
    </row>
    <row r="553" spans="1:147" outlineLevel="1">
      <c r="A553" s="31" t="str">
        <f t="shared" si="62"/>
        <v>lt002_instrumentidcmb</v>
      </c>
      <c r="B553" s="76" t="s">
        <v>28</v>
      </c>
      <c r="C553" s="77" t="s">
        <v>28</v>
      </c>
      <c r="D553" s="73" t="s">
        <v>40</v>
      </c>
      <c r="E553" s="79" t="s">
        <v>367</v>
      </c>
      <c r="F553" s="80" t="s">
        <v>411</v>
      </c>
      <c r="G553" s="73" t="str">
        <f>INDEX(Auxiliar!$B$16:$B$23,MATCH(Plano_V3!H553,Auxiliar!$C$16:$C$23,0),1)</f>
        <v>1. Concluído</v>
      </c>
      <c r="H553" s="73">
        <f>VLOOKUP(A553,'Aux - pivots1'!$A:$B,2,0)</f>
        <v>1</v>
      </c>
      <c r="I553" s="93">
        <f>SUMIFS(Table1[Estimação (horas)],Table1[Tabela],Plano_V3!E553,Table1[Campo],Plano_V3!F553)</f>
        <v>0.1</v>
      </c>
      <c r="J553" s="93">
        <f t="shared" si="63"/>
        <v>1.2500000000000001E-2</v>
      </c>
      <c r="K553" s="93">
        <f>SUMIFS(Table1[Horas efetivas],Table1[Tabela],Plano_V3!E553,Table1[Campo],Plano_V3!F553)</f>
        <v>0.1</v>
      </c>
      <c r="L553" s="93">
        <f t="shared" si="64"/>
        <v>1.2500000000000001E-2</v>
      </c>
      <c r="M553" s="93">
        <f t="shared" si="65"/>
        <v>1</v>
      </c>
      <c r="N553" s="98" t="s">
        <v>387</v>
      </c>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87"/>
      <c r="AU553" s="87"/>
      <c r="AV553" s="87"/>
      <c r="AW553" s="100"/>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87"/>
      <c r="EJ553" s="87"/>
      <c r="EK553" s="87"/>
      <c r="EL553" s="100"/>
      <c r="EM553" s="100"/>
      <c r="EN553" s="100"/>
      <c r="EO553" s="100"/>
      <c r="EP553" s="100"/>
      <c r="EQ553" s="100"/>
    </row>
    <row r="554" spans="1:147" outlineLevel="1">
      <c r="A554" s="31" t="str">
        <f t="shared" si="62"/>
        <v>lt003_entitycntry</v>
      </c>
      <c r="B554" s="76" t="s">
        <v>28</v>
      </c>
      <c r="C554" s="77" t="s">
        <v>28</v>
      </c>
      <c r="D554" s="73" t="s">
        <v>40</v>
      </c>
      <c r="E554" s="79" t="s">
        <v>323</v>
      </c>
      <c r="F554" s="80" t="s">
        <v>412</v>
      </c>
      <c r="G554" s="73" t="str">
        <f>INDEX(Auxiliar!$B$16:$B$23,MATCH(Plano_V3!H554,Auxiliar!$C$16:$C$23,0),1)</f>
        <v>1. Concluído</v>
      </c>
      <c r="H554" s="73">
        <f>VLOOKUP(A554,'Aux - pivots1'!$A:$B,2,0)</f>
        <v>1</v>
      </c>
      <c r="I554" s="93">
        <f>SUMIFS(Table1[Estimação (horas)],Table1[Tabela],Plano_V3!E554,Table1[Campo],Plano_V3!F554)</f>
        <v>0.1</v>
      </c>
      <c r="J554" s="93">
        <f t="shared" si="63"/>
        <v>1.2500000000000001E-2</v>
      </c>
      <c r="K554" s="93">
        <f>SUMIFS(Table1[Horas efetivas],Table1[Tabela],Plano_V3!E554,Table1[Campo],Plano_V3!F554)</f>
        <v>0.1</v>
      </c>
      <c r="L554" s="93">
        <f t="shared" si="64"/>
        <v>1.2500000000000001E-2</v>
      </c>
      <c r="M554" s="93">
        <f t="shared" si="65"/>
        <v>1</v>
      </c>
      <c r="N554" s="98" t="s">
        <v>387</v>
      </c>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87"/>
      <c r="AU554" s="87"/>
      <c r="AV554" s="87"/>
      <c r="AW554" s="100"/>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87"/>
      <c r="EJ554" s="87"/>
      <c r="EK554" s="87"/>
      <c r="EL554" s="100"/>
      <c r="EM554" s="100"/>
      <c r="EN554" s="100"/>
      <c r="EO554" s="100"/>
      <c r="EP554" s="100"/>
      <c r="EQ554" s="100"/>
    </row>
    <row r="555" spans="1:147" outlineLevel="1">
      <c r="A555" s="31" t="str">
        <f t="shared" si="62"/>
        <v>lt003_entitydt_rfrnc</v>
      </c>
      <c r="B555" s="76" t="s">
        <v>28</v>
      </c>
      <c r="C555" s="77" t="s">
        <v>28</v>
      </c>
      <c r="D555" s="73" t="s">
        <v>40</v>
      </c>
      <c r="E555" s="79" t="s">
        <v>323</v>
      </c>
      <c r="F555" s="80" t="s">
        <v>386</v>
      </c>
      <c r="G555" s="73" t="str">
        <f>INDEX(Auxiliar!$B$16:$B$23,MATCH(Plano_V3!H555,Auxiliar!$C$16:$C$23,0),1)</f>
        <v>1. Concluído</v>
      </c>
      <c r="H555" s="73">
        <f>VLOOKUP(A555,'Aux - pivots1'!$A:$B,2,0)</f>
        <v>1</v>
      </c>
      <c r="I555" s="93">
        <f>SUMIFS(Table1[Estimação (horas)],Table1[Tabela],Plano_V3!E555,Table1[Campo],Plano_V3!F555)</f>
        <v>0.1</v>
      </c>
      <c r="J555" s="93">
        <f t="shared" si="63"/>
        <v>1.2500000000000001E-2</v>
      </c>
      <c r="K555" s="93">
        <f>SUMIFS(Table1[Horas efetivas],Table1[Tabela],Plano_V3!E555,Table1[Campo],Plano_V3!F555)</f>
        <v>0.1</v>
      </c>
      <c r="L555" s="93">
        <f t="shared" si="64"/>
        <v>1.2500000000000001E-2</v>
      </c>
      <c r="M555" s="93">
        <f t="shared" si="65"/>
        <v>1</v>
      </c>
      <c r="N555" s="98" t="s">
        <v>387</v>
      </c>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87"/>
      <c r="AU555" s="87"/>
      <c r="AV555" s="87"/>
      <c r="AW555" s="100"/>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87"/>
      <c r="EJ555" s="87"/>
      <c r="EK555" s="87"/>
      <c r="EL555" s="100"/>
      <c r="EM555" s="100"/>
      <c r="EN555" s="100"/>
      <c r="EO555" s="100"/>
      <c r="EP555" s="100"/>
      <c r="EQ555" s="100"/>
    </row>
    <row r="556" spans="1:147" outlineLevel="1">
      <c r="A556" s="31" t="str">
        <f t="shared" si="62"/>
        <v>lt003_entityentty_id</v>
      </c>
      <c r="B556" s="76" t="s">
        <v>28</v>
      </c>
      <c r="C556" s="77" t="s">
        <v>28</v>
      </c>
      <c r="D556" s="73" t="s">
        <v>40</v>
      </c>
      <c r="E556" s="79" t="s">
        <v>323</v>
      </c>
      <c r="F556" s="80" t="s">
        <v>413</v>
      </c>
      <c r="G556" s="73" t="str">
        <f>INDEX(Auxiliar!$B$16:$B$23,MATCH(Plano_V3!H556,Auxiliar!$C$16:$C$23,0),1)</f>
        <v>1. Concluído</v>
      </c>
      <c r="H556" s="73">
        <f>VLOOKUP(A556,'Aux - pivots1'!$A:$B,2,0)</f>
        <v>1</v>
      </c>
      <c r="I556" s="93">
        <f>SUMIFS(Table1[Estimação (horas)],Table1[Tabela],Plano_V3!E556,Table1[Campo],Plano_V3!F556)</f>
        <v>0.1</v>
      </c>
      <c r="J556" s="93">
        <f t="shared" si="63"/>
        <v>1.2500000000000001E-2</v>
      </c>
      <c r="K556" s="93">
        <f>SUMIFS(Table1[Horas efetivas],Table1[Tabela],Plano_V3!E556,Table1[Campo],Plano_V3!F556)</f>
        <v>0.1</v>
      </c>
      <c r="L556" s="93">
        <f t="shared" si="64"/>
        <v>1.2500000000000001E-2</v>
      </c>
      <c r="M556" s="93">
        <f t="shared" si="65"/>
        <v>1</v>
      </c>
      <c r="N556" s="98" t="s">
        <v>387</v>
      </c>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87"/>
      <c r="AU556" s="87"/>
      <c r="AV556" s="87"/>
      <c r="AW556" s="100"/>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87"/>
      <c r="EJ556" s="87"/>
      <c r="EK556" s="87"/>
      <c r="EL556" s="100"/>
      <c r="EM556" s="100"/>
      <c r="EN556" s="100"/>
      <c r="EO556" s="100"/>
      <c r="EP556" s="100"/>
      <c r="EQ556" s="100"/>
    </row>
    <row r="557" spans="1:147" outlineLevel="1">
      <c r="A557" s="31" t="str">
        <f t="shared" si="62"/>
        <v>lt003_entitylei</v>
      </c>
      <c r="B557" s="76" t="s">
        <v>28</v>
      </c>
      <c r="C557" s="77" t="s">
        <v>28</v>
      </c>
      <c r="D557" s="73" t="s">
        <v>40</v>
      </c>
      <c r="E557" s="79" t="s">
        <v>323</v>
      </c>
      <c r="F557" s="80" t="s">
        <v>414</v>
      </c>
      <c r="G557" s="73" t="str">
        <f>INDEX(Auxiliar!$B$16:$B$23,MATCH(Plano_V3!H557,Auxiliar!$C$16:$C$23,0),1)</f>
        <v>1. Concluído</v>
      </c>
      <c r="H557" s="73">
        <f>VLOOKUP(A557,'Aux - pivots1'!$A:$B,2,0)</f>
        <v>1</v>
      </c>
      <c r="I557" s="93">
        <f>SUMIFS(Table1[Estimação (horas)],Table1[Tabela],Plano_V3!E557,Table1[Campo],Plano_V3!F557)</f>
        <v>0.1</v>
      </c>
      <c r="J557" s="93">
        <f t="shared" si="63"/>
        <v>1.2500000000000001E-2</v>
      </c>
      <c r="K557" s="93">
        <f>SUMIFS(Table1[Horas efetivas],Table1[Tabela],Plano_V3!E557,Table1[Campo],Plano_V3!F557)</f>
        <v>0.1</v>
      </c>
      <c r="L557" s="93">
        <f t="shared" si="64"/>
        <v>1.2500000000000001E-2</v>
      </c>
      <c r="M557" s="93">
        <f t="shared" si="65"/>
        <v>1</v>
      </c>
      <c r="N557" s="98" t="s">
        <v>387</v>
      </c>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87"/>
      <c r="AU557" s="87"/>
      <c r="AV557" s="87"/>
      <c r="AW557" s="100"/>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87"/>
      <c r="EJ557" s="87"/>
      <c r="EK557" s="87"/>
      <c r="EL557" s="100"/>
      <c r="EM557" s="100"/>
      <c r="EN557" s="100"/>
      <c r="EO557" s="100"/>
      <c r="EP557" s="100"/>
      <c r="EQ557" s="100"/>
    </row>
    <row r="558" spans="1:147" outlineLevel="1">
      <c r="A558" s="31" t="str">
        <f t="shared" si="62"/>
        <v>lt003_entityecnmc_actvty</v>
      </c>
      <c r="B558" s="76" t="s">
        <v>28</v>
      </c>
      <c r="C558" s="77" t="s">
        <v>28</v>
      </c>
      <c r="D558" s="73" t="s">
        <v>40</v>
      </c>
      <c r="E558" s="79" t="s">
        <v>323</v>
      </c>
      <c r="F558" s="80" t="s">
        <v>415</v>
      </c>
      <c r="G558" s="73" t="str">
        <f>INDEX(Auxiliar!$B$16:$B$23,MATCH(Plano_V3!H558,Auxiliar!$C$16:$C$23,0),1)</f>
        <v>1. Concluído</v>
      </c>
      <c r="H558" s="73">
        <f>VLOOKUP(A558,'Aux - pivots1'!$A:$B,2,0)</f>
        <v>1</v>
      </c>
      <c r="I558" s="93">
        <f>SUMIFS(Table1[Estimação (horas)],Table1[Tabela],Plano_V3!E558,Table1[Campo],Plano_V3!F558)</f>
        <v>0.1</v>
      </c>
      <c r="J558" s="93">
        <f t="shared" si="63"/>
        <v>1.2500000000000001E-2</v>
      </c>
      <c r="K558" s="93">
        <f>SUMIFS(Table1[Horas efetivas],Table1[Tabela],Plano_V3!E558,Table1[Campo],Plano_V3!F558)</f>
        <v>0.1</v>
      </c>
      <c r="L558" s="93">
        <f t="shared" si="64"/>
        <v>1.2500000000000001E-2</v>
      </c>
      <c r="M558" s="93">
        <f t="shared" si="65"/>
        <v>1</v>
      </c>
      <c r="N558" s="98" t="s">
        <v>387</v>
      </c>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87"/>
      <c r="AU558" s="87"/>
      <c r="AV558" s="87"/>
      <c r="AW558" s="100"/>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87"/>
      <c r="EJ558" s="87"/>
      <c r="EK558" s="87"/>
      <c r="EL558" s="100"/>
      <c r="EM558" s="100"/>
      <c r="EN558" s="100"/>
      <c r="EO558" s="100"/>
      <c r="EP558" s="100"/>
      <c r="EQ558" s="100"/>
    </row>
    <row r="559" spans="1:147" outlineLevel="1">
      <c r="A559" s="31" t="str">
        <f t="shared" si="62"/>
        <v>lt003_entitygrp_eqty</v>
      </c>
      <c r="B559" s="76" t="s">
        <v>28</v>
      </c>
      <c r="C559" s="77" t="s">
        <v>28</v>
      </c>
      <c r="D559" s="73" t="s">
        <v>40</v>
      </c>
      <c r="E559" s="79" t="s">
        <v>323</v>
      </c>
      <c r="F559" s="80" t="s">
        <v>416</v>
      </c>
      <c r="G559" s="73" t="str">
        <f>INDEX(Auxiliar!$B$16:$B$23,MATCH(Plano_V3!H559,Auxiliar!$C$16:$C$23,0),1)</f>
        <v>1. Concluído</v>
      </c>
      <c r="H559" s="73">
        <f>VLOOKUP(A559,'Aux - pivots1'!$A:$B,2,0)</f>
        <v>1</v>
      </c>
      <c r="I559" s="93">
        <f>SUMIFS(Table1[Estimação (horas)],Table1[Tabela],Plano_V3!E559,Table1[Campo],Plano_V3!F559)</f>
        <v>0.1</v>
      </c>
      <c r="J559" s="93">
        <f t="shared" si="63"/>
        <v>1.2500000000000001E-2</v>
      </c>
      <c r="K559" s="93">
        <f>SUMIFS(Table1[Horas efetivas],Table1[Tabela],Plano_V3!E559,Table1[Campo],Plano_V3!F559)</f>
        <v>0.1</v>
      </c>
      <c r="L559" s="93">
        <f t="shared" si="64"/>
        <v>1.2500000000000001E-2</v>
      </c>
      <c r="M559" s="93">
        <f t="shared" si="65"/>
        <v>1</v>
      </c>
      <c r="N559" s="98" t="s">
        <v>387</v>
      </c>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87"/>
      <c r="AU559" s="87"/>
      <c r="AV559" s="87"/>
      <c r="AW559" s="100"/>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87"/>
      <c r="EJ559" s="87"/>
      <c r="EK559" s="87"/>
      <c r="EL559" s="100"/>
      <c r="EM559" s="100"/>
      <c r="EN559" s="100"/>
      <c r="EO559" s="100"/>
      <c r="EP559" s="100"/>
      <c r="EQ559" s="100"/>
    </row>
    <row r="560" spans="1:147" outlineLevel="1">
      <c r="A560" s="31" t="str">
        <f t="shared" si="62"/>
        <v>lt003_entityannl_trnvr_le</v>
      </c>
      <c r="B560" s="76" t="s">
        <v>28</v>
      </c>
      <c r="C560" s="77" t="s">
        <v>28</v>
      </c>
      <c r="D560" s="73" t="s">
        <v>40</v>
      </c>
      <c r="E560" s="79" t="s">
        <v>323</v>
      </c>
      <c r="F560" s="80" t="s">
        <v>417</v>
      </c>
      <c r="G560" s="73" t="str">
        <f>INDEX(Auxiliar!$B$16:$B$23,MATCH(Plano_V3!H560,Auxiliar!$C$16:$C$23,0),1)</f>
        <v>1. Concluído</v>
      </c>
      <c r="H560" s="73">
        <f>VLOOKUP(A560,'Aux - pivots1'!$A:$B,2,0)</f>
        <v>1</v>
      </c>
      <c r="I560" s="93">
        <f>SUMIFS(Table1[Estimação (horas)],Table1[Tabela],Plano_V3!E560,Table1[Campo],Plano_V3!F560)</f>
        <v>0.1</v>
      </c>
      <c r="J560" s="93">
        <f t="shared" si="63"/>
        <v>1.2500000000000001E-2</v>
      </c>
      <c r="K560" s="93">
        <f>SUMIFS(Table1[Horas efetivas],Table1[Tabela],Plano_V3!E560,Table1[Campo],Plano_V3!F560)</f>
        <v>0.1</v>
      </c>
      <c r="L560" s="93">
        <f t="shared" si="64"/>
        <v>1.2500000000000001E-2</v>
      </c>
      <c r="M560" s="93">
        <f t="shared" si="65"/>
        <v>1</v>
      </c>
      <c r="N560" s="98" t="s">
        <v>387</v>
      </c>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87"/>
      <c r="AU560" s="87"/>
      <c r="AV560" s="87"/>
      <c r="AW560" s="100"/>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87"/>
      <c r="EJ560" s="87"/>
      <c r="EK560" s="87"/>
      <c r="EL560" s="100"/>
      <c r="EM560" s="100"/>
      <c r="EN560" s="100"/>
      <c r="EO560" s="100"/>
      <c r="EP560" s="100"/>
      <c r="EQ560" s="100"/>
    </row>
    <row r="561" spans="1:147" outlineLevel="1">
      <c r="A561" s="31" t="str">
        <f t="shared" si="62"/>
        <v>lt003_entityeqty</v>
      </c>
      <c r="B561" s="76" t="s">
        <v>28</v>
      </c>
      <c r="C561" s="77" t="s">
        <v>28</v>
      </c>
      <c r="D561" s="73" t="s">
        <v>40</v>
      </c>
      <c r="E561" s="79" t="s">
        <v>323</v>
      </c>
      <c r="F561" s="80" t="s">
        <v>418</v>
      </c>
      <c r="G561" s="73" t="str">
        <f>INDEX(Auxiliar!$B$16:$B$23,MATCH(Plano_V3!H561,Auxiliar!$C$16:$C$23,0),1)</f>
        <v>1. Concluído</v>
      </c>
      <c r="H561" s="73">
        <f>VLOOKUP(A561,'Aux - pivots1'!$A:$B,2,0)</f>
        <v>1</v>
      </c>
      <c r="I561" s="93">
        <f>SUMIFS(Table1[Estimação (horas)],Table1[Tabela],Plano_V3!E561,Table1[Campo],Plano_V3!F561)</f>
        <v>0.1</v>
      </c>
      <c r="J561" s="93">
        <f t="shared" si="63"/>
        <v>1.2500000000000001E-2</v>
      </c>
      <c r="K561" s="93">
        <f>SUMIFS(Table1[Horas efetivas],Table1[Tabela],Plano_V3!E561,Table1[Campo],Plano_V3!F561)</f>
        <v>0.1</v>
      </c>
      <c r="L561" s="93">
        <f t="shared" si="64"/>
        <v>1.2500000000000001E-2</v>
      </c>
      <c r="M561" s="93">
        <f t="shared" si="65"/>
        <v>1</v>
      </c>
      <c r="N561" s="98" t="s">
        <v>387</v>
      </c>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87"/>
      <c r="AU561" s="87"/>
      <c r="AV561" s="87"/>
      <c r="AW561" s="100"/>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87"/>
      <c r="EJ561" s="87"/>
      <c r="EK561" s="87"/>
      <c r="EL561" s="100"/>
      <c r="EM561" s="100"/>
      <c r="EN561" s="100"/>
      <c r="EO561" s="100"/>
      <c r="EP561" s="100"/>
      <c r="EQ561" s="100"/>
    </row>
    <row r="562" spans="1:147" outlineLevel="1">
      <c r="A562" s="31" t="str">
        <f t="shared" si="62"/>
        <v>lt003_entitygrp_ttl_dbt</v>
      </c>
      <c r="B562" s="76" t="s">
        <v>28</v>
      </c>
      <c r="C562" s="77" t="s">
        <v>28</v>
      </c>
      <c r="D562" s="73" t="s">
        <v>40</v>
      </c>
      <c r="E562" s="79" t="s">
        <v>323</v>
      </c>
      <c r="F562" s="80" t="s">
        <v>419</v>
      </c>
      <c r="G562" s="73" t="str">
        <f>INDEX(Auxiliar!$B$16:$B$23,MATCH(Plano_V3!H562,Auxiliar!$C$16:$C$23,0),1)</f>
        <v>1. Concluído</v>
      </c>
      <c r="H562" s="73">
        <f>VLOOKUP(A562,'Aux - pivots1'!$A:$B,2,0)</f>
        <v>1</v>
      </c>
      <c r="I562" s="93">
        <f>SUMIFS(Table1[Estimação (horas)],Table1[Tabela],Plano_V3!E562,Table1[Campo],Plano_V3!F562)</f>
        <v>0.1</v>
      </c>
      <c r="J562" s="93">
        <f t="shared" si="63"/>
        <v>1.2500000000000001E-2</v>
      </c>
      <c r="K562" s="93">
        <f>SUMIFS(Table1[Horas efetivas],Table1[Tabela],Plano_V3!E562,Table1[Campo],Plano_V3!F562)</f>
        <v>0.1</v>
      </c>
      <c r="L562" s="93">
        <f t="shared" si="64"/>
        <v>1.2500000000000001E-2</v>
      </c>
      <c r="M562" s="93">
        <f t="shared" si="65"/>
        <v>1</v>
      </c>
      <c r="N562" s="98" t="s">
        <v>387</v>
      </c>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87"/>
      <c r="AU562" s="87"/>
      <c r="AV562" s="87"/>
      <c r="AW562" s="100"/>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87"/>
      <c r="EJ562" s="87"/>
      <c r="EK562" s="87"/>
      <c r="EL562" s="100"/>
      <c r="EM562" s="100"/>
      <c r="EN562" s="100"/>
      <c r="EO562" s="100"/>
      <c r="EP562" s="100"/>
      <c r="EQ562" s="100"/>
    </row>
    <row r="563" spans="1:147" outlineLevel="1">
      <c r="A563" s="31" t="str">
        <f t="shared" si="62"/>
        <v>lt003_entityttl_dbt</v>
      </c>
      <c r="B563" s="76" t="s">
        <v>28</v>
      </c>
      <c r="C563" s="77" t="s">
        <v>28</v>
      </c>
      <c r="D563" s="73" t="s">
        <v>40</v>
      </c>
      <c r="E563" s="79" t="s">
        <v>323</v>
      </c>
      <c r="F563" s="80" t="s">
        <v>420</v>
      </c>
      <c r="G563" s="73" t="str">
        <f>INDEX(Auxiliar!$B$16:$B$23,MATCH(Plano_V3!H563,Auxiliar!$C$16:$C$23,0),1)</f>
        <v>1. Concluído</v>
      </c>
      <c r="H563" s="73">
        <f>VLOOKUP(A563,'Aux - pivots1'!$A:$B,2,0)</f>
        <v>1</v>
      </c>
      <c r="I563" s="93">
        <f>SUMIFS(Table1[Estimação (horas)],Table1[Tabela],Plano_V3!E563,Table1[Campo],Plano_V3!F563)</f>
        <v>0.1</v>
      </c>
      <c r="J563" s="93">
        <f t="shared" si="63"/>
        <v>1.2500000000000001E-2</v>
      </c>
      <c r="K563" s="93">
        <f>SUMIFS(Table1[Horas efetivas],Table1[Tabela],Plano_V3!E563,Table1[Campo],Plano_V3!F563)</f>
        <v>0.1</v>
      </c>
      <c r="L563" s="93">
        <f t="shared" si="64"/>
        <v>1.2500000000000001E-2</v>
      </c>
      <c r="M563" s="93">
        <f t="shared" si="65"/>
        <v>1</v>
      </c>
      <c r="N563" s="98" t="s">
        <v>387</v>
      </c>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87"/>
      <c r="AU563" s="87"/>
      <c r="AV563" s="87"/>
      <c r="AW563" s="100"/>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87"/>
      <c r="EJ563" s="87"/>
      <c r="EK563" s="87"/>
      <c r="EL563" s="100"/>
      <c r="EM563" s="100"/>
      <c r="EN563" s="100"/>
      <c r="EO563" s="100"/>
      <c r="EP563" s="100"/>
      <c r="EQ563" s="100"/>
    </row>
    <row r="564" spans="1:147" outlineLevel="1">
      <c r="A564" s="31" t="str">
        <f t="shared" si="62"/>
        <v>lt003_entitycod_soc</v>
      </c>
      <c r="B564" s="76" t="s">
        <v>28</v>
      </c>
      <c r="C564" s="77" t="s">
        <v>28</v>
      </c>
      <c r="D564" s="73" t="s">
        <v>40</v>
      </c>
      <c r="E564" s="79" t="s">
        <v>323</v>
      </c>
      <c r="F564" s="80" t="s">
        <v>404</v>
      </c>
      <c r="G564" s="73" t="str">
        <f>INDEX(Auxiliar!$B$16:$B$23,MATCH(Plano_V3!H564,Auxiliar!$C$16:$C$23,0),1)</f>
        <v>1. Concluído</v>
      </c>
      <c r="H564" s="73">
        <f>VLOOKUP(A564,'Aux - pivots1'!$A:$B,2,0)</f>
        <v>1</v>
      </c>
      <c r="I564" s="93">
        <f>SUMIFS(Table1[Estimação (horas)],Table1[Tabela],Plano_V3!E564,Table1[Campo],Plano_V3!F564)</f>
        <v>0.1</v>
      </c>
      <c r="J564" s="93">
        <f t="shared" si="63"/>
        <v>1.2500000000000001E-2</v>
      </c>
      <c r="K564" s="93">
        <f>SUMIFS(Table1[Horas efetivas],Table1[Tabela],Plano_V3!E564,Table1[Campo],Plano_V3!F564)</f>
        <v>0.1</v>
      </c>
      <c r="L564" s="93">
        <f t="shared" si="64"/>
        <v>1.2500000000000001E-2</v>
      </c>
      <c r="M564" s="93">
        <f t="shared" si="65"/>
        <v>1</v>
      </c>
      <c r="N564" s="98" t="s">
        <v>387</v>
      </c>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87"/>
      <c r="AU564" s="87"/>
      <c r="AV564" s="87"/>
      <c r="AW564" s="100"/>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87"/>
      <c r="EJ564" s="87"/>
      <c r="EK564" s="87"/>
      <c r="EL564" s="100"/>
      <c r="EM564" s="100"/>
      <c r="EN564" s="100"/>
      <c r="EO564" s="100"/>
      <c r="EP564" s="100"/>
      <c r="EQ564" s="100"/>
    </row>
    <row r="565" spans="1:147" outlineLevel="1">
      <c r="A565" s="31" t="str">
        <f t="shared" si="62"/>
        <v>lt004_protectiondt_rfrnc</v>
      </c>
      <c r="B565" s="76" t="s">
        <v>28</v>
      </c>
      <c r="C565" s="77" t="s">
        <v>28</v>
      </c>
      <c r="D565" s="73" t="s">
        <v>40</v>
      </c>
      <c r="E565" s="79" t="s">
        <v>356</v>
      </c>
      <c r="F565" s="80" t="s">
        <v>386</v>
      </c>
      <c r="G565" s="73" t="str">
        <f>INDEX(Auxiliar!$B$16:$B$23,MATCH(Plano_V3!H565,Auxiliar!$C$16:$C$23,0),1)</f>
        <v>1. Concluído</v>
      </c>
      <c r="H565" s="73">
        <f>VLOOKUP(A565,'Aux - pivots1'!$A:$B,2,0)</f>
        <v>1</v>
      </c>
      <c r="I565" s="93">
        <f>SUMIFS(Table1[Estimação (horas)],Table1[Tabela],Plano_V3!E565,Table1[Campo],Plano_V3!F565)</f>
        <v>0.1</v>
      </c>
      <c r="J565" s="93">
        <f t="shared" si="63"/>
        <v>1.2500000000000001E-2</v>
      </c>
      <c r="K565" s="93">
        <f>SUMIFS(Table1[Horas efetivas],Table1[Tabela],Plano_V3!E565,Table1[Campo],Plano_V3!F565)</f>
        <v>0.1</v>
      </c>
      <c r="L565" s="93">
        <f t="shared" si="64"/>
        <v>1.2500000000000001E-2</v>
      </c>
      <c r="M565" s="93">
        <f t="shared" si="65"/>
        <v>1</v>
      </c>
      <c r="N565" s="98" t="s">
        <v>387</v>
      </c>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87"/>
      <c r="AU565" s="87"/>
      <c r="AV565" s="87"/>
      <c r="AW565" s="100"/>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87"/>
      <c r="EJ565" s="87"/>
      <c r="EK565" s="87"/>
      <c r="EL565" s="100"/>
      <c r="EM565" s="100"/>
      <c r="EN565" s="100"/>
      <c r="EO565" s="100"/>
      <c r="EP565" s="100"/>
      <c r="EQ565" s="100"/>
    </row>
    <row r="566" spans="1:147" outlineLevel="1">
      <c r="A566" s="31" t="str">
        <f t="shared" si="62"/>
        <v>lt004_protectionprtctn_id</v>
      </c>
      <c r="B566" s="76" t="s">
        <v>28</v>
      </c>
      <c r="C566" s="77" t="s">
        <v>28</v>
      </c>
      <c r="D566" s="73" t="s">
        <v>40</v>
      </c>
      <c r="E566" s="79" t="s">
        <v>356</v>
      </c>
      <c r="F566" s="80" t="s">
        <v>421</v>
      </c>
      <c r="G566" s="73" t="str">
        <f>INDEX(Auxiliar!$B$16:$B$23,MATCH(Plano_V3!H566,Auxiliar!$C$16:$C$23,0),1)</f>
        <v>4. Validação EF</v>
      </c>
      <c r="H566" s="73">
        <f>VLOOKUP(A566,'Aux - pivots1'!$A:$B,2,0)</f>
        <v>4</v>
      </c>
      <c r="I566" s="93">
        <f>SUMIFS(Table1[Estimação (horas)],Table1[Tabela],Plano_V3!E566,Table1[Campo],Plano_V3!F566)</f>
        <v>0.1</v>
      </c>
      <c r="J566" s="93">
        <f t="shared" si="63"/>
        <v>1.2500000000000001E-2</v>
      </c>
      <c r="K566" s="93">
        <f>SUMIFS(Table1[Horas efetivas],Table1[Tabela],Plano_V3!E566,Table1[Campo],Plano_V3!F566)</f>
        <v>2.5000000000000001E-2</v>
      </c>
      <c r="L566" s="93">
        <f t="shared" si="64"/>
        <v>3.1250000000000002E-3</v>
      </c>
      <c r="M566" s="93">
        <f t="shared" si="65"/>
        <v>0.25</v>
      </c>
      <c r="N566" s="98" t="s">
        <v>387</v>
      </c>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87"/>
      <c r="AU566" s="87"/>
      <c r="AV566" s="87"/>
      <c r="AW566" s="100"/>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87"/>
      <c r="EJ566" s="87"/>
      <c r="EK566" s="87"/>
      <c r="EL566" s="100"/>
      <c r="EM566" s="100"/>
      <c r="EN566" s="100"/>
      <c r="EO566" s="100"/>
      <c r="EP566" s="100"/>
      <c r="EQ566" s="100"/>
    </row>
    <row r="567" spans="1:147" outlineLevel="1">
      <c r="A567" s="31" t="str">
        <f t="shared" si="62"/>
        <v>lt004_protectionrl_estt_clltrl_lctn</v>
      </c>
      <c r="B567" s="76" t="s">
        <v>28</v>
      </c>
      <c r="C567" s="77" t="s">
        <v>28</v>
      </c>
      <c r="D567" s="73" t="s">
        <v>40</v>
      </c>
      <c r="E567" s="79" t="s">
        <v>356</v>
      </c>
      <c r="F567" s="80" t="s">
        <v>422</v>
      </c>
      <c r="G567" s="73" t="str">
        <f>INDEX(Auxiliar!$B$16:$B$23,MATCH(Plano_V3!H567,Auxiliar!$C$16:$C$23,0),1)</f>
        <v>4. Validação EF</v>
      </c>
      <c r="H567" s="73">
        <f>VLOOKUP(A567,'Aux - pivots1'!$A:$B,2,0)</f>
        <v>4</v>
      </c>
      <c r="I567" s="93">
        <f>SUMIFS(Table1[Estimação (horas)],Table1[Tabela],Plano_V3!E567,Table1[Campo],Plano_V3!F567)</f>
        <v>0.1</v>
      </c>
      <c r="J567" s="93">
        <f t="shared" si="63"/>
        <v>1.2500000000000001E-2</v>
      </c>
      <c r="K567" s="93">
        <f>SUMIFS(Table1[Horas efetivas],Table1[Tabela],Plano_V3!E567,Table1[Campo],Plano_V3!F567)</f>
        <v>2.5000000000000001E-2</v>
      </c>
      <c r="L567" s="93">
        <f t="shared" si="64"/>
        <v>3.1250000000000002E-3</v>
      </c>
      <c r="M567" s="93">
        <f t="shared" si="65"/>
        <v>0.25</v>
      </c>
      <c r="N567" s="98" t="s">
        <v>387</v>
      </c>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87"/>
      <c r="AU567" s="87"/>
      <c r="AV567" s="87"/>
      <c r="AW567" s="100"/>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87"/>
      <c r="EJ567" s="87"/>
      <c r="EK567" s="87"/>
      <c r="EL567" s="100"/>
      <c r="EM567" s="100"/>
      <c r="EN567" s="100"/>
      <c r="EO567" s="100"/>
      <c r="EP567" s="100"/>
      <c r="EQ567" s="100"/>
    </row>
    <row r="568" spans="1:147" outlineLevel="1">
      <c r="A568" s="31" t="str">
        <f t="shared" si="62"/>
        <v>lt004_protectionrl_estt_pst_cd</v>
      </c>
      <c r="B568" s="76" t="s">
        <v>28</v>
      </c>
      <c r="C568" s="77" t="s">
        <v>28</v>
      </c>
      <c r="D568" s="73" t="s">
        <v>40</v>
      </c>
      <c r="E568" s="79" t="s">
        <v>356</v>
      </c>
      <c r="F568" s="80" t="s">
        <v>423</v>
      </c>
      <c r="G568" s="73" t="str">
        <f>INDEX(Auxiliar!$B$16:$B$23,MATCH(Plano_V3!H568,Auxiliar!$C$16:$C$23,0),1)</f>
        <v>4. Validação EF</v>
      </c>
      <c r="H568" s="73">
        <f>VLOOKUP(A568,'Aux - pivots1'!$A:$B,2,0)</f>
        <v>4</v>
      </c>
      <c r="I568" s="93">
        <f>SUMIFS(Table1[Estimação (horas)],Table1[Tabela],Plano_V3!E568,Table1[Campo],Plano_V3!F568)</f>
        <v>0.1</v>
      </c>
      <c r="J568" s="93">
        <f t="shared" si="63"/>
        <v>1.2500000000000001E-2</v>
      </c>
      <c r="K568" s="93">
        <f>SUMIFS(Table1[Horas efetivas],Table1[Tabela],Plano_V3!E568,Table1[Campo],Plano_V3!F568)</f>
        <v>2.5000000000000001E-2</v>
      </c>
      <c r="L568" s="93">
        <f t="shared" si="64"/>
        <v>3.1250000000000002E-3</v>
      </c>
      <c r="M568" s="93">
        <f t="shared" si="65"/>
        <v>0.25</v>
      </c>
      <c r="N568" s="98" t="s">
        <v>387</v>
      </c>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87"/>
      <c r="AU568" s="87"/>
      <c r="AV568" s="87"/>
      <c r="AW568" s="100"/>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87"/>
      <c r="EJ568" s="87"/>
      <c r="EK568" s="87"/>
      <c r="EL568" s="100"/>
      <c r="EM568" s="100"/>
      <c r="EN568" s="100"/>
      <c r="EO568" s="100"/>
      <c r="EP568" s="100"/>
      <c r="EQ568" s="100"/>
    </row>
    <row r="569" spans="1:147" outlineLevel="1">
      <c r="A569" s="31" t="str">
        <f t="shared" si="62"/>
        <v>lt004_protectiontyp_prtctn</v>
      </c>
      <c r="B569" s="76" t="s">
        <v>28</v>
      </c>
      <c r="C569" s="77" t="s">
        <v>28</v>
      </c>
      <c r="D569" s="73" t="s">
        <v>40</v>
      </c>
      <c r="E569" s="79" t="s">
        <v>356</v>
      </c>
      <c r="F569" s="80" t="s">
        <v>424</v>
      </c>
      <c r="G569" s="73" t="str">
        <f>INDEX(Auxiliar!$B$16:$B$23,MATCH(Plano_V3!H569,Auxiliar!$C$16:$C$23,0),1)</f>
        <v>4. Validação EF</v>
      </c>
      <c r="H569" s="73">
        <f>VLOOKUP(A569,'Aux - pivots1'!$A:$B,2,0)</f>
        <v>4</v>
      </c>
      <c r="I569" s="93">
        <f>SUMIFS(Table1[Estimação (horas)],Table1[Tabela],Plano_V3!E569,Table1[Campo],Plano_V3!F569)</f>
        <v>0.1</v>
      </c>
      <c r="J569" s="93">
        <f t="shared" si="63"/>
        <v>1.2500000000000001E-2</v>
      </c>
      <c r="K569" s="93">
        <f>SUMIFS(Table1[Horas efetivas],Table1[Tabela],Plano_V3!E569,Table1[Campo],Plano_V3!F569)</f>
        <v>2.5000000000000001E-2</v>
      </c>
      <c r="L569" s="93">
        <f t="shared" si="64"/>
        <v>3.1250000000000002E-3</v>
      </c>
      <c r="M569" s="93">
        <f t="shared" si="65"/>
        <v>0.25</v>
      </c>
      <c r="N569" s="98" t="s">
        <v>387</v>
      </c>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87"/>
      <c r="AU569" s="87"/>
      <c r="AV569" s="87"/>
      <c r="AW569" s="100"/>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87"/>
      <c r="EJ569" s="87"/>
      <c r="EK569" s="87"/>
      <c r="EL569" s="100"/>
      <c r="EM569" s="100"/>
      <c r="EN569" s="100"/>
      <c r="EO569" s="100"/>
      <c r="EP569" s="100"/>
      <c r="EQ569" s="100"/>
    </row>
    <row r="570" spans="1:147" outlineLevel="1">
      <c r="A570" s="31" t="str">
        <f t="shared" si="62"/>
        <v>lt004_protectionorgnl_prtctn_vl</v>
      </c>
      <c r="B570" s="76" t="s">
        <v>28</v>
      </c>
      <c r="C570" s="77" t="s">
        <v>28</v>
      </c>
      <c r="D570" s="73" t="s">
        <v>40</v>
      </c>
      <c r="E570" s="79" t="s">
        <v>356</v>
      </c>
      <c r="F570" s="80" t="s">
        <v>425</v>
      </c>
      <c r="G570" s="73" t="str">
        <f>INDEX(Auxiliar!$B$16:$B$23,MATCH(Plano_V3!H570,Auxiliar!$C$16:$C$23,0),1)</f>
        <v>4. Validação EF</v>
      </c>
      <c r="H570" s="73">
        <f>VLOOKUP(A570,'Aux - pivots1'!$A:$B,2,0)</f>
        <v>4</v>
      </c>
      <c r="I570" s="93">
        <f>SUMIFS(Table1[Estimação (horas)],Table1[Tabela],Plano_V3!E570,Table1[Campo],Plano_V3!F570)</f>
        <v>0.1</v>
      </c>
      <c r="J570" s="93">
        <f t="shared" si="63"/>
        <v>1.2500000000000001E-2</v>
      </c>
      <c r="K570" s="93">
        <f>SUMIFS(Table1[Horas efetivas],Table1[Tabela],Plano_V3!E570,Table1[Campo],Plano_V3!F570)</f>
        <v>2.5000000000000001E-2</v>
      </c>
      <c r="L570" s="93">
        <f t="shared" si="64"/>
        <v>3.1250000000000002E-3</v>
      </c>
      <c r="M570" s="93">
        <f t="shared" si="65"/>
        <v>0.25</v>
      </c>
      <c r="N570" s="98" t="s">
        <v>387</v>
      </c>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87"/>
      <c r="AU570" s="87"/>
      <c r="AV570" s="87"/>
      <c r="AW570" s="100"/>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87"/>
      <c r="EJ570" s="87"/>
      <c r="EK570" s="87"/>
      <c r="EL570" s="100"/>
      <c r="EM570" s="100"/>
      <c r="EN570" s="100"/>
      <c r="EO570" s="100"/>
      <c r="EP570" s="100"/>
      <c r="EQ570" s="100"/>
    </row>
    <row r="571" spans="1:147" outlineLevel="1">
      <c r="A571" s="31" t="str">
        <f t="shared" si="62"/>
        <v>lt004_protectionprtctn_vl</v>
      </c>
      <c r="B571" s="76" t="s">
        <v>28</v>
      </c>
      <c r="C571" s="77" t="s">
        <v>28</v>
      </c>
      <c r="D571" s="73" t="s">
        <v>40</v>
      </c>
      <c r="E571" s="79" t="s">
        <v>356</v>
      </c>
      <c r="F571" s="80" t="s">
        <v>426</v>
      </c>
      <c r="G571" s="73" t="str">
        <f>INDEX(Auxiliar!$B$16:$B$23,MATCH(Plano_V3!H571,Auxiliar!$C$16:$C$23,0),1)</f>
        <v>4. Validação EF</v>
      </c>
      <c r="H571" s="73">
        <f>VLOOKUP(A571,'Aux - pivots1'!$A:$B,2,0)</f>
        <v>4</v>
      </c>
      <c r="I571" s="93">
        <f>SUMIFS(Table1[Estimação (horas)],Table1[Tabela],Plano_V3!E571,Table1[Campo],Plano_V3!F571)</f>
        <v>0.1</v>
      </c>
      <c r="J571" s="93">
        <f t="shared" si="63"/>
        <v>1.2500000000000001E-2</v>
      </c>
      <c r="K571" s="93">
        <f>SUMIFS(Table1[Horas efetivas],Table1[Tabela],Plano_V3!E571,Table1[Campo],Plano_V3!F571)</f>
        <v>2.5000000000000001E-2</v>
      </c>
      <c r="L571" s="93">
        <f t="shared" si="64"/>
        <v>3.1250000000000002E-3</v>
      </c>
      <c r="M571" s="93">
        <f t="shared" si="65"/>
        <v>0.25</v>
      </c>
      <c r="N571" s="98" t="s">
        <v>387</v>
      </c>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87"/>
      <c r="AU571" s="87"/>
      <c r="AV571" s="87"/>
      <c r="AW571" s="100"/>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87"/>
      <c r="EJ571" s="87"/>
      <c r="EK571" s="87"/>
      <c r="EL571" s="100"/>
      <c r="EM571" s="100"/>
      <c r="EN571" s="100"/>
      <c r="EO571" s="100"/>
      <c r="EP571" s="100"/>
      <c r="EQ571" s="100"/>
    </row>
    <row r="572" spans="1:147" outlineLevel="1">
      <c r="A572" s="31" t="str">
        <f t="shared" si="62"/>
        <v>lt004_protectioncod_soc</v>
      </c>
      <c r="B572" s="76" t="s">
        <v>28</v>
      </c>
      <c r="C572" s="77" t="s">
        <v>28</v>
      </c>
      <c r="D572" s="73" t="s">
        <v>40</v>
      </c>
      <c r="E572" s="79" t="s">
        <v>356</v>
      </c>
      <c r="F572" s="80" t="s">
        <v>404</v>
      </c>
      <c r="G572" s="73" t="str">
        <f>INDEX(Auxiliar!$B$16:$B$23,MATCH(Plano_V3!H572,Auxiliar!$C$16:$C$23,0),1)</f>
        <v>4. Validação EF</v>
      </c>
      <c r="H572" s="73">
        <f>VLOOKUP(A572,'Aux - pivots1'!$A:$B,2,0)</f>
        <v>4</v>
      </c>
      <c r="I572" s="93">
        <f>SUMIFS(Table1[Estimação (horas)],Table1[Tabela],Plano_V3!E572,Table1[Campo],Plano_V3!F572)</f>
        <v>0.1</v>
      </c>
      <c r="J572" s="93">
        <f t="shared" si="63"/>
        <v>1.2500000000000001E-2</v>
      </c>
      <c r="K572" s="93">
        <f>SUMIFS(Table1[Horas efetivas],Table1[Tabela],Plano_V3!E572,Table1[Campo],Plano_V3!F572)</f>
        <v>2.5000000000000001E-2</v>
      </c>
      <c r="L572" s="93">
        <f t="shared" si="64"/>
        <v>3.1250000000000002E-3</v>
      </c>
      <c r="M572" s="93">
        <f t="shared" si="65"/>
        <v>0.25</v>
      </c>
      <c r="N572" s="98" t="s">
        <v>387</v>
      </c>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87"/>
      <c r="AU572" s="87"/>
      <c r="AV572" s="87"/>
      <c r="AW572" s="100"/>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87"/>
      <c r="EJ572" s="87"/>
      <c r="EK572" s="87"/>
      <c r="EL572" s="100"/>
      <c r="EM572" s="100"/>
      <c r="EN572" s="100"/>
      <c r="EO572" s="100"/>
      <c r="EP572" s="100"/>
      <c r="EQ572" s="100"/>
    </row>
    <row r="573" spans="1:147" outlineLevel="1">
      <c r="A573" s="31" t="str">
        <f t="shared" si="62"/>
        <v>lt005_instr_entdt_rfrnc</v>
      </c>
      <c r="B573" s="76" t="s">
        <v>28</v>
      </c>
      <c r="C573" s="77" t="s">
        <v>28</v>
      </c>
      <c r="D573" s="73" t="s">
        <v>40</v>
      </c>
      <c r="E573" s="79" t="s">
        <v>427</v>
      </c>
      <c r="F573" s="80" t="s">
        <v>386</v>
      </c>
      <c r="G573" s="73" t="str">
        <f>INDEX(Auxiliar!$B$16:$B$23,MATCH(Plano_V3!H573,Auxiliar!$C$16:$C$23,0),1)</f>
        <v>1. Concluído</v>
      </c>
      <c r="H573" s="73">
        <f>VLOOKUP(A573,'Aux - pivots1'!$A:$B,2,0)</f>
        <v>1</v>
      </c>
      <c r="I573" s="93">
        <f>SUMIFS(Table1[Estimação (horas)],Table1[Tabela],Plano_V3!E573,Table1[Campo],Plano_V3!F573)</f>
        <v>0.1</v>
      </c>
      <c r="J573" s="93">
        <f t="shared" si="63"/>
        <v>1.2500000000000001E-2</v>
      </c>
      <c r="K573" s="93">
        <f>SUMIFS(Table1[Horas efetivas],Table1[Tabela],Plano_V3!E573,Table1[Campo],Plano_V3!F573)</f>
        <v>0.1</v>
      </c>
      <c r="L573" s="93">
        <f t="shared" si="64"/>
        <v>1.2500000000000001E-2</v>
      </c>
      <c r="M573" s="93">
        <f t="shared" si="65"/>
        <v>1</v>
      </c>
      <c r="N573" s="98" t="s">
        <v>387</v>
      </c>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87"/>
      <c r="AU573" s="87"/>
      <c r="AV573" s="87"/>
      <c r="AW573" s="100"/>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87"/>
      <c r="EJ573" s="87"/>
      <c r="EK573" s="87"/>
      <c r="EL573" s="100"/>
      <c r="EM573" s="100"/>
      <c r="EN573" s="100"/>
      <c r="EO573" s="100"/>
      <c r="EP573" s="100"/>
      <c r="EQ573" s="100"/>
    </row>
    <row r="574" spans="1:147" outlineLevel="1">
      <c r="A574" s="31" t="str">
        <f t="shared" si="62"/>
        <v>lt005_instr_ententty_id</v>
      </c>
      <c r="B574" s="76" t="s">
        <v>28</v>
      </c>
      <c r="C574" s="77" t="s">
        <v>28</v>
      </c>
      <c r="D574" s="73" t="s">
        <v>40</v>
      </c>
      <c r="E574" s="79" t="s">
        <v>427</v>
      </c>
      <c r="F574" s="80" t="s">
        <v>413</v>
      </c>
      <c r="G574" s="73" t="str">
        <f>INDEX(Auxiliar!$B$16:$B$23,MATCH(Plano_V3!H574,Auxiliar!$C$16:$C$23,0),1)</f>
        <v>1. Concluído</v>
      </c>
      <c r="H574" s="73">
        <f>VLOOKUP(A574,'Aux - pivots1'!$A:$B,2,0)</f>
        <v>1</v>
      </c>
      <c r="I574" s="93">
        <f>SUMIFS(Table1[Estimação (horas)],Table1[Tabela],Plano_V3!E574,Table1[Campo],Plano_V3!F574)</f>
        <v>0.1</v>
      </c>
      <c r="J574" s="93">
        <f t="shared" si="63"/>
        <v>1.2500000000000001E-2</v>
      </c>
      <c r="K574" s="93">
        <f>SUMIFS(Table1[Horas efetivas],Table1[Tabela],Plano_V3!E574,Table1[Campo],Plano_V3!F574)</f>
        <v>0.1</v>
      </c>
      <c r="L574" s="93">
        <f t="shared" si="64"/>
        <v>1.2500000000000001E-2</v>
      </c>
      <c r="M574" s="93">
        <f t="shared" si="65"/>
        <v>1</v>
      </c>
      <c r="N574" s="98" t="s">
        <v>387</v>
      </c>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87"/>
      <c r="AU574" s="87"/>
      <c r="AV574" s="87"/>
      <c r="AW574" s="100"/>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87"/>
      <c r="EJ574" s="87"/>
      <c r="EK574" s="87"/>
      <c r="EL574" s="100"/>
      <c r="EM574" s="100"/>
      <c r="EN574" s="100"/>
      <c r="EO574" s="100"/>
      <c r="EP574" s="100"/>
      <c r="EQ574" s="100"/>
    </row>
    <row r="575" spans="1:147" outlineLevel="1">
      <c r="A575" s="31" t="str">
        <f t="shared" si="62"/>
        <v>lt005_instr_entinstrmnt_id</v>
      </c>
      <c r="B575" s="76" t="s">
        <v>28</v>
      </c>
      <c r="C575" s="77" t="s">
        <v>28</v>
      </c>
      <c r="D575" s="73" t="s">
        <v>40</v>
      </c>
      <c r="E575" s="79" t="s">
        <v>427</v>
      </c>
      <c r="F575" s="80" t="s">
        <v>388</v>
      </c>
      <c r="G575" s="73" t="str">
        <f>INDEX(Auxiliar!$B$16:$B$23,MATCH(Plano_V3!H575,Auxiliar!$C$16:$C$23,0),1)</f>
        <v>1. Concluído</v>
      </c>
      <c r="H575" s="73">
        <f>VLOOKUP(A575,'Aux - pivots1'!$A:$B,2,0)</f>
        <v>1</v>
      </c>
      <c r="I575" s="93">
        <f>SUMIFS(Table1[Estimação (horas)],Table1[Tabela],Plano_V3!E575,Table1[Campo],Plano_V3!F575)</f>
        <v>0.1</v>
      </c>
      <c r="J575" s="93">
        <f t="shared" si="63"/>
        <v>1.2500000000000001E-2</v>
      </c>
      <c r="K575" s="93">
        <f>SUMIFS(Table1[Horas efetivas],Table1[Tabela],Plano_V3!E575,Table1[Campo],Plano_V3!F575)</f>
        <v>0.1</v>
      </c>
      <c r="L575" s="93">
        <f t="shared" si="64"/>
        <v>1.2500000000000001E-2</v>
      </c>
      <c r="M575" s="93">
        <f t="shared" si="65"/>
        <v>1</v>
      </c>
      <c r="N575" s="98" t="s">
        <v>387</v>
      </c>
      <c r="P575" s="87"/>
      <c r="Q575" s="87"/>
      <c r="R575" s="87"/>
      <c r="S575" s="87"/>
      <c r="T575" s="87"/>
      <c r="U575" s="87"/>
      <c r="V575" s="87"/>
      <c r="W575" s="87"/>
      <c r="X575" s="87"/>
      <c r="Y575" s="87"/>
      <c r="Z575" s="87"/>
      <c r="AA575" s="87"/>
      <c r="AB575" s="87"/>
      <c r="AC575" s="87"/>
      <c r="AD575" s="87"/>
      <c r="AE575" s="87"/>
      <c r="AF575" s="87"/>
      <c r="AG575" s="87"/>
      <c r="AH575" s="87"/>
      <c r="AI575" s="87"/>
      <c r="AJ575" s="87"/>
      <c r="AK575" s="87"/>
      <c r="AL575" s="87"/>
      <c r="AM575" s="87"/>
      <c r="AN575" s="87"/>
      <c r="AO575" s="87"/>
      <c r="AP575" s="87"/>
      <c r="AQ575" s="87"/>
      <c r="AR575" s="87"/>
      <c r="AS575" s="87"/>
      <c r="AT575" s="87"/>
      <c r="AU575" s="87"/>
      <c r="AV575" s="87"/>
      <c r="AW575" s="100"/>
      <c r="AX575" s="87"/>
      <c r="AY575" s="87"/>
      <c r="AZ575" s="87"/>
      <c r="BA575" s="87"/>
      <c r="BB575" s="87"/>
      <c r="BC575" s="87"/>
      <c r="BD575" s="87"/>
      <c r="BE575" s="87"/>
      <c r="BF575" s="87"/>
      <c r="BG575" s="87"/>
      <c r="BH575" s="87"/>
      <c r="BI575" s="87"/>
      <c r="BJ575" s="87"/>
      <c r="BK575" s="87"/>
      <c r="BL575" s="87"/>
      <c r="BM575" s="87"/>
      <c r="BN575" s="87"/>
      <c r="BO575" s="87"/>
      <c r="BP575" s="87"/>
      <c r="BQ575" s="87"/>
      <c r="BR575" s="87"/>
      <c r="BS575" s="87"/>
      <c r="BT575" s="87"/>
      <c r="BU575" s="87"/>
      <c r="BV575" s="87"/>
      <c r="BW575" s="87"/>
      <c r="BX575" s="87"/>
      <c r="BY575" s="87"/>
      <c r="BZ575" s="87"/>
      <c r="CA575" s="87"/>
      <c r="CB575" s="87"/>
      <c r="CC575" s="87"/>
      <c r="CD575" s="87"/>
      <c r="CE575" s="87"/>
      <c r="CF575" s="87"/>
      <c r="CG575" s="87"/>
      <c r="CH575" s="87"/>
      <c r="CI575" s="87"/>
      <c r="CJ575" s="87"/>
      <c r="CK575" s="87"/>
      <c r="CL575" s="87"/>
      <c r="CM575" s="87"/>
      <c r="CN575" s="87"/>
      <c r="CO575" s="87"/>
      <c r="CP575" s="87"/>
      <c r="CQ575" s="87"/>
      <c r="CR575" s="87"/>
      <c r="CS575" s="87"/>
      <c r="CT575" s="87"/>
      <c r="CU575" s="87"/>
      <c r="CV575" s="87"/>
      <c r="CW575" s="87"/>
      <c r="CX575" s="87"/>
      <c r="CY575" s="87"/>
      <c r="CZ575" s="87"/>
      <c r="DA575" s="87"/>
      <c r="DB575" s="87"/>
      <c r="DC575" s="87"/>
      <c r="DD575" s="87"/>
      <c r="DE575" s="87"/>
      <c r="DF575" s="87"/>
      <c r="DG575" s="87"/>
      <c r="DH575" s="87"/>
      <c r="DI575" s="87"/>
      <c r="DJ575" s="87"/>
      <c r="DK575" s="87"/>
      <c r="DL575" s="87"/>
      <c r="DM575" s="87"/>
      <c r="DN575" s="87"/>
      <c r="DO575" s="87"/>
      <c r="DP575" s="87"/>
      <c r="DQ575" s="87"/>
      <c r="DR575" s="87"/>
      <c r="DS575" s="87"/>
      <c r="DT575" s="87"/>
      <c r="DU575" s="87"/>
      <c r="DV575" s="87"/>
      <c r="DW575" s="87"/>
      <c r="DX575" s="87"/>
      <c r="DY575" s="87"/>
      <c r="DZ575" s="87"/>
      <c r="EA575" s="87"/>
      <c r="EB575" s="87"/>
      <c r="EC575" s="87"/>
      <c r="ED575" s="87"/>
      <c r="EE575" s="87"/>
      <c r="EF575" s="87"/>
      <c r="EG575" s="87"/>
      <c r="EH575" s="87"/>
      <c r="EI575" s="87"/>
      <c r="EJ575" s="87"/>
      <c r="EK575" s="87"/>
      <c r="EL575" s="100"/>
      <c r="EM575" s="100"/>
      <c r="EN575" s="100"/>
      <c r="EO575" s="100"/>
      <c r="EP575" s="100"/>
      <c r="EQ575" s="100"/>
    </row>
    <row r="576" spans="1:147" outlineLevel="1">
      <c r="A576" s="31" t="str">
        <f t="shared" si="62"/>
        <v>lt005_instr_entcod_soc</v>
      </c>
      <c r="B576" s="76" t="s">
        <v>28</v>
      </c>
      <c r="C576" s="77" t="s">
        <v>28</v>
      </c>
      <c r="D576" s="73" t="s">
        <v>40</v>
      </c>
      <c r="E576" s="79" t="s">
        <v>427</v>
      </c>
      <c r="F576" s="80" t="s">
        <v>404</v>
      </c>
      <c r="G576" s="73" t="str">
        <f>INDEX(Auxiliar!$B$16:$B$23,MATCH(Plano_V3!H576,Auxiliar!$C$16:$C$23,0),1)</f>
        <v>1. Concluído</v>
      </c>
      <c r="H576" s="73">
        <f>VLOOKUP(A576,'Aux - pivots1'!$A:$B,2,0)</f>
        <v>1</v>
      </c>
      <c r="I576" s="93">
        <f>SUMIFS(Table1[Estimação (horas)],Table1[Tabela],Plano_V3!E576,Table1[Campo],Plano_V3!F576)</f>
        <v>0.1</v>
      </c>
      <c r="J576" s="93">
        <f t="shared" si="63"/>
        <v>1.2500000000000001E-2</v>
      </c>
      <c r="K576" s="93">
        <f>SUMIFS(Table1[Horas efetivas],Table1[Tabela],Plano_V3!E576,Table1[Campo],Plano_V3!F576)</f>
        <v>0.1</v>
      </c>
      <c r="L576" s="93">
        <f t="shared" si="64"/>
        <v>1.2500000000000001E-2</v>
      </c>
      <c r="M576" s="93">
        <f t="shared" si="65"/>
        <v>1</v>
      </c>
      <c r="N576" s="98" t="s">
        <v>387</v>
      </c>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87"/>
      <c r="AU576" s="87"/>
      <c r="AV576" s="87"/>
      <c r="AW576" s="100"/>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87"/>
      <c r="EJ576" s="87"/>
      <c r="EK576" s="87"/>
      <c r="EL576" s="100"/>
      <c r="EM576" s="100"/>
      <c r="EN576" s="100"/>
      <c r="EO576" s="100"/>
      <c r="EP576" s="100"/>
      <c r="EQ576" s="100"/>
    </row>
    <row r="577" spans="1:147" outlineLevel="1">
      <c r="A577" s="31" t="str">
        <f t="shared" si="62"/>
        <v>lt005_instr_entmn_entty_id</v>
      </c>
      <c r="B577" s="76" t="s">
        <v>28</v>
      </c>
      <c r="C577" s="77" t="s">
        <v>28</v>
      </c>
      <c r="D577" s="73" t="s">
        <v>40</v>
      </c>
      <c r="E577" s="79" t="s">
        <v>427</v>
      </c>
      <c r="F577" s="80" t="s">
        <v>428</v>
      </c>
      <c r="G577" s="73" t="str">
        <f>INDEX(Auxiliar!$B$16:$B$23,MATCH(Plano_V3!H577,Auxiliar!$C$16:$C$23,0),1)</f>
        <v>1. Concluído</v>
      </c>
      <c r="H577" s="73">
        <f>VLOOKUP(A577,'Aux - pivots1'!$A:$B,2,0)</f>
        <v>1</v>
      </c>
      <c r="I577" s="93">
        <f>SUMIFS(Table1[Estimação (horas)],Table1[Tabela],Plano_V3!E577,Table1[Campo],Plano_V3!F577)</f>
        <v>0.1</v>
      </c>
      <c r="J577" s="93">
        <f t="shared" si="63"/>
        <v>1.2500000000000001E-2</v>
      </c>
      <c r="K577" s="93">
        <f>SUMIFS(Table1[Horas efetivas],Table1[Tabela],Plano_V3!E577,Table1[Campo],Plano_V3!F577)</f>
        <v>0.1</v>
      </c>
      <c r="L577" s="93">
        <f t="shared" si="64"/>
        <v>1.2500000000000001E-2</v>
      </c>
      <c r="M577" s="93">
        <f t="shared" si="65"/>
        <v>1</v>
      </c>
      <c r="N577" s="98" t="s">
        <v>387</v>
      </c>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87"/>
      <c r="AU577" s="87"/>
      <c r="AV577" s="87"/>
      <c r="AW577" s="100"/>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87"/>
      <c r="EJ577" s="87"/>
      <c r="EK577" s="87"/>
      <c r="EL577" s="100"/>
      <c r="EM577" s="100"/>
      <c r="EN577" s="100"/>
      <c r="EO577" s="100"/>
      <c r="EP577" s="100"/>
      <c r="EQ577" s="100"/>
    </row>
    <row r="578" spans="1:147" outlineLevel="1">
      <c r="A578" s="31" t="str">
        <f t="shared" si="62"/>
        <v>lt006_instr_protdt_rfrnc</v>
      </c>
      <c r="B578" s="76" t="s">
        <v>28</v>
      </c>
      <c r="C578" s="77" t="s">
        <v>28</v>
      </c>
      <c r="D578" s="73" t="s">
        <v>40</v>
      </c>
      <c r="E578" s="79" t="s">
        <v>429</v>
      </c>
      <c r="F578" s="80" t="s">
        <v>386</v>
      </c>
      <c r="G578" s="73" t="str">
        <f>INDEX(Auxiliar!$B$16:$B$23,MATCH(Plano_V3!H578,Auxiliar!$C$16:$C$23,0),1)</f>
        <v>1. Concluído</v>
      </c>
      <c r="H578" s="73">
        <f>VLOOKUP(A578,'Aux - pivots1'!$A:$B,2,0)</f>
        <v>1</v>
      </c>
      <c r="I578" s="93">
        <f>SUMIFS(Table1[Estimação (horas)],Table1[Tabela],Plano_V3!E578,Table1[Campo],Plano_V3!F578)</f>
        <v>0.1</v>
      </c>
      <c r="J578" s="93">
        <f t="shared" si="63"/>
        <v>1.2500000000000001E-2</v>
      </c>
      <c r="K578" s="93">
        <f>SUMIFS(Table1[Horas efetivas],Table1[Tabela],Plano_V3!E578,Table1[Campo],Plano_V3!F578)</f>
        <v>0.1</v>
      </c>
      <c r="L578" s="93">
        <f t="shared" si="64"/>
        <v>1.2500000000000001E-2</v>
      </c>
      <c r="M578" s="93">
        <f t="shared" si="65"/>
        <v>1</v>
      </c>
      <c r="N578" s="98" t="s">
        <v>387</v>
      </c>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87"/>
      <c r="AU578" s="87"/>
      <c r="AV578" s="87"/>
      <c r="AW578" s="100"/>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87"/>
      <c r="EJ578" s="87"/>
      <c r="EK578" s="87"/>
      <c r="EL578" s="100"/>
      <c r="EM578" s="100"/>
      <c r="EN578" s="100"/>
      <c r="EO578" s="100"/>
      <c r="EP578" s="100"/>
      <c r="EQ578" s="100"/>
    </row>
    <row r="579" spans="1:147" outlineLevel="1">
      <c r="A579" s="31" t="str">
        <f t="shared" si="62"/>
        <v>lt006_instr_protinstrmnt_id</v>
      </c>
      <c r="B579" s="76" t="s">
        <v>28</v>
      </c>
      <c r="C579" s="77" t="s">
        <v>28</v>
      </c>
      <c r="D579" s="73" t="s">
        <v>40</v>
      </c>
      <c r="E579" s="79" t="s">
        <v>429</v>
      </c>
      <c r="F579" s="80" t="s">
        <v>388</v>
      </c>
      <c r="G579" s="73" t="str">
        <f>INDEX(Auxiliar!$B$16:$B$23,MATCH(Plano_V3!H579,Auxiliar!$C$16:$C$23,0),1)</f>
        <v>1. Concluído</v>
      </c>
      <c r="H579" s="73">
        <f>VLOOKUP(A579,'Aux - pivots1'!$A:$B,2,0)</f>
        <v>1</v>
      </c>
      <c r="I579" s="93">
        <f>SUMIFS(Table1[Estimação (horas)],Table1[Tabela],Plano_V3!E579,Table1[Campo],Plano_V3!F579)</f>
        <v>0.1</v>
      </c>
      <c r="J579" s="93">
        <f t="shared" si="63"/>
        <v>1.2500000000000001E-2</v>
      </c>
      <c r="K579" s="93">
        <f>SUMIFS(Table1[Horas efetivas],Table1[Tabela],Plano_V3!E579,Table1[Campo],Plano_V3!F579)</f>
        <v>0.1</v>
      </c>
      <c r="L579" s="93">
        <f t="shared" si="64"/>
        <v>1.2500000000000001E-2</v>
      </c>
      <c r="M579" s="93">
        <f t="shared" si="65"/>
        <v>1</v>
      </c>
      <c r="N579" s="98" t="s">
        <v>387</v>
      </c>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87"/>
      <c r="AU579" s="87"/>
      <c r="AV579" s="87"/>
      <c r="AW579" s="100"/>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87"/>
      <c r="EJ579" s="87"/>
      <c r="EK579" s="87"/>
      <c r="EL579" s="100"/>
      <c r="EM579" s="100"/>
      <c r="EN579" s="100"/>
      <c r="EO579" s="100"/>
      <c r="EP579" s="100"/>
      <c r="EQ579" s="100"/>
    </row>
    <row r="580" spans="1:147" outlineLevel="1">
      <c r="A580" s="31" t="str">
        <f t="shared" si="62"/>
        <v>lt006_instr_protprtctn_id</v>
      </c>
      <c r="B580" s="76" t="s">
        <v>28</v>
      </c>
      <c r="C580" s="77" t="s">
        <v>28</v>
      </c>
      <c r="D580" s="73" t="s">
        <v>40</v>
      </c>
      <c r="E580" s="79" t="s">
        <v>429</v>
      </c>
      <c r="F580" s="80" t="s">
        <v>421</v>
      </c>
      <c r="G580" s="73" t="str">
        <f>INDEX(Auxiliar!$B$16:$B$23,MATCH(Plano_V3!H580,Auxiliar!$C$16:$C$23,0),1)</f>
        <v>1. Concluído</v>
      </c>
      <c r="H580" s="73">
        <f>VLOOKUP(A580,'Aux - pivots1'!$A:$B,2,0)</f>
        <v>1</v>
      </c>
      <c r="I580" s="93">
        <f>SUMIFS(Table1[Estimação (horas)],Table1[Tabela],Plano_V3!E580,Table1[Campo],Plano_V3!F580)</f>
        <v>0.1</v>
      </c>
      <c r="J580" s="93">
        <f t="shared" si="63"/>
        <v>1.2500000000000001E-2</v>
      </c>
      <c r="K580" s="93">
        <f>SUMIFS(Table1[Horas efetivas],Table1[Tabela],Plano_V3!E580,Table1[Campo],Plano_V3!F580)</f>
        <v>0.1</v>
      </c>
      <c r="L580" s="93">
        <f t="shared" si="64"/>
        <v>1.2500000000000001E-2</v>
      </c>
      <c r="M580" s="93">
        <f t="shared" si="65"/>
        <v>1</v>
      </c>
      <c r="N580" s="98" t="s">
        <v>387</v>
      </c>
      <c r="P580" s="87"/>
      <c r="Q580" s="87"/>
      <c r="R580" s="87"/>
      <c r="S580" s="87"/>
      <c r="T580" s="87"/>
      <c r="U580" s="87"/>
      <c r="V580" s="87"/>
      <c r="W580" s="87"/>
      <c r="X580" s="87"/>
      <c r="Y580" s="87"/>
      <c r="Z580" s="87"/>
      <c r="AA580" s="87"/>
      <c r="AB580" s="87"/>
      <c r="AC580" s="87"/>
      <c r="AD580" s="87"/>
      <c r="AE580" s="87"/>
      <c r="AF580" s="87"/>
      <c r="AG580" s="87"/>
      <c r="AH580" s="87"/>
      <c r="AI580" s="87"/>
      <c r="AJ580" s="87"/>
      <c r="AK580" s="87"/>
      <c r="AL580" s="87"/>
      <c r="AM580" s="87"/>
      <c r="AN580" s="87"/>
      <c r="AO580" s="87"/>
      <c r="AP580" s="87"/>
      <c r="AQ580" s="87"/>
      <c r="AR580" s="87"/>
      <c r="AS580" s="87"/>
      <c r="AT580" s="87"/>
      <c r="AU580" s="87"/>
      <c r="AV580" s="87"/>
      <c r="AW580" s="100"/>
      <c r="AX580" s="87"/>
      <c r="AY580" s="87"/>
      <c r="AZ580" s="87"/>
      <c r="BA580" s="87"/>
      <c r="BB580" s="87"/>
      <c r="BC580" s="87"/>
      <c r="BD580" s="87"/>
      <c r="BE580" s="87"/>
      <c r="BF580" s="87"/>
      <c r="BG580" s="87"/>
      <c r="BH580" s="87"/>
      <c r="BI580" s="87"/>
      <c r="BJ580" s="87"/>
      <c r="BK580" s="87"/>
      <c r="BL580" s="87"/>
      <c r="BM580" s="87"/>
      <c r="BN580" s="87"/>
      <c r="BO580" s="87"/>
      <c r="BP580" s="87"/>
      <c r="BQ580" s="87"/>
      <c r="BR580" s="87"/>
      <c r="BS580" s="87"/>
      <c r="BT580" s="87"/>
      <c r="BU580" s="87"/>
      <c r="BV580" s="87"/>
      <c r="BW580" s="87"/>
      <c r="BX580" s="87"/>
      <c r="BY580" s="87"/>
      <c r="BZ580" s="87"/>
      <c r="CA580" s="87"/>
      <c r="CB580" s="87"/>
      <c r="CC580" s="87"/>
      <c r="CD580" s="87"/>
      <c r="CE580" s="87"/>
      <c r="CF580" s="87"/>
      <c r="CG580" s="87"/>
      <c r="CH580" s="87"/>
      <c r="CI580" s="87"/>
      <c r="CJ580" s="87"/>
      <c r="CK580" s="87"/>
      <c r="CL580" s="87"/>
      <c r="CM580" s="87"/>
      <c r="CN580" s="87"/>
      <c r="CO580" s="87"/>
      <c r="CP580" s="87"/>
      <c r="CQ580" s="87"/>
      <c r="CR580" s="87"/>
      <c r="CS580" s="87"/>
      <c r="CT580" s="87"/>
      <c r="CU580" s="87"/>
      <c r="CV580" s="87"/>
      <c r="CW580" s="87"/>
      <c r="CX580" s="87"/>
      <c r="CY580" s="87"/>
      <c r="CZ580" s="87"/>
      <c r="DA580" s="87"/>
      <c r="DB580" s="87"/>
      <c r="DC580" s="87"/>
      <c r="DD580" s="87"/>
      <c r="DE580" s="87"/>
      <c r="DF580" s="87"/>
      <c r="DG580" s="87"/>
      <c r="DH580" s="87"/>
      <c r="DI580" s="87"/>
      <c r="DJ580" s="87"/>
      <c r="DK580" s="87"/>
      <c r="DL580" s="87"/>
      <c r="DM580" s="87"/>
      <c r="DN580" s="87"/>
      <c r="DO580" s="87"/>
      <c r="DP580" s="87"/>
      <c r="DQ580" s="87"/>
      <c r="DR580" s="87"/>
      <c r="DS580" s="87"/>
      <c r="DT580" s="87"/>
      <c r="DU580" s="87"/>
      <c r="DV580" s="87"/>
      <c r="DW580" s="87"/>
      <c r="DX580" s="87"/>
      <c r="DY580" s="87"/>
      <c r="DZ580" s="87"/>
      <c r="EA580" s="87"/>
      <c r="EB580" s="87"/>
      <c r="EC580" s="87"/>
      <c r="ED580" s="87"/>
      <c r="EE580" s="87"/>
      <c r="EF580" s="87"/>
      <c r="EG580" s="87"/>
      <c r="EH580" s="87"/>
      <c r="EI580" s="87"/>
      <c r="EJ580" s="87"/>
      <c r="EK580" s="87"/>
      <c r="EL580" s="100"/>
      <c r="EM580" s="100"/>
      <c r="EN580" s="100"/>
      <c r="EO580" s="100"/>
      <c r="EP580" s="100"/>
      <c r="EQ580" s="100"/>
    </row>
    <row r="581" spans="1:147" outlineLevel="1">
      <c r="A581" s="31" t="str">
        <f t="shared" si="62"/>
        <v>lt006_instr_protprtctn_allctd_vl</v>
      </c>
      <c r="B581" s="76" t="s">
        <v>28</v>
      </c>
      <c r="C581" s="77" t="s">
        <v>28</v>
      </c>
      <c r="D581" s="73" t="s">
        <v>40</v>
      </c>
      <c r="E581" s="79" t="s">
        <v>429</v>
      </c>
      <c r="F581" s="80" t="s">
        <v>430</v>
      </c>
      <c r="G581" s="73" t="str">
        <f>INDEX(Auxiliar!$B$16:$B$23,MATCH(Plano_V3!H581,Auxiliar!$C$16:$C$23,0),1)</f>
        <v>1. Concluído</v>
      </c>
      <c r="H581" s="73">
        <f>VLOOKUP(A581,'Aux - pivots1'!$A:$B,2,0)</f>
        <v>1</v>
      </c>
      <c r="I581" s="93">
        <f>SUMIFS(Table1[Estimação (horas)],Table1[Tabela],Plano_V3!E581,Table1[Campo],Plano_V3!F581)</f>
        <v>0.1</v>
      </c>
      <c r="J581" s="93">
        <f t="shared" si="63"/>
        <v>1.2500000000000001E-2</v>
      </c>
      <c r="K581" s="93">
        <f>SUMIFS(Table1[Horas efetivas],Table1[Tabela],Plano_V3!E581,Table1[Campo],Plano_V3!F581)</f>
        <v>0.1</v>
      </c>
      <c r="L581" s="93">
        <f t="shared" si="64"/>
        <v>1.2500000000000001E-2</v>
      </c>
      <c r="M581" s="93">
        <f t="shared" si="65"/>
        <v>1</v>
      </c>
      <c r="N581" s="98" t="s">
        <v>387</v>
      </c>
      <c r="P581" s="87"/>
      <c r="Q581" s="87"/>
      <c r="R581" s="87"/>
      <c r="S581" s="87"/>
      <c r="T581" s="87"/>
      <c r="U581" s="87"/>
      <c r="V581" s="87"/>
      <c r="W581" s="87"/>
      <c r="X581" s="87"/>
      <c r="Y581" s="87"/>
      <c r="Z581" s="87"/>
      <c r="AA581" s="87"/>
      <c r="AB581" s="87"/>
      <c r="AC581" s="87"/>
      <c r="AD581" s="87"/>
      <c r="AE581" s="87"/>
      <c r="AF581" s="87"/>
      <c r="AG581" s="87"/>
      <c r="AH581" s="87"/>
      <c r="AI581" s="87"/>
      <c r="AJ581" s="87"/>
      <c r="AK581" s="87"/>
      <c r="AL581" s="87"/>
      <c r="AM581" s="87"/>
      <c r="AN581" s="87"/>
      <c r="AO581" s="87"/>
      <c r="AP581" s="87"/>
      <c r="AQ581" s="87"/>
      <c r="AR581" s="87"/>
      <c r="AS581" s="87"/>
      <c r="AT581" s="87"/>
      <c r="AU581" s="87"/>
      <c r="AV581" s="87"/>
      <c r="AW581" s="100"/>
      <c r="AX581" s="87"/>
      <c r="AY581" s="87"/>
      <c r="AZ581" s="87"/>
      <c r="BA581" s="87"/>
      <c r="BB581" s="87"/>
      <c r="BC581" s="87"/>
      <c r="BD581" s="87"/>
      <c r="BE581" s="87"/>
      <c r="BF581" s="87"/>
      <c r="BG581" s="87"/>
      <c r="BH581" s="87"/>
      <c r="BI581" s="87"/>
      <c r="BJ581" s="87"/>
      <c r="BK581" s="87"/>
      <c r="BL581" s="87"/>
      <c r="BM581" s="87"/>
      <c r="BN581" s="87"/>
      <c r="BO581" s="87"/>
      <c r="BP581" s="87"/>
      <c r="BQ581" s="87"/>
      <c r="BR581" s="87"/>
      <c r="BS581" s="87"/>
      <c r="BT581" s="87"/>
      <c r="BU581" s="87"/>
      <c r="BV581" s="87"/>
      <c r="BW581" s="87"/>
      <c r="BX581" s="87"/>
      <c r="BY581" s="87"/>
      <c r="BZ581" s="87"/>
      <c r="CA581" s="87"/>
      <c r="CB581" s="87"/>
      <c r="CC581" s="87"/>
      <c r="CD581" s="87"/>
      <c r="CE581" s="87"/>
      <c r="CF581" s="87"/>
      <c r="CG581" s="87"/>
      <c r="CH581" s="87"/>
      <c r="CI581" s="87"/>
      <c r="CJ581" s="87"/>
      <c r="CK581" s="87"/>
      <c r="CL581" s="87"/>
      <c r="CM581" s="87"/>
      <c r="CN581" s="87"/>
      <c r="CO581" s="87"/>
      <c r="CP581" s="87"/>
      <c r="CQ581" s="87"/>
      <c r="CR581" s="87"/>
      <c r="CS581" s="87"/>
      <c r="CT581" s="87"/>
      <c r="CU581" s="87"/>
      <c r="CV581" s="87"/>
      <c r="CW581" s="87"/>
      <c r="CX581" s="87"/>
      <c r="CY581" s="87"/>
      <c r="CZ581" s="87"/>
      <c r="DA581" s="87"/>
      <c r="DB581" s="87"/>
      <c r="DC581" s="87"/>
      <c r="DD581" s="87"/>
      <c r="DE581" s="87"/>
      <c r="DF581" s="87"/>
      <c r="DG581" s="87"/>
      <c r="DH581" s="87"/>
      <c r="DI581" s="87"/>
      <c r="DJ581" s="87"/>
      <c r="DK581" s="87"/>
      <c r="DL581" s="87"/>
      <c r="DM581" s="87"/>
      <c r="DN581" s="87"/>
      <c r="DO581" s="87"/>
      <c r="DP581" s="87"/>
      <c r="DQ581" s="87"/>
      <c r="DR581" s="87"/>
      <c r="DS581" s="87"/>
      <c r="DT581" s="87"/>
      <c r="DU581" s="87"/>
      <c r="DV581" s="87"/>
      <c r="DW581" s="87"/>
      <c r="DX581" s="87"/>
      <c r="DY581" s="87"/>
      <c r="DZ581" s="87"/>
      <c r="EA581" s="87"/>
      <c r="EB581" s="87"/>
      <c r="EC581" s="87"/>
      <c r="ED581" s="87"/>
      <c r="EE581" s="87"/>
      <c r="EF581" s="87"/>
      <c r="EG581" s="87"/>
      <c r="EH581" s="87"/>
      <c r="EI581" s="87"/>
      <c r="EJ581" s="87"/>
      <c r="EK581" s="87"/>
      <c r="EL581" s="100"/>
      <c r="EM581" s="100"/>
      <c r="EN581" s="100"/>
      <c r="EO581" s="100"/>
      <c r="EP581" s="100"/>
      <c r="EQ581" s="100"/>
    </row>
    <row r="582" spans="1:147" outlineLevel="1">
      <c r="A582" s="31" t="str">
        <f t="shared" si="62"/>
        <v>lt006_instr_protcod_soc</v>
      </c>
      <c r="B582" s="76" t="s">
        <v>28</v>
      </c>
      <c r="C582" s="77" t="s">
        <v>28</v>
      </c>
      <c r="D582" s="73" t="s">
        <v>40</v>
      </c>
      <c r="E582" s="79" t="s">
        <v>429</v>
      </c>
      <c r="F582" s="80" t="s">
        <v>404</v>
      </c>
      <c r="G582" s="73" t="str">
        <f>INDEX(Auxiliar!$B$16:$B$23,MATCH(Plano_V3!H582,Auxiliar!$C$16:$C$23,0),1)</f>
        <v>1. Concluído</v>
      </c>
      <c r="H582" s="73">
        <f>VLOOKUP(A582,'Aux - pivots1'!$A:$B,2,0)</f>
        <v>1</v>
      </c>
      <c r="I582" s="93">
        <f>SUMIFS(Table1[Estimação (horas)],Table1[Tabela],Plano_V3!E582,Table1[Campo],Plano_V3!F582)</f>
        <v>0.1</v>
      </c>
      <c r="J582" s="93">
        <f t="shared" si="63"/>
        <v>1.2500000000000001E-2</v>
      </c>
      <c r="K582" s="93">
        <f>SUMIFS(Table1[Horas efetivas],Table1[Tabela],Plano_V3!E582,Table1[Campo],Plano_V3!F582)</f>
        <v>0.1</v>
      </c>
      <c r="L582" s="93">
        <f t="shared" si="64"/>
        <v>1.2500000000000001E-2</v>
      </c>
      <c r="M582" s="93">
        <f t="shared" si="65"/>
        <v>1</v>
      </c>
      <c r="N582" s="98" t="s">
        <v>387</v>
      </c>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87"/>
      <c r="AU582" s="87"/>
      <c r="AV582" s="87"/>
      <c r="AW582" s="100"/>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87"/>
      <c r="EJ582" s="87"/>
      <c r="EK582" s="87"/>
      <c r="EL582" s="100"/>
      <c r="EM582" s="100"/>
      <c r="EN582" s="100"/>
      <c r="EO582" s="100"/>
      <c r="EP582" s="100"/>
      <c r="EQ582" s="100"/>
    </row>
    <row r="583" spans="1:147" outlineLevel="1">
      <c r="A583" s="31" t="str">
        <f t="shared" si="62"/>
        <v>Re-testesn.a.</v>
      </c>
      <c r="B583" s="76" t="s">
        <v>28</v>
      </c>
      <c r="C583" s="77" t="s">
        <v>28</v>
      </c>
      <c r="D583" s="73" t="s">
        <v>40</v>
      </c>
      <c r="E583" s="75" t="s">
        <v>53</v>
      </c>
      <c r="F583" s="73" t="s">
        <v>38</v>
      </c>
      <c r="G583" s="73" t="s">
        <v>30</v>
      </c>
      <c r="H583" s="73"/>
      <c r="I583" s="93">
        <f>SUM(I457:I582)*$D$7</f>
        <v>37.575000000000152</v>
      </c>
      <c r="J583" s="93">
        <f>I583/8</f>
        <v>4.696875000000019</v>
      </c>
      <c r="K583" s="93">
        <f>SUM(K457:K582)*$D$7</f>
        <v>1.1781249999999985</v>
      </c>
      <c r="L583" s="93">
        <f>K583/8</f>
        <v>0.14726562499999982</v>
      </c>
      <c r="M583" s="93">
        <f t="shared" si="65"/>
        <v>3.1353958749168166E-2</v>
      </c>
      <c r="N583" s="96"/>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87"/>
      <c r="AU583" s="87"/>
      <c r="AV583" s="87"/>
      <c r="AW583" s="100"/>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87"/>
      <c r="EJ583" s="87"/>
      <c r="EK583" s="87"/>
      <c r="EL583" s="100"/>
      <c r="EM583" s="100"/>
      <c r="EN583" s="100"/>
      <c r="EO583" s="100"/>
      <c r="EP583" s="100"/>
      <c r="EQ583" s="100"/>
    </row>
    <row r="584" spans="1:147">
      <c r="D584" s="13"/>
      <c r="AW584" t="s">
        <v>431</v>
      </c>
    </row>
  </sheetData>
  <autoFilter ref="B13:N583"/>
  <conditionalFormatting sqref="O15:O18">
    <cfRule type="cellIs" dxfId="127" priority="19" operator="notEqual">
      <formula>0</formula>
    </cfRule>
  </conditionalFormatting>
  <conditionalFormatting sqref="O21:O23">
    <cfRule type="cellIs" dxfId="126" priority="11" operator="notEqual">
      <formula>0</formula>
    </cfRule>
  </conditionalFormatting>
  <conditionalFormatting sqref="O26:O456">
    <cfRule type="cellIs" dxfId="125" priority="1" operator="notEqual">
      <formula>0</formula>
    </cfRule>
  </conditionalFormatting>
  <conditionalFormatting sqref="P5:P6 Q6:EQ6">
    <cfRule type="cellIs" dxfId="124" priority="20" operator="notEqual">
      <formula>0</formula>
    </cfRule>
  </conditionalFormatting>
  <conditionalFormatting sqref="P15:EQ18 P21:EQ23 P26:EQ26">
    <cfRule type="cellIs" dxfId="123" priority="18" operator="greaterThan">
      <formula>0</formula>
    </cfRule>
  </conditionalFormatting>
  <conditionalFormatting sqref="P41:EQ41">
    <cfRule type="cellIs" dxfId="122" priority="16" operator="greaterThan">
      <formula>0</formula>
    </cfRule>
  </conditionalFormatting>
  <conditionalFormatting sqref="P204:EQ204">
    <cfRule type="cellIs" dxfId="121" priority="15" operator="greaterThan">
      <formula>0</formula>
    </cfRule>
  </conditionalFormatting>
  <conditionalFormatting sqref="P371:EQ371">
    <cfRule type="cellIs" dxfId="120" priority="14" operator="greaterThan">
      <formula>0</formula>
    </cfRule>
  </conditionalFormatting>
  <conditionalFormatting sqref="P456:EQ456">
    <cfRule type="cellIs" dxfId="119" priority="13"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2"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3" operator="containsText" id="{A1852F95-7847-46ED-AD72-F0E315B6A6F9}">
            <xm:f>NOT(ISERROR(SEARCH(Auxiliar!$B$20,G14)))</xm:f>
            <xm:f>Auxiliar!$B$20</xm:f>
            <x14:dxf>
              <font>
                <b/>
                <i val="0"/>
                <color rgb="FFFFC000"/>
              </font>
              <fill>
                <patternFill>
                  <bgColor theme="9" tint="0.59996337778862885"/>
                </patternFill>
              </fill>
            </x14:dxf>
          </x14:cfRule>
          <x14:cfRule type="containsText" priority="4" operator="containsText" id="{68021FC5-77F1-482D-8522-B1CD04CF63CC}">
            <xm:f>NOT(ISERROR(SEARCH(Auxiliar!$B$23,G14)))</xm:f>
            <xm:f>Auxiliar!$B$23</xm:f>
            <x14:dxf>
              <font>
                <b/>
                <i val="0"/>
              </font>
              <fill>
                <patternFill patternType="darkDown">
                  <bgColor theme="0" tint="-4.9989318521683403E-2"/>
                </patternFill>
              </fill>
            </x14:dxf>
          </x14:cfRule>
          <x14:cfRule type="containsText" priority="5" operator="containsText" id="{B08A2841-F5C1-4826-8CBB-DC6718BD9326}">
            <xm:f>NOT(ISERROR(SEARCH(Auxiliar!$B$21,G14)))</xm:f>
            <xm:f>Auxiliar!$B$21</xm:f>
            <x14:dxf>
              <font>
                <b/>
                <i val="0"/>
                <color rgb="FFC00000"/>
              </font>
              <fill>
                <patternFill>
                  <bgColor theme="4" tint="0.79998168889431442"/>
                </patternFill>
              </fill>
            </x14:dxf>
          </x14:cfRule>
          <x14:cfRule type="containsText" priority="6"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7"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8" operator="equal" id="{8C446CE6-FA47-47D4-91C4-8442D26ADA9E}">
            <xm:f>Auxiliar!$B$16</xm:f>
            <x14:dxf>
              <font>
                <b/>
                <i val="0"/>
                <color theme="7"/>
              </font>
              <fill>
                <patternFill>
                  <bgColor theme="7" tint="0.79998168889431442"/>
                </patternFill>
              </fill>
            </x14:dxf>
          </x14:cfRule>
          <xm:sqref>G14:G583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G15:G18 G583 G21:G23 G455 G370 G203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c r="AF1" s="136"/>
    </row>
    <row r="2" spans="1:168" s="27" customFormat="1"/>
    <row r="3" spans="1:168" s="27" customFormat="1"/>
    <row r="4" spans="1:168" s="27" customFormat="1"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c r="BO4" s="133"/>
      <c r="BP4" s="133"/>
      <c r="BQ4" s="133"/>
      <c r="BR4" s="133"/>
      <c r="BS4" s="133"/>
      <c r="BT4" s="133"/>
      <c r="BU4" s="133"/>
      <c r="BV4" s="133"/>
      <c r="BW4" s="133"/>
      <c r="BX4" s="133"/>
      <c r="BY4" s="133"/>
      <c r="BZ4" s="133"/>
      <c r="CA4" s="133"/>
      <c r="CB4" s="133"/>
      <c r="CC4" s="133"/>
      <c r="CD4" s="133"/>
      <c r="CE4" s="133"/>
      <c r="CF4" s="133"/>
      <c r="CG4" s="133"/>
      <c r="CH4" s="133"/>
      <c r="CI4" s="133"/>
      <c r="CJ4" s="133"/>
      <c r="CK4" s="133"/>
      <c r="CL4" s="133"/>
      <c r="CM4" s="133"/>
      <c r="CN4" s="133"/>
      <c r="CO4" s="133"/>
      <c r="CP4" s="133"/>
      <c r="CQ4" s="133"/>
      <c r="CR4" s="133"/>
      <c r="CS4" s="133"/>
      <c r="CT4" s="133"/>
      <c r="CU4" s="133"/>
      <c r="CV4" s="133"/>
      <c r="CW4" s="133"/>
      <c r="CX4" s="133"/>
      <c r="CY4" s="133"/>
      <c r="CZ4" s="133"/>
      <c r="DA4" s="133"/>
      <c r="DB4" s="133"/>
      <c r="DC4" s="133"/>
      <c r="DD4" s="133"/>
      <c r="DE4" s="133"/>
      <c r="DF4" s="133"/>
      <c r="DG4" s="133"/>
      <c r="DH4" s="133"/>
      <c r="DI4" s="133"/>
      <c r="DJ4" s="133"/>
      <c r="DK4" s="133"/>
      <c r="DL4" s="133"/>
      <c r="DM4" s="133"/>
      <c r="DN4" s="133"/>
      <c r="DO4" s="133"/>
      <c r="DP4" s="133"/>
      <c r="DQ4" s="133"/>
      <c r="DR4" s="133"/>
      <c r="DS4" s="133"/>
      <c r="DT4" s="133"/>
      <c r="DU4" s="133"/>
      <c r="DV4" s="133"/>
      <c r="DW4" s="133"/>
      <c r="DX4" s="133"/>
      <c r="DY4" s="133"/>
      <c r="DZ4" s="133"/>
      <c r="EA4" s="133"/>
      <c r="EB4" s="133"/>
      <c r="EC4" s="133"/>
      <c r="ED4" s="133"/>
      <c r="EE4" s="133"/>
      <c r="EF4" s="133"/>
      <c r="EG4" s="133"/>
      <c r="EH4" s="133"/>
      <c r="EI4" s="133"/>
      <c r="EJ4" s="133"/>
      <c r="EK4" s="133"/>
      <c r="EL4" s="133"/>
      <c r="EM4" s="133"/>
      <c r="EN4" s="133"/>
      <c r="EO4" s="133"/>
      <c r="EP4" s="133"/>
      <c r="EQ4" s="133"/>
      <c r="ER4" s="133"/>
      <c r="ES4" s="133"/>
      <c r="ET4" s="133"/>
      <c r="EU4" s="133"/>
      <c r="EV4" s="133"/>
      <c r="EW4" s="133"/>
      <c r="EX4" s="133"/>
      <c r="EY4" s="133"/>
      <c r="EZ4" s="133"/>
      <c r="FA4" s="133"/>
      <c r="FB4" s="133"/>
      <c r="FC4" s="133"/>
      <c r="FD4" s="133"/>
      <c r="FE4" s="133"/>
      <c r="FF4" s="133"/>
      <c r="FG4" s="133"/>
      <c r="FH4" s="133"/>
      <c r="FI4" s="133"/>
      <c r="FJ4" s="133"/>
      <c r="FK4" s="133"/>
      <c r="FL4" s="133"/>
    </row>
    <row r="5" spans="1:168">
      <c r="M5" s="99"/>
    </row>
    <row r="6" spans="1:168" hidden="1">
      <c r="B6" s="117" t="s">
        <v>5</v>
      </c>
      <c r="C6" s="117"/>
      <c r="D6" s="118">
        <v>0.2</v>
      </c>
      <c r="M6" s="99">
        <f>M7-M10</f>
        <v>0</v>
      </c>
      <c r="N6" s="99">
        <f t="shared" ref="N6:BY6" si="0">N7-N10</f>
        <v>0</v>
      </c>
      <c r="O6" s="99">
        <f t="shared" si="0"/>
        <v>0</v>
      </c>
      <c r="P6" s="99">
        <f t="shared" si="0"/>
        <v>0</v>
      </c>
      <c r="Q6" s="99">
        <f t="shared" si="0"/>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ref="BZ6:EK6" si="1">BZ7-BZ10</f>
        <v>0</v>
      </c>
      <c r="CA6" s="99">
        <f t="shared" si="1"/>
        <v>0</v>
      </c>
      <c r="CB6" s="99">
        <f t="shared" si="1"/>
        <v>0</v>
      </c>
      <c r="CC6" s="99">
        <f t="shared" si="1"/>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ref="EL6:FK6" si="2">EL7-EL10</f>
        <v>0</v>
      </c>
      <c r="EM6" s="99">
        <f t="shared" si="2"/>
        <v>0</v>
      </c>
      <c r="EN6" s="99">
        <f t="shared" si="2"/>
        <v>0</v>
      </c>
      <c r="EO6" s="99">
        <f t="shared" si="2"/>
        <v>0</v>
      </c>
      <c r="EP6" s="99">
        <f t="shared" si="2"/>
        <v>0</v>
      </c>
      <c r="EQ6" s="99">
        <f t="shared" si="2"/>
        <v>0</v>
      </c>
      <c r="ER6" s="99">
        <f t="shared" si="2"/>
        <v>0</v>
      </c>
      <c r="ES6" s="99">
        <f t="shared" si="2"/>
        <v>0</v>
      </c>
      <c r="ET6" s="99">
        <f t="shared" si="2"/>
        <v>0</v>
      </c>
      <c r="EU6" s="99">
        <f t="shared" si="2"/>
        <v>0</v>
      </c>
      <c r="EV6" s="99">
        <f t="shared" si="2"/>
        <v>0</v>
      </c>
      <c r="EW6" s="99">
        <f t="shared" si="2"/>
        <v>0</v>
      </c>
      <c r="EX6" s="99">
        <f t="shared" si="2"/>
        <v>0</v>
      </c>
      <c r="EY6" s="99">
        <f t="shared" si="2"/>
        <v>0</v>
      </c>
      <c r="EZ6" s="99">
        <f t="shared" si="2"/>
        <v>0</v>
      </c>
      <c r="FA6" s="99">
        <f t="shared" si="2"/>
        <v>0</v>
      </c>
      <c r="FB6" s="99">
        <f t="shared" si="2"/>
        <v>0</v>
      </c>
      <c r="FC6" s="99">
        <f t="shared" si="2"/>
        <v>0</v>
      </c>
      <c r="FD6" s="99">
        <f t="shared" si="2"/>
        <v>0</v>
      </c>
      <c r="FE6" s="99">
        <f t="shared" si="2"/>
        <v>0</v>
      </c>
      <c r="FF6" s="99">
        <f t="shared" si="2"/>
        <v>0</v>
      </c>
      <c r="FG6" s="99">
        <f t="shared" si="2"/>
        <v>0</v>
      </c>
      <c r="FH6" s="99">
        <f t="shared" si="2"/>
        <v>0</v>
      </c>
      <c r="FI6" s="99">
        <f t="shared" si="2"/>
        <v>0</v>
      </c>
      <c r="FJ6" s="99">
        <f t="shared" si="2"/>
        <v>0</v>
      </c>
      <c r="FK6" s="99">
        <f t="shared" si="2"/>
        <v>0</v>
      </c>
    </row>
    <row r="7" spans="1:168" hidden="1">
      <c r="B7" s="117" t="s">
        <v>6</v>
      </c>
      <c r="C7" s="117"/>
      <c r="D7" s="118">
        <f>50%*25%</f>
        <v>0.125</v>
      </c>
      <c r="E7" s="104"/>
      <c r="L7" s="115">
        <f>AVERAGE(M7:EL7)</f>
        <v>2.4923076923076923</v>
      </c>
      <c r="M7" s="99">
        <v>3</v>
      </c>
      <c r="N7" s="99">
        <v>3</v>
      </c>
      <c r="O7" s="99">
        <v>3</v>
      </c>
      <c r="P7" s="99">
        <v>3</v>
      </c>
      <c r="Q7" s="99">
        <v>3</v>
      </c>
      <c r="R7" s="99">
        <v>2</v>
      </c>
      <c r="S7" s="99">
        <v>2</v>
      </c>
      <c r="T7" s="99">
        <v>2</v>
      </c>
      <c r="U7" s="99">
        <v>2</v>
      </c>
      <c r="V7" s="99">
        <v>2</v>
      </c>
      <c r="W7" s="99">
        <v>2</v>
      </c>
      <c r="X7" s="99">
        <v>2</v>
      </c>
      <c r="Y7" s="99">
        <v>2</v>
      </c>
      <c r="Z7" s="99">
        <v>2</v>
      </c>
      <c r="AA7" s="99">
        <v>2</v>
      </c>
      <c r="AB7" s="99">
        <v>2</v>
      </c>
      <c r="AC7" s="99">
        <v>2</v>
      </c>
      <c r="AD7" s="99">
        <v>1</v>
      </c>
      <c r="AE7" s="99">
        <v>1</v>
      </c>
      <c r="AF7" s="99">
        <v>1</v>
      </c>
      <c r="AG7" s="99">
        <v>3</v>
      </c>
      <c r="AH7" s="99">
        <v>3</v>
      </c>
      <c r="AI7" s="99">
        <v>3</v>
      </c>
      <c r="AJ7" s="99">
        <v>3</v>
      </c>
      <c r="AK7" s="99">
        <v>2</v>
      </c>
      <c r="AL7" s="99">
        <v>3</v>
      </c>
      <c r="AM7" s="99">
        <v>3</v>
      </c>
      <c r="AN7" s="99">
        <v>3</v>
      </c>
      <c r="AO7" s="99">
        <v>3</v>
      </c>
      <c r="AP7" s="99">
        <v>3</v>
      </c>
      <c r="AQ7" s="99">
        <v>2</v>
      </c>
      <c r="AR7" s="99">
        <v>2</v>
      </c>
      <c r="AS7" s="99">
        <v>2</v>
      </c>
      <c r="AT7" s="99">
        <v>0</v>
      </c>
      <c r="AU7" s="99">
        <v>1</v>
      </c>
      <c r="AV7" s="99">
        <v>1</v>
      </c>
      <c r="AW7" s="99">
        <v>0</v>
      </c>
      <c r="AX7" s="99">
        <v>1</v>
      </c>
      <c r="AY7" s="99">
        <v>1</v>
      </c>
      <c r="AZ7" s="99">
        <v>1</v>
      </c>
      <c r="BA7" s="99">
        <v>2</v>
      </c>
      <c r="BB7" s="99">
        <v>2</v>
      </c>
      <c r="BC7" s="99">
        <v>2</v>
      </c>
      <c r="BD7" s="99">
        <v>2</v>
      </c>
      <c r="BE7" s="99">
        <v>2</v>
      </c>
      <c r="BF7" s="99">
        <v>2</v>
      </c>
      <c r="BG7" s="99">
        <v>2</v>
      </c>
      <c r="BH7" s="99">
        <v>2</v>
      </c>
      <c r="BI7" s="99">
        <v>2</v>
      </c>
      <c r="BJ7" s="99">
        <v>2</v>
      </c>
      <c r="BK7" s="99">
        <v>2</v>
      </c>
      <c r="BL7" s="99">
        <v>2</v>
      </c>
      <c r="BM7" s="99">
        <v>2</v>
      </c>
      <c r="BN7" s="99">
        <v>2</v>
      </c>
      <c r="BO7" s="99">
        <v>2</v>
      </c>
      <c r="BP7" s="99">
        <v>3</v>
      </c>
      <c r="BQ7" s="99">
        <v>3</v>
      </c>
      <c r="BR7" s="99">
        <v>3</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2</v>
      </c>
      <c r="DO7" s="99">
        <v>3</v>
      </c>
      <c r="DP7" s="99">
        <v>3</v>
      </c>
      <c r="DQ7" s="99">
        <v>3</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0</v>
      </c>
      <c r="EJ7" s="99">
        <v>0</v>
      </c>
      <c r="EK7" s="99">
        <v>0</v>
      </c>
      <c r="EL7" s="99">
        <v>0</v>
      </c>
      <c r="EM7" s="99">
        <v>0</v>
      </c>
      <c r="EN7" s="99">
        <v>0</v>
      </c>
      <c r="EO7" s="99">
        <v>0</v>
      </c>
      <c r="EP7" s="99">
        <v>3</v>
      </c>
      <c r="EQ7" s="99">
        <v>3</v>
      </c>
      <c r="ER7" s="99">
        <v>3</v>
      </c>
      <c r="ES7" s="99">
        <v>3</v>
      </c>
      <c r="ET7" s="99">
        <v>3</v>
      </c>
      <c r="EU7" s="99">
        <v>3</v>
      </c>
      <c r="EV7" s="99">
        <v>3</v>
      </c>
      <c r="EW7" s="99">
        <v>3</v>
      </c>
      <c r="EX7" s="99">
        <v>3</v>
      </c>
      <c r="EY7" s="99">
        <v>3</v>
      </c>
      <c r="EZ7" s="99">
        <v>3</v>
      </c>
      <c r="FA7" s="99">
        <v>3</v>
      </c>
      <c r="FB7" s="99">
        <v>3</v>
      </c>
      <c r="FC7" s="99">
        <v>3</v>
      </c>
      <c r="FD7" s="99">
        <v>3</v>
      </c>
      <c r="FE7" s="99">
        <v>3</v>
      </c>
      <c r="FF7" s="99">
        <v>3</v>
      </c>
      <c r="FG7" s="99">
        <v>3</v>
      </c>
      <c r="FH7" s="99">
        <v>3</v>
      </c>
      <c r="FI7" s="99">
        <v>3</v>
      </c>
      <c r="FJ7" s="99">
        <v>3</v>
      </c>
      <c r="FK7" s="99">
        <v>3</v>
      </c>
    </row>
    <row r="8" spans="1:168" hidden="1"/>
    <row r="9" spans="1:168" hidden="1"/>
    <row r="10" spans="1:168" hidden="1">
      <c r="M10" s="99">
        <f t="shared" ref="M10:AR10" si="3">SUBTOTAL(9,M14:M636)</f>
        <v>3</v>
      </c>
      <c r="N10" s="99">
        <f t="shared" si="3"/>
        <v>3</v>
      </c>
      <c r="O10" s="99">
        <f t="shared" si="3"/>
        <v>3</v>
      </c>
      <c r="P10" s="99">
        <f t="shared" si="3"/>
        <v>3</v>
      </c>
      <c r="Q10" s="99">
        <f t="shared" si="3"/>
        <v>3</v>
      </c>
      <c r="R10" s="99">
        <f t="shared" si="3"/>
        <v>2</v>
      </c>
      <c r="S10" s="99">
        <f t="shared" si="3"/>
        <v>2</v>
      </c>
      <c r="T10" s="99">
        <f t="shared" si="3"/>
        <v>2</v>
      </c>
      <c r="U10" s="99">
        <f t="shared" si="3"/>
        <v>2</v>
      </c>
      <c r="V10" s="99">
        <f t="shared" si="3"/>
        <v>2</v>
      </c>
      <c r="W10" s="99">
        <f t="shared" si="3"/>
        <v>2</v>
      </c>
      <c r="X10" s="99">
        <f t="shared" si="3"/>
        <v>2</v>
      </c>
      <c r="Y10" s="99">
        <f t="shared" si="3"/>
        <v>2</v>
      </c>
      <c r="Z10" s="99">
        <f t="shared" si="3"/>
        <v>2</v>
      </c>
      <c r="AA10" s="99">
        <f t="shared" si="3"/>
        <v>2</v>
      </c>
      <c r="AB10" s="99">
        <f t="shared" si="3"/>
        <v>2</v>
      </c>
      <c r="AC10" s="99">
        <f t="shared" si="3"/>
        <v>2</v>
      </c>
      <c r="AD10" s="99">
        <f t="shared" si="3"/>
        <v>1</v>
      </c>
      <c r="AE10" s="99">
        <f t="shared" si="3"/>
        <v>1</v>
      </c>
      <c r="AF10" s="99">
        <f t="shared" si="3"/>
        <v>1</v>
      </c>
      <c r="AG10" s="99">
        <f t="shared" si="3"/>
        <v>3</v>
      </c>
      <c r="AH10" s="99">
        <f t="shared" si="3"/>
        <v>3</v>
      </c>
      <c r="AI10" s="99">
        <f t="shared" si="3"/>
        <v>3</v>
      </c>
      <c r="AJ10" s="99">
        <f t="shared" si="3"/>
        <v>3</v>
      </c>
      <c r="AK10" s="99">
        <f t="shared" si="3"/>
        <v>2</v>
      </c>
      <c r="AL10" s="99">
        <f t="shared" si="3"/>
        <v>3</v>
      </c>
      <c r="AM10" s="99">
        <f t="shared" si="3"/>
        <v>3</v>
      </c>
      <c r="AN10" s="99">
        <f t="shared" si="3"/>
        <v>3</v>
      </c>
      <c r="AO10" s="99">
        <f t="shared" si="3"/>
        <v>3</v>
      </c>
      <c r="AP10" s="99">
        <f t="shared" si="3"/>
        <v>3</v>
      </c>
      <c r="AQ10" s="99">
        <f t="shared" si="3"/>
        <v>2</v>
      </c>
      <c r="AR10" s="99">
        <f t="shared" si="3"/>
        <v>2</v>
      </c>
      <c r="AS10" s="99">
        <f t="shared" ref="AS10:BX10" si="4">SUBTOTAL(9,AS14:AS636)</f>
        <v>2</v>
      </c>
      <c r="AT10" s="99">
        <f t="shared" si="4"/>
        <v>0</v>
      </c>
      <c r="AU10" s="99">
        <f t="shared" si="4"/>
        <v>1</v>
      </c>
      <c r="AV10" s="99">
        <f t="shared" si="4"/>
        <v>1</v>
      </c>
      <c r="AW10" s="99">
        <f t="shared" si="4"/>
        <v>0</v>
      </c>
      <c r="AX10" s="99">
        <f t="shared" si="4"/>
        <v>1</v>
      </c>
      <c r="AY10" s="99">
        <f t="shared" si="4"/>
        <v>1</v>
      </c>
      <c r="AZ10" s="99">
        <f t="shared" si="4"/>
        <v>1</v>
      </c>
      <c r="BA10" s="99">
        <f t="shared" si="4"/>
        <v>2</v>
      </c>
      <c r="BB10" s="99">
        <f t="shared" si="4"/>
        <v>2</v>
      </c>
      <c r="BC10" s="99">
        <f t="shared" si="4"/>
        <v>2</v>
      </c>
      <c r="BD10" s="99">
        <f t="shared" si="4"/>
        <v>2</v>
      </c>
      <c r="BE10" s="99">
        <f t="shared" si="4"/>
        <v>2</v>
      </c>
      <c r="BF10" s="99">
        <f t="shared" si="4"/>
        <v>2</v>
      </c>
      <c r="BG10" s="99">
        <f t="shared" si="4"/>
        <v>2</v>
      </c>
      <c r="BH10" s="99">
        <f t="shared" si="4"/>
        <v>2</v>
      </c>
      <c r="BI10" s="99">
        <f t="shared" si="4"/>
        <v>2</v>
      </c>
      <c r="BJ10" s="99">
        <f t="shared" si="4"/>
        <v>2</v>
      </c>
      <c r="BK10" s="99">
        <f t="shared" si="4"/>
        <v>2</v>
      </c>
      <c r="BL10" s="99">
        <f t="shared" si="4"/>
        <v>2</v>
      </c>
      <c r="BM10" s="99">
        <f t="shared" si="4"/>
        <v>2</v>
      </c>
      <c r="BN10" s="99">
        <f t="shared" si="4"/>
        <v>2</v>
      </c>
      <c r="BO10" s="99">
        <f t="shared" si="4"/>
        <v>2</v>
      </c>
      <c r="BP10" s="99">
        <f t="shared" si="4"/>
        <v>3</v>
      </c>
      <c r="BQ10" s="99">
        <f t="shared" si="4"/>
        <v>3</v>
      </c>
      <c r="BR10" s="99">
        <f t="shared" si="4"/>
        <v>3</v>
      </c>
      <c r="BS10" s="99">
        <f t="shared" si="4"/>
        <v>3</v>
      </c>
      <c r="BT10" s="99">
        <f t="shared" si="4"/>
        <v>3</v>
      </c>
      <c r="BU10" s="99">
        <f t="shared" si="4"/>
        <v>3</v>
      </c>
      <c r="BV10" s="99">
        <f t="shared" si="4"/>
        <v>3</v>
      </c>
      <c r="BW10" s="99">
        <f t="shared" si="4"/>
        <v>3</v>
      </c>
      <c r="BX10" s="99">
        <f t="shared" si="4"/>
        <v>3</v>
      </c>
      <c r="BY10" s="99">
        <f t="shared" ref="BY10:DD10" si="5">SUBTOTAL(9,BY14:BY636)</f>
        <v>3</v>
      </c>
      <c r="BZ10" s="99">
        <f t="shared" si="5"/>
        <v>3</v>
      </c>
      <c r="CA10" s="99">
        <f t="shared" si="5"/>
        <v>3</v>
      </c>
      <c r="CB10" s="99">
        <f t="shared" si="5"/>
        <v>3</v>
      </c>
      <c r="CC10" s="99">
        <f t="shared" si="5"/>
        <v>3</v>
      </c>
      <c r="CD10" s="99">
        <f t="shared" si="5"/>
        <v>3</v>
      </c>
      <c r="CE10" s="99">
        <f t="shared" si="5"/>
        <v>3</v>
      </c>
      <c r="CF10" s="99">
        <f t="shared" si="5"/>
        <v>3</v>
      </c>
      <c r="CG10" s="99">
        <f t="shared" si="5"/>
        <v>3</v>
      </c>
      <c r="CH10" s="99">
        <f t="shared" si="5"/>
        <v>3</v>
      </c>
      <c r="CI10" s="99">
        <f t="shared" si="5"/>
        <v>3</v>
      </c>
      <c r="CJ10" s="99">
        <f t="shared" si="5"/>
        <v>3</v>
      </c>
      <c r="CK10" s="99">
        <f t="shared" si="5"/>
        <v>3</v>
      </c>
      <c r="CL10" s="99">
        <f t="shared" si="5"/>
        <v>3</v>
      </c>
      <c r="CM10" s="99">
        <f t="shared" si="5"/>
        <v>3</v>
      </c>
      <c r="CN10" s="99">
        <f t="shared" si="5"/>
        <v>3</v>
      </c>
      <c r="CO10" s="99">
        <f t="shared" si="5"/>
        <v>3</v>
      </c>
      <c r="CP10" s="99">
        <f t="shared" si="5"/>
        <v>3</v>
      </c>
      <c r="CQ10" s="99">
        <f t="shared" si="5"/>
        <v>3</v>
      </c>
      <c r="CR10" s="99">
        <f t="shared" si="5"/>
        <v>3</v>
      </c>
      <c r="CS10" s="99">
        <f t="shared" si="5"/>
        <v>3</v>
      </c>
      <c r="CT10" s="99">
        <f t="shared" si="5"/>
        <v>3</v>
      </c>
      <c r="CU10" s="99">
        <f t="shared" si="5"/>
        <v>3</v>
      </c>
      <c r="CV10" s="99">
        <f t="shared" si="5"/>
        <v>3</v>
      </c>
      <c r="CW10" s="99">
        <f t="shared" si="5"/>
        <v>3</v>
      </c>
      <c r="CX10" s="99">
        <f t="shared" si="5"/>
        <v>3</v>
      </c>
      <c r="CY10" s="99">
        <f t="shared" si="5"/>
        <v>3</v>
      </c>
      <c r="CZ10" s="99">
        <f t="shared" si="5"/>
        <v>3</v>
      </c>
      <c r="DA10" s="99">
        <f t="shared" si="5"/>
        <v>3</v>
      </c>
      <c r="DB10" s="99">
        <f t="shared" si="5"/>
        <v>3</v>
      </c>
      <c r="DC10" s="99">
        <f t="shared" si="5"/>
        <v>3</v>
      </c>
      <c r="DD10" s="99">
        <f t="shared" si="5"/>
        <v>3</v>
      </c>
      <c r="DE10" s="99">
        <f t="shared" ref="DE10:EJ10" si="6">SUBTOTAL(9,DE14:DE636)</f>
        <v>3</v>
      </c>
      <c r="DF10" s="99">
        <f t="shared" si="6"/>
        <v>3</v>
      </c>
      <c r="DG10" s="99">
        <f t="shared" si="6"/>
        <v>3</v>
      </c>
      <c r="DH10" s="99">
        <f t="shared" si="6"/>
        <v>3</v>
      </c>
      <c r="DI10" s="99">
        <f t="shared" si="6"/>
        <v>3</v>
      </c>
      <c r="DJ10" s="99">
        <f t="shared" si="6"/>
        <v>3</v>
      </c>
      <c r="DK10" s="99">
        <f t="shared" si="6"/>
        <v>3</v>
      </c>
      <c r="DL10" s="99">
        <f t="shared" si="6"/>
        <v>3</v>
      </c>
      <c r="DM10" s="99">
        <f t="shared" si="6"/>
        <v>3</v>
      </c>
      <c r="DN10" s="99">
        <f t="shared" si="6"/>
        <v>2</v>
      </c>
      <c r="DO10" s="99">
        <f t="shared" si="6"/>
        <v>3</v>
      </c>
      <c r="DP10" s="99">
        <f t="shared" si="6"/>
        <v>3</v>
      </c>
      <c r="DQ10" s="99">
        <f t="shared" si="6"/>
        <v>3</v>
      </c>
      <c r="DR10" s="99">
        <f t="shared" si="6"/>
        <v>3</v>
      </c>
      <c r="DS10" s="99">
        <f t="shared" si="6"/>
        <v>3</v>
      </c>
      <c r="DT10" s="99">
        <f t="shared" si="6"/>
        <v>3</v>
      </c>
      <c r="DU10" s="99">
        <f t="shared" si="6"/>
        <v>3</v>
      </c>
      <c r="DV10" s="99">
        <f t="shared" si="6"/>
        <v>3</v>
      </c>
      <c r="DW10" s="99">
        <f t="shared" si="6"/>
        <v>3</v>
      </c>
      <c r="DX10" s="99">
        <f t="shared" si="6"/>
        <v>3</v>
      </c>
      <c r="DY10" s="99">
        <f t="shared" si="6"/>
        <v>3</v>
      </c>
      <c r="DZ10" s="99">
        <f t="shared" si="6"/>
        <v>3</v>
      </c>
      <c r="EA10" s="99">
        <f t="shared" si="6"/>
        <v>3</v>
      </c>
      <c r="EB10" s="99">
        <f t="shared" si="6"/>
        <v>3</v>
      </c>
      <c r="EC10" s="99">
        <f t="shared" si="6"/>
        <v>3</v>
      </c>
      <c r="ED10" s="99">
        <f t="shared" si="6"/>
        <v>3</v>
      </c>
      <c r="EE10" s="99">
        <f t="shared" si="6"/>
        <v>3</v>
      </c>
      <c r="EF10" s="99">
        <f t="shared" si="6"/>
        <v>3</v>
      </c>
      <c r="EG10" s="99">
        <f t="shared" si="6"/>
        <v>3</v>
      </c>
      <c r="EH10" s="99">
        <f t="shared" si="6"/>
        <v>3</v>
      </c>
      <c r="EI10" s="99">
        <f t="shared" si="6"/>
        <v>0</v>
      </c>
      <c r="EJ10" s="99">
        <f t="shared" si="6"/>
        <v>0</v>
      </c>
      <c r="EK10" s="99">
        <f t="shared" ref="EK10:FK10" si="7">SUBTOTAL(9,EK14:EK636)</f>
        <v>0</v>
      </c>
      <c r="EL10" s="99">
        <f t="shared" si="7"/>
        <v>0</v>
      </c>
      <c r="EM10" s="99">
        <f t="shared" si="7"/>
        <v>0</v>
      </c>
      <c r="EN10" s="99">
        <f t="shared" si="7"/>
        <v>0</v>
      </c>
      <c r="EO10" s="99">
        <f t="shared" si="7"/>
        <v>0</v>
      </c>
      <c r="EP10" s="99">
        <f t="shared" si="7"/>
        <v>3</v>
      </c>
      <c r="EQ10" s="99">
        <f t="shared" si="7"/>
        <v>3</v>
      </c>
      <c r="ER10" s="99">
        <f t="shared" si="7"/>
        <v>3</v>
      </c>
      <c r="ES10" s="99">
        <f t="shared" si="7"/>
        <v>3</v>
      </c>
      <c r="ET10" s="99">
        <f t="shared" si="7"/>
        <v>3</v>
      </c>
      <c r="EU10" s="99">
        <f t="shared" si="7"/>
        <v>3</v>
      </c>
      <c r="EV10" s="99">
        <f t="shared" si="7"/>
        <v>3</v>
      </c>
      <c r="EW10" s="99">
        <f t="shared" si="7"/>
        <v>3</v>
      </c>
      <c r="EX10" s="116">
        <f t="shared" si="7"/>
        <v>3</v>
      </c>
      <c r="EY10" s="99">
        <f t="shared" si="7"/>
        <v>3</v>
      </c>
      <c r="EZ10" s="99">
        <f t="shared" si="7"/>
        <v>3</v>
      </c>
      <c r="FA10" s="99">
        <f t="shared" si="7"/>
        <v>3</v>
      </c>
      <c r="FB10" s="99">
        <f t="shared" si="7"/>
        <v>3</v>
      </c>
      <c r="FC10" s="99">
        <f t="shared" si="7"/>
        <v>3</v>
      </c>
      <c r="FD10" s="99">
        <f t="shared" si="7"/>
        <v>3</v>
      </c>
      <c r="FE10" s="99">
        <f t="shared" si="7"/>
        <v>3</v>
      </c>
      <c r="FF10" s="99">
        <f t="shared" si="7"/>
        <v>3</v>
      </c>
      <c r="FG10" s="99">
        <f t="shared" si="7"/>
        <v>3</v>
      </c>
      <c r="FH10" s="99">
        <f t="shared" si="7"/>
        <v>3</v>
      </c>
      <c r="FI10" s="99">
        <f t="shared" si="7"/>
        <v>3</v>
      </c>
      <c r="FJ10" s="99">
        <f t="shared" si="7"/>
        <v>3</v>
      </c>
      <c r="FK10" s="99">
        <f t="shared" si="7"/>
        <v>3</v>
      </c>
    </row>
    <row r="11" spans="1:168">
      <c r="M11" s="84" t="s">
        <v>7</v>
      </c>
      <c r="N11" s="84"/>
      <c r="O11" s="84"/>
      <c r="P11" s="84"/>
      <c r="Q11" s="84"/>
      <c r="R11" s="84"/>
      <c r="S11" s="84"/>
      <c r="T11" s="84"/>
      <c r="U11" s="84"/>
      <c r="V11" s="84"/>
      <c r="W11" s="84" t="s">
        <v>7</v>
      </c>
      <c r="X11" s="84"/>
      <c r="Y11" s="84"/>
      <c r="Z11" s="84"/>
      <c r="AA11" s="84"/>
      <c r="AB11" s="84"/>
      <c r="AC11" s="84"/>
      <c r="AD11" s="84"/>
      <c r="AE11" s="84"/>
      <c r="AF11" s="84"/>
      <c r="AG11" s="84"/>
      <c r="AH11" s="84"/>
      <c r="AI11" s="84"/>
      <c r="AJ11" s="84" t="s">
        <v>8</v>
      </c>
      <c r="AK11" s="84"/>
      <c r="AL11" s="84"/>
      <c r="AM11" s="84"/>
      <c r="AN11" s="84"/>
      <c r="AO11" s="84"/>
      <c r="AP11" s="84"/>
      <c r="AQ11" s="84"/>
      <c r="AR11" s="84"/>
      <c r="AS11" s="84"/>
      <c r="AT11" s="84"/>
      <c r="AU11" s="84"/>
      <c r="AV11" s="84"/>
      <c r="AW11" s="84"/>
      <c r="AX11" s="84"/>
      <c r="AY11" s="84"/>
      <c r="AZ11" s="84"/>
      <c r="BA11" s="84"/>
      <c r="BB11" s="84"/>
      <c r="BC11" s="84"/>
      <c r="BD11" s="84"/>
      <c r="BE11" s="84"/>
      <c r="BF11" s="84" t="s">
        <v>9</v>
      </c>
      <c r="BG11" s="84"/>
      <c r="BH11" s="84"/>
      <c r="BI11" s="84"/>
      <c r="BJ11" s="84"/>
      <c r="BK11" s="84"/>
      <c r="BL11" s="84"/>
      <c r="BM11" s="84"/>
      <c r="BN11" s="84"/>
      <c r="BO11" s="84"/>
      <c r="BP11" s="84"/>
      <c r="BQ11" s="84"/>
      <c r="BR11" s="84"/>
      <c r="BS11" s="84"/>
      <c r="BT11" s="84"/>
      <c r="BU11" s="84"/>
      <c r="BV11" s="84"/>
      <c r="BW11" s="84"/>
      <c r="BX11" s="84"/>
      <c r="BY11" s="84"/>
      <c r="BZ11" s="84"/>
      <c r="CA11" s="84" t="s">
        <v>10</v>
      </c>
      <c r="CB11" s="84"/>
      <c r="CC11" s="84"/>
      <c r="CD11" s="84"/>
      <c r="CE11" s="84"/>
      <c r="CF11" s="84"/>
      <c r="CG11" s="84"/>
      <c r="CH11" s="84"/>
      <c r="CI11" s="84"/>
      <c r="CJ11" s="84"/>
      <c r="CK11" s="84"/>
      <c r="CL11" s="84"/>
      <c r="CM11" s="84"/>
      <c r="CN11" s="84"/>
      <c r="CO11" s="84"/>
      <c r="CP11" s="84"/>
      <c r="CQ11" s="84"/>
      <c r="CR11" s="84"/>
      <c r="CS11" s="84"/>
      <c r="CT11" s="84"/>
      <c r="CU11" s="84"/>
      <c r="CV11" s="84"/>
      <c r="CW11" s="84"/>
      <c r="CX11" s="84" t="s">
        <v>11</v>
      </c>
      <c r="CY11" s="84"/>
      <c r="CZ11" s="84"/>
      <c r="DA11" s="84"/>
      <c r="DB11" s="84"/>
      <c r="DC11" s="84"/>
      <c r="DD11" s="84"/>
      <c r="DE11" s="84"/>
      <c r="DF11" s="84"/>
      <c r="DG11" s="84"/>
      <c r="DH11" s="84"/>
      <c r="DI11" s="84"/>
      <c r="DJ11" s="84"/>
      <c r="DK11" s="84"/>
      <c r="DL11" s="84"/>
      <c r="DM11" s="84"/>
      <c r="DN11" s="84"/>
      <c r="DO11" s="84"/>
      <c r="DP11" s="84"/>
      <c r="DQ11" s="84"/>
      <c r="DR11" s="84"/>
      <c r="DS11" s="84" t="s">
        <v>12</v>
      </c>
      <c r="DT11" s="84"/>
      <c r="DU11" s="84"/>
      <c r="DV11" s="84"/>
      <c r="DW11" s="84"/>
      <c r="DX11" s="84"/>
      <c r="DY11" s="84"/>
      <c r="DZ11" s="84"/>
      <c r="EA11" s="84"/>
      <c r="EB11" s="84"/>
      <c r="EC11" s="84"/>
      <c r="ED11" s="84"/>
      <c r="EE11" s="84"/>
      <c r="EF11" s="84"/>
      <c r="EG11" s="84"/>
      <c r="EH11" s="84"/>
      <c r="EI11" s="84"/>
      <c r="EJ11" s="84"/>
      <c r="EK11" s="84"/>
      <c r="EL11" s="84"/>
      <c r="EM11" s="84"/>
      <c r="EN11" s="84"/>
      <c r="EO11" s="84" t="s">
        <v>432</v>
      </c>
      <c r="EP11" s="84"/>
      <c r="EQ11" s="84"/>
      <c r="ER11" s="84"/>
      <c r="ES11" s="84"/>
      <c r="ET11" s="84"/>
      <c r="EU11" s="84"/>
      <c r="EV11" s="84"/>
      <c r="EW11" s="84"/>
      <c r="EX11" s="84"/>
      <c r="EY11" s="84"/>
      <c r="EZ11" s="84"/>
      <c r="FA11" s="84"/>
      <c r="FB11" s="84"/>
      <c r="FC11" s="84"/>
      <c r="FD11" s="84"/>
      <c r="FE11" s="84"/>
      <c r="FF11" s="84"/>
      <c r="FG11" s="84"/>
      <c r="FH11" s="84"/>
      <c r="FI11" s="84"/>
      <c r="FJ11" s="84"/>
      <c r="FK11" s="84"/>
    </row>
    <row r="12" spans="1:168">
      <c r="M12" s="85">
        <f t="shared" ref="M12:BX12" si="8">M13</f>
        <v>45474</v>
      </c>
      <c r="N12" s="85">
        <f t="shared" si="8"/>
        <v>45475</v>
      </c>
      <c r="O12" s="85">
        <f t="shared" si="8"/>
        <v>45476</v>
      </c>
      <c r="P12" s="85">
        <f t="shared" si="8"/>
        <v>45477</v>
      </c>
      <c r="Q12" s="85">
        <f t="shared" si="8"/>
        <v>45478</v>
      </c>
      <c r="R12" s="85">
        <f t="shared" si="8"/>
        <v>45481</v>
      </c>
      <c r="S12" s="85">
        <f t="shared" si="8"/>
        <v>45482</v>
      </c>
      <c r="T12" s="85">
        <f t="shared" si="8"/>
        <v>45483</v>
      </c>
      <c r="U12" s="85">
        <f t="shared" si="8"/>
        <v>45484</v>
      </c>
      <c r="V12" s="85">
        <f t="shared" si="8"/>
        <v>45485</v>
      </c>
      <c r="W12" s="85">
        <f t="shared" si="8"/>
        <v>45488</v>
      </c>
      <c r="X12" s="85">
        <f t="shared" si="8"/>
        <v>45489</v>
      </c>
      <c r="Y12" s="85">
        <f t="shared" si="8"/>
        <v>45490</v>
      </c>
      <c r="Z12" s="85">
        <f t="shared" si="8"/>
        <v>45491</v>
      </c>
      <c r="AA12" s="85">
        <f t="shared" si="8"/>
        <v>45492</v>
      </c>
      <c r="AB12" s="85">
        <f t="shared" si="8"/>
        <v>45495</v>
      </c>
      <c r="AC12" s="85">
        <f t="shared" si="8"/>
        <v>45496</v>
      </c>
      <c r="AD12" s="85">
        <f t="shared" si="8"/>
        <v>45497</v>
      </c>
      <c r="AE12" s="85">
        <f t="shared" si="8"/>
        <v>45498</v>
      </c>
      <c r="AF12" s="85">
        <f t="shared" si="8"/>
        <v>45499</v>
      </c>
      <c r="AG12" s="85">
        <f t="shared" si="8"/>
        <v>45502</v>
      </c>
      <c r="AH12" s="85">
        <f t="shared" si="8"/>
        <v>45503</v>
      </c>
      <c r="AI12" s="85">
        <f t="shared" si="8"/>
        <v>45504</v>
      </c>
      <c r="AJ12" s="85">
        <f t="shared" si="8"/>
        <v>45505</v>
      </c>
      <c r="AK12" s="85">
        <f t="shared" si="8"/>
        <v>45506</v>
      </c>
      <c r="AL12" s="85">
        <f t="shared" si="8"/>
        <v>45509</v>
      </c>
      <c r="AM12" s="85">
        <f t="shared" si="8"/>
        <v>45510</v>
      </c>
      <c r="AN12" s="85">
        <f t="shared" si="8"/>
        <v>45511</v>
      </c>
      <c r="AO12" s="85">
        <f t="shared" si="8"/>
        <v>45512</v>
      </c>
      <c r="AP12" s="85">
        <f t="shared" si="8"/>
        <v>45513</v>
      </c>
      <c r="AQ12" s="85">
        <f t="shared" si="8"/>
        <v>45516</v>
      </c>
      <c r="AR12" s="85">
        <f t="shared" si="8"/>
        <v>45517</v>
      </c>
      <c r="AS12" s="85">
        <f t="shared" si="8"/>
        <v>45518</v>
      </c>
      <c r="AT12" s="85">
        <f t="shared" si="8"/>
        <v>45519</v>
      </c>
      <c r="AU12" s="85">
        <f t="shared" si="8"/>
        <v>45520</v>
      </c>
      <c r="AV12" s="85">
        <f t="shared" si="8"/>
        <v>45523</v>
      </c>
      <c r="AW12" s="85">
        <f t="shared" si="8"/>
        <v>45524</v>
      </c>
      <c r="AX12" s="85">
        <f t="shared" si="8"/>
        <v>45525</v>
      </c>
      <c r="AY12" s="85">
        <f t="shared" si="8"/>
        <v>45526</v>
      </c>
      <c r="AZ12" s="85">
        <f t="shared" si="8"/>
        <v>45527</v>
      </c>
      <c r="BA12" s="85">
        <f t="shared" si="8"/>
        <v>45530</v>
      </c>
      <c r="BB12" s="85">
        <f t="shared" si="8"/>
        <v>45531</v>
      </c>
      <c r="BC12" s="85">
        <f t="shared" si="8"/>
        <v>45532</v>
      </c>
      <c r="BD12" s="85">
        <f t="shared" si="8"/>
        <v>45533</v>
      </c>
      <c r="BE12" s="85">
        <f t="shared" si="8"/>
        <v>45534</v>
      </c>
      <c r="BF12" s="85">
        <f t="shared" si="8"/>
        <v>45537</v>
      </c>
      <c r="BG12" s="85">
        <f t="shared" si="8"/>
        <v>45538</v>
      </c>
      <c r="BH12" s="85">
        <f t="shared" si="8"/>
        <v>45539</v>
      </c>
      <c r="BI12" s="85">
        <f t="shared" si="8"/>
        <v>45540</v>
      </c>
      <c r="BJ12" s="85">
        <f t="shared" si="8"/>
        <v>45541</v>
      </c>
      <c r="BK12" s="85">
        <f t="shared" si="8"/>
        <v>45544</v>
      </c>
      <c r="BL12" s="85">
        <f t="shared" si="8"/>
        <v>45545</v>
      </c>
      <c r="BM12" s="85">
        <f t="shared" si="8"/>
        <v>45546</v>
      </c>
      <c r="BN12" s="85">
        <f t="shared" si="8"/>
        <v>45547</v>
      </c>
      <c r="BO12" s="85">
        <f t="shared" si="8"/>
        <v>45548</v>
      </c>
      <c r="BP12" s="85">
        <f t="shared" si="8"/>
        <v>45551</v>
      </c>
      <c r="BQ12" s="85">
        <f t="shared" si="8"/>
        <v>45552</v>
      </c>
      <c r="BR12" s="85">
        <f t="shared" si="8"/>
        <v>45553</v>
      </c>
      <c r="BS12" s="85">
        <f t="shared" si="8"/>
        <v>45554</v>
      </c>
      <c r="BT12" s="85">
        <f t="shared" si="8"/>
        <v>45555</v>
      </c>
      <c r="BU12" s="85">
        <f t="shared" si="8"/>
        <v>45558</v>
      </c>
      <c r="BV12" s="85">
        <f t="shared" si="8"/>
        <v>45559</v>
      </c>
      <c r="BW12" s="85">
        <f t="shared" si="8"/>
        <v>45560</v>
      </c>
      <c r="BX12" s="85">
        <f t="shared" si="8"/>
        <v>45561</v>
      </c>
      <c r="BY12" s="85">
        <f t="shared" ref="BY12:EJ12" si="9">BY13</f>
        <v>45562</v>
      </c>
      <c r="BZ12" s="85">
        <f t="shared" si="9"/>
        <v>45565</v>
      </c>
      <c r="CA12" s="85">
        <f t="shared" si="9"/>
        <v>45566</v>
      </c>
      <c r="CB12" s="85">
        <f t="shared" si="9"/>
        <v>45567</v>
      </c>
      <c r="CC12" s="85">
        <f t="shared" si="9"/>
        <v>45568</v>
      </c>
      <c r="CD12" s="85">
        <f t="shared" si="9"/>
        <v>45569</v>
      </c>
      <c r="CE12" s="85">
        <f t="shared" si="9"/>
        <v>45572</v>
      </c>
      <c r="CF12" s="85">
        <f t="shared" si="9"/>
        <v>45573</v>
      </c>
      <c r="CG12" s="85">
        <f t="shared" si="9"/>
        <v>45574</v>
      </c>
      <c r="CH12" s="85">
        <f t="shared" si="9"/>
        <v>45575</v>
      </c>
      <c r="CI12" s="85">
        <f t="shared" si="9"/>
        <v>45576</v>
      </c>
      <c r="CJ12" s="85">
        <f t="shared" si="9"/>
        <v>45579</v>
      </c>
      <c r="CK12" s="85">
        <f t="shared" si="9"/>
        <v>45580</v>
      </c>
      <c r="CL12" s="85">
        <f t="shared" si="9"/>
        <v>45581</v>
      </c>
      <c r="CM12" s="85">
        <f t="shared" si="9"/>
        <v>45582</v>
      </c>
      <c r="CN12" s="85">
        <f t="shared" si="9"/>
        <v>45583</v>
      </c>
      <c r="CO12" s="85">
        <f t="shared" si="9"/>
        <v>45586</v>
      </c>
      <c r="CP12" s="85">
        <f t="shared" si="9"/>
        <v>45587</v>
      </c>
      <c r="CQ12" s="85">
        <f t="shared" si="9"/>
        <v>45588</v>
      </c>
      <c r="CR12" s="85">
        <f t="shared" si="9"/>
        <v>45589</v>
      </c>
      <c r="CS12" s="85">
        <f t="shared" si="9"/>
        <v>45590</v>
      </c>
      <c r="CT12" s="85">
        <f t="shared" si="9"/>
        <v>45593</v>
      </c>
      <c r="CU12" s="85">
        <f t="shared" si="9"/>
        <v>45594</v>
      </c>
      <c r="CV12" s="85">
        <f t="shared" si="9"/>
        <v>45595</v>
      </c>
      <c r="CW12" s="85">
        <f t="shared" si="9"/>
        <v>45596</v>
      </c>
      <c r="CX12" s="85">
        <f t="shared" si="9"/>
        <v>45597</v>
      </c>
      <c r="CY12" s="85">
        <f t="shared" si="9"/>
        <v>45600</v>
      </c>
      <c r="CZ12" s="85">
        <f t="shared" si="9"/>
        <v>45601</v>
      </c>
      <c r="DA12" s="85">
        <f t="shared" si="9"/>
        <v>45602</v>
      </c>
      <c r="DB12" s="85">
        <f t="shared" si="9"/>
        <v>45603</v>
      </c>
      <c r="DC12" s="85">
        <f t="shared" si="9"/>
        <v>45604</v>
      </c>
      <c r="DD12" s="85">
        <f t="shared" si="9"/>
        <v>45607</v>
      </c>
      <c r="DE12" s="85">
        <f t="shared" si="9"/>
        <v>45608</v>
      </c>
      <c r="DF12" s="85">
        <f t="shared" si="9"/>
        <v>45609</v>
      </c>
      <c r="DG12" s="85">
        <f t="shared" si="9"/>
        <v>45610</v>
      </c>
      <c r="DH12" s="85">
        <f t="shared" si="9"/>
        <v>45611</v>
      </c>
      <c r="DI12" s="85">
        <f t="shared" si="9"/>
        <v>45614</v>
      </c>
      <c r="DJ12" s="85">
        <f t="shared" si="9"/>
        <v>45615</v>
      </c>
      <c r="DK12" s="85">
        <f t="shared" si="9"/>
        <v>45616</v>
      </c>
      <c r="DL12" s="85">
        <f t="shared" si="9"/>
        <v>45617</v>
      </c>
      <c r="DM12" s="85">
        <f t="shared" si="9"/>
        <v>45618</v>
      </c>
      <c r="DN12" s="85">
        <f t="shared" si="9"/>
        <v>45621</v>
      </c>
      <c r="DO12" s="85">
        <f t="shared" si="9"/>
        <v>45622</v>
      </c>
      <c r="DP12" s="85">
        <f t="shared" si="9"/>
        <v>45623</v>
      </c>
      <c r="DQ12" s="85">
        <f t="shared" si="9"/>
        <v>45624</v>
      </c>
      <c r="DR12" s="85">
        <f t="shared" si="9"/>
        <v>45625</v>
      </c>
      <c r="DS12" s="85">
        <f t="shared" si="9"/>
        <v>45628</v>
      </c>
      <c r="DT12" s="85">
        <f t="shared" si="9"/>
        <v>45629</v>
      </c>
      <c r="DU12" s="85">
        <f t="shared" si="9"/>
        <v>45630</v>
      </c>
      <c r="DV12" s="85">
        <f t="shared" si="9"/>
        <v>45631</v>
      </c>
      <c r="DW12" s="85">
        <f t="shared" si="9"/>
        <v>45632</v>
      </c>
      <c r="DX12" s="85">
        <f t="shared" si="9"/>
        <v>45635</v>
      </c>
      <c r="DY12" s="85">
        <f t="shared" si="9"/>
        <v>45636</v>
      </c>
      <c r="DZ12" s="85">
        <f t="shared" si="9"/>
        <v>45637</v>
      </c>
      <c r="EA12" s="85">
        <f t="shared" si="9"/>
        <v>45638</v>
      </c>
      <c r="EB12" s="85">
        <f t="shared" si="9"/>
        <v>45639</v>
      </c>
      <c r="EC12" s="85">
        <f t="shared" si="9"/>
        <v>45642</v>
      </c>
      <c r="ED12" s="85">
        <f t="shared" si="9"/>
        <v>45643</v>
      </c>
      <c r="EE12" s="85">
        <f t="shared" si="9"/>
        <v>45644</v>
      </c>
      <c r="EF12" s="85">
        <f t="shared" si="9"/>
        <v>45645</v>
      </c>
      <c r="EG12" s="85">
        <f t="shared" si="9"/>
        <v>45646</v>
      </c>
      <c r="EH12" s="85">
        <f t="shared" si="9"/>
        <v>45649</v>
      </c>
      <c r="EI12" s="85">
        <f t="shared" si="9"/>
        <v>45650</v>
      </c>
      <c r="EJ12" s="85">
        <f t="shared" si="9"/>
        <v>45651</v>
      </c>
      <c r="EK12" s="85">
        <f t="shared" ref="EK12:FK12" si="10">EK13</f>
        <v>45652</v>
      </c>
      <c r="EL12" s="85">
        <f t="shared" si="10"/>
        <v>45653</v>
      </c>
      <c r="EM12" s="85">
        <f t="shared" si="10"/>
        <v>45656</v>
      </c>
      <c r="EN12" s="85">
        <f t="shared" si="10"/>
        <v>45657</v>
      </c>
      <c r="EO12" s="85">
        <f t="shared" si="10"/>
        <v>45658</v>
      </c>
      <c r="EP12" s="85">
        <f t="shared" si="10"/>
        <v>45659</v>
      </c>
      <c r="EQ12" s="85">
        <f t="shared" si="10"/>
        <v>45660</v>
      </c>
      <c r="ER12" s="85">
        <f t="shared" si="10"/>
        <v>45663</v>
      </c>
      <c r="ES12" s="85">
        <f t="shared" si="10"/>
        <v>45664</v>
      </c>
      <c r="ET12" s="85">
        <f t="shared" si="10"/>
        <v>45665</v>
      </c>
      <c r="EU12" s="85">
        <f t="shared" si="10"/>
        <v>45666</v>
      </c>
      <c r="EV12" s="85">
        <f t="shared" si="10"/>
        <v>45667</v>
      </c>
      <c r="EW12" s="85">
        <f t="shared" si="10"/>
        <v>45670</v>
      </c>
      <c r="EX12" s="85">
        <f t="shared" si="10"/>
        <v>45671</v>
      </c>
      <c r="EY12" s="85">
        <f t="shared" si="10"/>
        <v>45672</v>
      </c>
      <c r="EZ12" s="85">
        <f t="shared" si="10"/>
        <v>45673</v>
      </c>
      <c r="FA12" s="85">
        <f t="shared" si="10"/>
        <v>45674</v>
      </c>
      <c r="FB12" s="85">
        <f t="shared" si="10"/>
        <v>45677</v>
      </c>
      <c r="FC12" s="85">
        <f t="shared" si="10"/>
        <v>45678</v>
      </c>
      <c r="FD12" s="85">
        <f t="shared" si="10"/>
        <v>45679</v>
      </c>
      <c r="FE12" s="85">
        <f t="shared" si="10"/>
        <v>45680</v>
      </c>
      <c r="FF12" s="85">
        <f t="shared" si="10"/>
        <v>45681</v>
      </c>
      <c r="FG12" s="85">
        <f t="shared" si="10"/>
        <v>45684</v>
      </c>
      <c r="FH12" s="85">
        <f t="shared" si="10"/>
        <v>45685</v>
      </c>
      <c r="FI12" s="85">
        <f t="shared" si="10"/>
        <v>45686</v>
      </c>
      <c r="FJ12" s="85">
        <f t="shared" si="10"/>
        <v>45687</v>
      </c>
      <c r="FK12" s="85">
        <f t="shared" si="10"/>
        <v>45688</v>
      </c>
    </row>
    <row r="13" spans="1:168">
      <c r="B13" s="69" t="s">
        <v>13</v>
      </c>
      <c r="C13" s="70" t="s">
        <v>14</v>
      </c>
      <c r="D13" s="70" t="s">
        <v>15</v>
      </c>
      <c r="E13" s="70" t="s">
        <v>16</v>
      </c>
      <c r="F13" s="70" t="s">
        <v>17</v>
      </c>
      <c r="G13" s="70" t="s">
        <v>18</v>
      </c>
      <c r="H13" s="70" t="s">
        <v>19</v>
      </c>
      <c r="I13" s="70" t="s">
        <v>433</v>
      </c>
      <c r="J13" s="70" t="s">
        <v>21</v>
      </c>
      <c r="K13" s="71" t="s">
        <v>25</v>
      </c>
      <c r="L13" s="83" t="s">
        <v>26</v>
      </c>
      <c r="M13" s="86">
        <v>45474</v>
      </c>
      <c r="N13" s="86">
        <f t="shared" ref="N13:BY13" si="11">WORKDAY(M13,1)</f>
        <v>45475</v>
      </c>
      <c r="O13" s="86">
        <f t="shared" si="11"/>
        <v>45476</v>
      </c>
      <c r="P13" s="86">
        <f t="shared" si="11"/>
        <v>45477</v>
      </c>
      <c r="Q13" s="86">
        <f t="shared" si="11"/>
        <v>45478</v>
      </c>
      <c r="R13" s="86">
        <f t="shared" si="11"/>
        <v>45481</v>
      </c>
      <c r="S13" s="86">
        <f t="shared" si="11"/>
        <v>45482</v>
      </c>
      <c r="T13" s="86">
        <f t="shared" si="11"/>
        <v>45483</v>
      </c>
      <c r="U13" s="86">
        <f t="shared" si="11"/>
        <v>45484</v>
      </c>
      <c r="V13" s="86">
        <f t="shared" si="11"/>
        <v>45485</v>
      </c>
      <c r="W13" s="86">
        <f t="shared" si="11"/>
        <v>45488</v>
      </c>
      <c r="X13" s="86">
        <f t="shared" si="11"/>
        <v>45489</v>
      </c>
      <c r="Y13" s="86">
        <f t="shared" si="11"/>
        <v>45490</v>
      </c>
      <c r="Z13" s="86">
        <f t="shared" si="11"/>
        <v>45491</v>
      </c>
      <c r="AA13" s="86">
        <f t="shared" si="11"/>
        <v>45492</v>
      </c>
      <c r="AB13" s="86">
        <f t="shared" si="11"/>
        <v>45495</v>
      </c>
      <c r="AC13" s="86">
        <f t="shared" si="11"/>
        <v>45496</v>
      </c>
      <c r="AD13" s="86">
        <f t="shared" si="11"/>
        <v>45497</v>
      </c>
      <c r="AE13" s="86">
        <f t="shared" si="11"/>
        <v>45498</v>
      </c>
      <c r="AF13" s="86">
        <f t="shared" si="11"/>
        <v>45499</v>
      </c>
      <c r="AG13" s="86">
        <f t="shared" si="11"/>
        <v>45502</v>
      </c>
      <c r="AH13" s="86">
        <f t="shared" si="11"/>
        <v>45503</v>
      </c>
      <c r="AI13" s="86">
        <f t="shared" si="11"/>
        <v>45504</v>
      </c>
      <c r="AJ13" s="86">
        <f t="shared" si="11"/>
        <v>45505</v>
      </c>
      <c r="AK13" s="86">
        <f t="shared" si="11"/>
        <v>45506</v>
      </c>
      <c r="AL13" s="86">
        <f t="shared" si="11"/>
        <v>45509</v>
      </c>
      <c r="AM13" s="86">
        <f t="shared" si="11"/>
        <v>45510</v>
      </c>
      <c r="AN13" s="86">
        <f t="shared" si="11"/>
        <v>45511</v>
      </c>
      <c r="AO13" s="86">
        <f t="shared" si="11"/>
        <v>45512</v>
      </c>
      <c r="AP13" s="86">
        <f t="shared" si="11"/>
        <v>45513</v>
      </c>
      <c r="AQ13" s="86">
        <f t="shared" si="11"/>
        <v>45516</v>
      </c>
      <c r="AR13" s="86">
        <f t="shared" si="11"/>
        <v>45517</v>
      </c>
      <c r="AS13" s="86">
        <f t="shared" si="11"/>
        <v>45518</v>
      </c>
      <c r="AT13" s="86">
        <f t="shared" si="11"/>
        <v>45519</v>
      </c>
      <c r="AU13" s="86">
        <f t="shared" si="11"/>
        <v>45520</v>
      </c>
      <c r="AV13" s="86">
        <f t="shared" si="11"/>
        <v>45523</v>
      </c>
      <c r="AW13" s="86">
        <f t="shared" si="11"/>
        <v>45524</v>
      </c>
      <c r="AX13" s="86">
        <f t="shared" si="11"/>
        <v>45525</v>
      </c>
      <c r="AY13" s="86">
        <f t="shared" si="11"/>
        <v>45526</v>
      </c>
      <c r="AZ13" s="86">
        <f t="shared" si="11"/>
        <v>45527</v>
      </c>
      <c r="BA13" s="86">
        <f t="shared" si="11"/>
        <v>45530</v>
      </c>
      <c r="BB13" s="86">
        <f t="shared" si="11"/>
        <v>45531</v>
      </c>
      <c r="BC13" s="86">
        <f t="shared" si="11"/>
        <v>45532</v>
      </c>
      <c r="BD13" s="86">
        <f t="shared" si="11"/>
        <v>45533</v>
      </c>
      <c r="BE13" s="86">
        <f t="shared" si="11"/>
        <v>45534</v>
      </c>
      <c r="BF13" s="86">
        <f t="shared" si="11"/>
        <v>45537</v>
      </c>
      <c r="BG13" s="86">
        <f t="shared" si="11"/>
        <v>45538</v>
      </c>
      <c r="BH13" s="86">
        <f t="shared" si="11"/>
        <v>45539</v>
      </c>
      <c r="BI13" s="86">
        <f t="shared" si="11"/>
        <v>45540</v>
      </c>
      <c r="BJ13" s="86">
        <f t="shared" si="11"/>
        <v>45541</v>
      </c>
      <c r="BK13" s="86">
        <f t="shared" si="11"/>
        <v>45544</v>
      </c>
      <c r="BL13" s="86">
        <f t="shared" si="11"/>
        <v>45545</v>
      </c>
      <c r="BM13" s="86">
        <f t="shared" si="11"/>
        <v>45546</v>
      </c>
      <c r="BN13" s="86">
        <f t="shared" si="11"/>
        <v>45547</v>
      </c>
      <c r="BO13" s="86">
        <f t="shared" si="11"/>
        <v>45548</v>
      </c>
      <c r="BP13" s="86">
        <f t="shared" si="11"/>
        <v>45551</v>
      </c>
      <c r="BQ13" s="86">
        <f t="shared" si="11"/>
        <v>45552</v>
      </c>
      <c r="BR13" s="86">
        <f t="shared" si="11"/>
        <v>45553</v>
      </c>
      <c r="BS13" s="86">
        <f t="shared" si="11"/>
        <v>45554</v>
      </c>
      <c r="BT13" s="86">
        <f t="shared" si="11"/>
        <v>45555</v>
      </c>
      <c r="BU13" s="86">
        <f t="shared" si="11"/>
        <v>45558</v>
      </c>
      <c r="BV13" s="86">
        <f t="shared" si="11"/>
        <v>45559</v>
      </c>
      <c r="BW13" s="86">
        <f t="shared" si="11"/>
        <v>45560</v>
      </c>
      <c r="BX13" s="86">
        <f t="shared" si="11"/>
        <v>45561</v>
      </c>
      <c r="BY13" s="86">
        <f t="shared" si="11"/>
        <v>45562</v>
      </c>
      <c r="BZ13" s="86">
        <f t="shared" ref="BZ13:EK13" si="12">WORKDAY(BY13,1)</f>
        <v>45565</v>
      </c>
      <c r="CA13" s="86">
        <f t="shared" si="12"/>
        <v>45566</v>
      </c>
      <c r="CB13" s="86">
        <f t="shared" si="12"/>
        <v>45567</v>
      </c>
      <c r="CC13" s="86">
        <f t="shared" si="12"/>
        <v>45568</v>
      </c>
      <c r="CD13" s="86">
        <f t="shared" si="12"/>
        <v>45569</v>
      </c>
      <c r="CE13" s="86">
        <f t="shared" si="12"/>
        <v>45572</v>
      </c>
      <c r="CF13" s="86">
        <f t="shared" si="12"/>
        <v>45573</v>
      </c>
      <c r="CG13" s="86">
        <f t="shared" si="12"/>
        <v>45574</v>
      </c>
      <c r="CH13" s="86">
        <f t="shared" si="12"/>
        <v>45575</v>
      </c>
      <c r="CI13" s="86">
        <f t="shared" si="12"/>
        <v>45576</v>
      </c>
      <c r="CJ13" s="86">
        <f t="shared" si="12"/>
        <v>45579</v>
      </c>
      <c r="CK13" s="86">
        <f t="shared" si="12"/>
        <v>45580</v>
      </c>
      <c r="CL13" s="86">
        <f t="shared" si="12"/>
        <v>45581</v>
      </c>
      <c r="CM13" s="86">
        <f t="shared" si="12"/>
        <v>45582</v>
      </c>
      <c r="CN13" s="86">
        <f t="shared" si="12"/>
        <v>45583</v>
      </c>
      <c r="CO13" s="86">
        <f t="shared" si="12"/>
        <v>45586</v>
      </c>
      <c r="CP13" s="86">
        <f t="shared" si="12"/>
        <v>45587</v>
      </c>
      <c r="CQ13" s="86">
        <f t="shared" si="12"/>
        <v>45588</v>
      </c>
      <c r="CR13" s="86">
        <f t="shared" si="12"/>
        <v>45589</v>
      </c>
      <c r="CS13" s="86">
        <f t="shared" si="12"/>
        <v>45590</v>
      </c>
      <c r="CT13" s="86">
        <f t="shared" si="12"/>
        <v>45593</v>
      </c>
      <c r="CU13" s="86">
        <f t="shared" si="12"/>
        <v>45594</v>
      </c>
      <c r="CV13" s="86">
        <f t="shared" si="12"/>
        <v>45595</v>
      </c>
      <c r="CW13" s="86">
        <f t="shared" si="12"/>
        <v>45596</v>
      </c>
      <c r="CX13" s="86">
        <f t="shared" si="12"/>
        <v>45597</v>
      </c>
      <c r="CY13" s="86">
        <f t="shared" si="12"/>
        <v>45600</v>
      </c>
      <c r="CZ13" s="86">
        <f t="shared" si="12"/>
        <v>45601</v>
      </c>
      <c r="DA13" s="86">
        <f t="shared" si="12"/>
        <v>45602</v>
      </c>
      <c r="DB13" s="86">
        <f t="shared" si="12"/>
        <v>45603</v>
      </c>
      <c r="DC13" s="86">
        <f t="shared" si="12"/>
        <v>45604</v>
      </c>
      <c r="DD13" s="86">
        <f t="shared" si="12"/>
        <v>45607</v>
      </c>
      <c r="DE13" s="86">
        <f t="shared" si="12"/>
        <v>45608</v>
      </c>
      <c r="DF13" s="86">
        <f t="shared" si="12"/>
        <v>45609</v>
      </c>
      <c r="DG13" s="86">
        <f t="shared" si="12"/>
        <v>45610</v>
      </c>
      <c r="DH13" s="86">
        <f t="shared" si="12"/>
        <v>45611</v>
      </c>
      <c r="DI13" s="86">
        <f t="shared" si="12"/>
        <v>45614</v>
      </c>
      <c r="DJ13" s="86">
        <f t="shared" si="12"/>
        <v>45615</v>
      </c>
      <c r="DK13" s="86">
        <f t="shared" si="12"/>
        <v>45616</v>
      </c>
      <c r="DL13" s="86">
        <f t="shared" si="12"/>
        <v>45617</v>
      </c>
      <c r="DM13" s="86">
        <f t="shared" si="12"/>
        <v>45618</v>
      </c>
      <c r="DN13" s="86">
        <f t="shared" si="12"/>
        <v>45621</v>
      </c>
      <c r="DO13" s="86">
        <f t="shared" si="12"/>
        <v>45622</v>
      </c>
      <c r="DP13" s="86">
        <f t="shared" si="12"/>
        <v>45623</v>
      </c>
      <c r="DQ13" s="86">
        <f t="shared" si="12"/>
        <v>45624</v>
      </c>
      <c r="DR13" s="86">
        <f t="shared" si="12"/>
        <v>45625</v>
      </c>
      <c r="DS13" s="86">
        <f t="shared" si="12"/>
        <v>45628</v>
      </c>
      <c r="DT13" s="86">
        <f t="shared" si="12"/>
        <v>45629</v>
      </c>
      <c r="DU13" s="86">
        <f t="shared" si="12"/>
        <v>45630</v>
      </c>
      <c r="DV13" s="86">
        <f t="shared" si="12"/>
        <v>45631</v>
      </c>
      <c r="DW13" s="86">
        <f t="shared" si="12"/>
        <v>45632</v>
      </c>
      <c r="DX13" s="86">
        <f t="shared" si="12"/>
        <v>45635</v>
      </c>
      <c r="DY13" s="86">
        <f t="shared" si="12"/>
        <v>45636</v>
      </c>
      <c r="DZ13" s="86">
        <f t="shared" si="12"/>
        <v>45637</v>
      </c>
      <c r="EA13" s="86">
        <f t="shared" si="12"/>
        <v>45638</v>
      </c>
      <c r="EB13" s="86">
        <f t="shared" si="12"/>
        <v>45639</v>
      </c>
      <c r="EC13" s="86">
        <f t="shared" si="12"/>
        <v>45642</v>
      </c>
      <c r="ED13" s="86">
        <f t="shared" si="12"/>
        <v>45643</v>
      </c>
      <c r="EE13" s="86">
        <f t="shared" si="12"/>
        <v>45644</v>
      </c>
      <c r="EF13" s="86">
        <f t="shared" si="12"/>
        <v>45645</v>
      </c>
      <c r="EG13" s="86">
        <f t="shared" si="12"/>
        <v>45646</v>
      </c>
      <c r="EH13" s="86">
        <f t="shared" si="12"/>
        <v>45649</v>
      </c>
      <c r="EI13" s="86">
        <f t="shared" si="12"/>
        <v>45650</v>
      </c>
      <c r="EJ13" s="86">
        <f t="shared" si="12"/>
        <v>45651</v>
      </c>
      <c r="EK13" s="86">
        <f t="shared" si="12"/>
        <v>45652</v>
      </c>
      <c r="EL13" s="86">
        <f t="shared" ref="EL13:FK13" si="13">WORKDAY(EK13,1)</f>
        <v>45653</v>
      </c>
      <c r="EM13" s="86">
        <f t="shared" si="13"/>
        <v>45656</v>
      </c>
      <c r="EN13" s="86">
        <f t="shared" si="13"/>
        <v>45657</v>
      </c>
      <c r="EO13" s="86">
        <f t="shared" si="13"/>
        <v>45658</v>
      </c>
      <c r="EP13" s="86">
        <f t="shared" si="13"/>
        <v>45659</v>
      </c>
      <c r="EQ13" s="86">
        <f t="shared" si="13"/>
        <v>45660</v>
      </c>
      <c r="ER13" s="86">
        <f t="shared" si="13"/>
        <v>45663</v>
      </c>
      <c r="ES13" s="86">
        <f t="shared" si="13"/>
        <v>45664</v>
      </c>
      <c r="ET13" s="86">
        <f t="shared" si="13"/>
        <v>45665</v>
      </c>
      <c r="EU13" s="86">
        <f t="shared" si="13"/>
        <v>45666</v>
      </c>
      <c r="EV13" s="86">
        <f t="shared" si="13"/>
        <v>45667</v>
      </c>
      <c r="EW13" s="86">
        <f t="shared" si="13"/>
        <v>45670</v>
      </c>
      <c r="EX13" s="86">
        <f t="shared" si="13"/>
        <v>45671</v>
      </c>
      <c r="EY13" s="86">
        <f t="shared" si="13"/>
        <v>45672</v>
      </c>
      <c r="EZ13" s="86">
        <f t="shared" si="13"/>
        <v>45673</v>
      </c>
      <c r="FA13" s="86">
        <f t="shared" si="13"/>
        <v>45674</v>
      </c>
      <c r="FB13" s="86">
        <f t="shared" si="13"/>
        <v>45677</v>
      </c>
      <c r="FC13" s="86">
        <f t="shared" si="13"/>
        <v>45678</v>
      </c>
      <c r="FD13" s="86">
        <f t="shared" si="13"/>
        <v>45679</v>
      </c>
      <c r="FE13" s="86">
        <f t="shared" si="13"/>
        <v>45680</v>
      </c>
      <c r="FF13" s="86">
        <f t="shared" si="13"/>
        <v>45681</v>
      </c>
      <c r="FG13" s="86">
        <f t="shared" si="13"/>
        <v>45684</v>
      </c>
      <c r="FH13" s="86">
        <f t="shared" si="13"/>
        <v>45685</v>
      </c>
      <c r="FI13" s="86">
        <f t="shared" si="13"/>
        <v>45686</v>
      </c>
      <c r="FJ13" s="86">
        <f t="shared" si="13"/>
        <v>45687</v>
      </c>
      <c r="FK13" s="86">
        <f t="shared" si="13"/>
        <v>45688</v>
      </c>
    </row>
    <row r="14" spans="1:168">
      <c r="B14" s="91" t="s">
        <v>27</v>
      </c>
      <c r="C14" s="92"/>
      <c r="D14" s="92"/>
      <c r="E14" s="92"/>
      <c r="F14" s="92"/>
      <c r="G14" s="92"/>
      <c r="H14" s="92"/>
      <c r="I14" s="114">
        <f>SUM(I15:I18)</f>
        <v>280</v>
      </c>
      <c r="J14" s="114">
        <f>SUM(J15:J18)</f>
        <v>35</v>
      </c>
      <c r="K14" s="95"/>
      <c r="M14" s="160"/>
      <c r="N14" s="160"/>
      <c r="O14" s="160"/>
      <c r="P14" s="160"/>
      <c r="Q14" s="160"/>
      <c r="R14" s="160"/>
      <c r="S14" s="160"/>
      <c r="T14" s="160"/>
      <c r="U14" s="160"/>
      <c r="V14" s="160"/>
      <c r="W14" s="160"/>
      <c r="X14" s="160"/>
      <c r="Y14" s="160"/>
      <c r="Z14" s="160"/>
      <c r="AA14" s="160"/>
      <c r="AB14" s="160"/>
      <c r="AC14" s="160"/>
      <c r="AD14" s="160"/>
      <c r="AE14" s="160"/>
      <c r="AF14" s="160"/>
      <c r="AG14" s="160"/>
      <c r="AH14" s="87"/>
      <c r="AI14" s="87"/>
      <c r="AJ14" s="87"/>
      <c r="AK14" s="87"/>
      <c r="AL14" s="87"/>
      <c r="AM14" s="87"/>
      <c r="AN14" s="87"/>
      <c r="AO14" s="87"/>
      <c r="AP14" s="87"/>
      <c r="AQ14" s="87"/>
      <c r="AR14" s="87"/>
      <c r="AS14" s="87"/>
      <c r="AT14" s="100"/>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100"/>
      <c r="EJ14" s="100"/>
      <c r="EK14" s="100"/>
      <c r="EL14" s="100"/>
      <c r="EM14" s="100"/>
      <c r="EN14" s="100"/>
      <c r="EO14" s="100"/>
      <c r="EP14" s="87"/>
      <c r="EQ14" s="87"/>
      <c r="ER14" s="87"/>
      <c r="ES14" s="87"/>
      <c r="ET14" s="87"/>
      <c r="EU14" s="87"/>
      <c r="EV14" s="87"/>
      <c r="EW14" s="87"/>
      <c r="EX14" s="87"/>
      <c r="EY14" s="87"/>
      <c r="EZ14" s="87"/>
      <c r="FA14" s="87"/>
      <c r="FB14" s="87"/>
      <c r="FC14" s="87"/>
      <c r="FD14" s="87"/>
      <c r="FE14" s="87"/>
      <c r="FF14" s="87"/>
      <c r="FG14" s="87"/>
      <c r="FH14" s="87"/>
      <c r="FI14" s="87"/>
      <c r="FJ14" s="87"/>
      <c r="FK14" s="87"/>
    </row>
    <row r="15" spans="1:168" hidden="1" outlineLevel="1">
      <c r="B15" s="74" t="s">
        <v>28</v>
      </c>
      <c r="C15" s="73" t="s">
        <v>29</v>
      </c>
      <c r="D15" s="73"/>
      <c r="E15" s="73"/>
      <c r="F15" s="73"/>
      <c r="G15" s="73" t="s">
        <v>30</v>
      </c>
      <c r="H15" s="73"/>
      <c r="I15" s="93">
        <f>J15*8</f>
        <v>40</v>
      </c>
      <c r="J15" s="93">
        <v>5</v>
      </c>
      <c r="K15" s="96"/>
      <c r="L15" s="99">
        <f>J15-SUM(M15:FK15)</f>
        <v>0</v>
      </c>
      <c r="M15" s="87"/>
      <c r="N15" s="87"/>
      <c r="O15" s="87"/>
      <c r="P15" s="87"/>
      <c r="Q15" s="87"/>
      <c r="R15" s="87"/>
      <c r="S15" s="87"/>
      <c r="T15" s="87"/>
      <c r="U15" s="87"/>
      <c r="V15" s="87"/>
      <c r="W15" s="87">
        <v>1</v>
      </c>
      <c r="X15" s="87">
        <v>1</v>
      </c>
      <c r="Y15" s="87">
        <v>1</v>
      </c>
      <c r="Z15" s="87">
        <v>1</v>
      </c>
      <c r="AA15" s="87">
        <v>1</v>
      </c>
      <c r="AB15" s="87"/>
      <c r="AC15" s="87"/>
      <c r="AD15" s="87"/>
      <c r="AE15" s="87"/>
      <c r="AF15" s="87"/>
      <c r="AG15" s="87"/>
      <c r="AH15" s="87"/>
      <c r="AI15" s="87"/>
      <c r="AJ15" s="87"/>
      <c r="AK15" s="87"/>
      <c r="AL15" s="87"/>
      <c r="AM15" s="87"/>
      <c r="AN15" s="87"/>
      <c r="AO15" s="87"/>
      <c r="AP15" s="87"/>
      <c r="AQ15" s="87"/>
      <c r="AR15" s="87"/>
      <c r="AS15" s="87"/>
      <c r="AT15" s="100"/>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100"/>
      <c r="EJ15" s="100"/>
      <c r="EK15" s="100"/>
      <c r="EL15" s="100"/>
      <c r="EM15" s="100"/>
      <c r="EN15" s="100"/>
      <c r="EO15" s="100"/>
      <c r="EP15" s="87"/>
      <c r="EQ15" s="87"/>
      <c r="ER15" s="87"/>
      <c r="ES15" s="87"/>
      <c r="ET15" s="87"/>
      <c r="EU15" s="87"/>
      <c r="EV15" s="87"/>
      <c r="EW15" s="87"/>
      <c r="EX15" s="87"/>
      <c r="EY15" s="87"/>
      <c r="EZ15" s="87"/>
      <c r="FA15" s="87"/>
      <c r="FB15" s="87"/>
      <c r="FC15" s="87"/>
      <c r="FD15" s="87"/>
      <c r="FE15" s="87"/>
      <c r="FF15" s="87"/>
      <c r="FG15" s="87"/>
      <c r="FH15" s="87"/>
      <c r="FI15" s="87"/>
      <c r="FJ15" s="87"/>
      <c r="FK15" s="87"/>
    </row>
    <row r="16" spans="1:168" hidden="1" outlineLevel="1">
      <c r="B16" s="74" t="s">
        <v>28</v>
      </c>
      <c r="C16" s="73" t="s">
        <v>31</v>
      </c>
      <c r="D16" s="73"/>
      <c r="E16" s="75"/>
      <c r="F16" s="73"/>
      <c r="G16" s="73" t="s">
        <v>30</v>
      </c>
      <c r="H16" s="73"/>
      <c r="I16" s="93">
        <f>J16*8</f>
        <v>80</v>
      </c>
      <c r="J16" s="93">
        <v>10</v>
      </c>
      <c r="K16" s="96"/>
      <c r="L16" s="99">
        <f>J16-SUM(M16:FK16)</f>
        <v>0</v>
      </c>
      <c r="M16" s="87"/>
      <c r="N16" s="87"/>
      <c r="O16" s="87"/>
      <c r="P16" s="87"/>
      <c r="Q16" s="87"/>
      <c r="R16" s="87">
        <v>2</v>
      </c>
      <c r="S16" s="87">
        <v>2</v>
      </c>
      <c r="T16" s="87">
        <v>2</v>
      </c>
      <c r="U16" s="87">
        <v>2</v>
      </c>
      <c r="V16" s="87">
        <v>2</v>
      </c>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100"/>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100"/>
      <c r="EJ16" s="100"/>
      <c r="EK16" s="100"/>
      <c r="EL16" s="100"/>
      <c r="EM16" s="100"/>
      <c r="EN16" s="100"/>
      <c r="EO16" s="100"/>
      <c r="EP16" s="87"/>
      <c r="EQ16" s="87"/>
      <c r="ER16" s="87"/>
      <c r="ES16" s="87"/>
      <c r="ET16" s="87"/>
      <c r="EU16" s="87"/>
      <c r="EV16" s="87"/>
      <c r="EW16" s="87"/>
      <c r="EX16" s="87"/>
      <c r="EY16" s="87"/>
      <c r="EZ16" s="87"/>
      <c r="FA16" s="87"/>
      <c r="FB16" s="87"/>
      <c r="FC16" s="87"/>
      <c r="FD16" s="87"/>
      <c r="FE16" s="87"/>
      <c r="FF16" s="87"/>
      <c r="FG16" s="87"/>
      <c r="FH16" s="87"/>
      <c r="FI16" s="87"/>
      <c r="FJ16" s="87"/>
      <c r="FK16" s="87"/>
    </row>
    <row r="17" spans="1:167" hidden="1" outlineLevel="1">
      <c r="B17" s="74" t="s">
        <v>28</v>
      </c>
      <c r="C17" s="73" t="s">
        <v>28</v>
      </c>
      <c r="D17" s="73"/>
      <c r="E17" s="73"/>
      <c r="F17" s="73"/>
      <c r="G17" s="73" t="s">
        <v>30</v>
      </c>
      <c r="H17" s="73"/>
      <c r="I17" s="93">
        <f>J17*8</f>
        <v>40</v>
      </c>
      <c r="J17" s="93">
        <v>5</v>
      </c>
      <c r="K17" s="96"/>
      <c r="L17" s="99">
        <f>J17-SUM(M17:FK17)</f>
        <v>0</v>
      </c>
      <c r="M17" s="87"/>
      <c r="N17" s="87"/>
      <c r="O17" s="87"/>
      <c r="P17" s="87"/>
      <c r="Q17" s="87"/>
      <c r="R17" s="87"/>
      <c r="S17" s="87"/>
      <c r="T17" s="87"/>
      <c r="U17" s="87"/>
      <c r="V17" s="87"/>
      <c r="W17" s="87"/>
      <c r="X17" s="87"/>
      <c r="Y17" s="87"/>
      <c r="Z17" s="87"/>
      <c r="AA17" s="87"/>
      <c r="AB17" s="87">
        <v>1</v>
      </c>
      <c r="AC17" s="87">
        <v>1</v>
      </c>
      <c r="AD17" s="87">
        <v>1</v>
      </c>
      <c r="AE17" s="87">
        <v>1</v>
      </c>
      <c r="AF17" s="87">
        <v>0.5</v>
      </c>
      <c r="AG17" s="87">
        <v>0.5</v>
      </c>
      <c r="AH17" s="87"/>
      <c r="AI17" s="87"/>
      <c r="AJ17" s="87"/>
      <c r="AK17" s="87"/>
      <c r="AL17" s="87"/>
      <c r="AM17" s="87"/>
      <c r="AN17" s="87"/>
      <c r="AO17" s="87"/>
      <c r="AP17" s="87"/>
      <c r="AQ17" s="87"/>
      <c r="AR17" s="87"/>
      <c r="AS17" s="87"/>
      <c r="AT17" s="100"/>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100"/>
      <c r="EJ17" s="100"/>
      <c r="EK17" s="100"/>
      <c r="EL17" s="100"/>
      <c r="EM17" s="100"/>
      <c r="EN17" s="100"/>
      <c r="EO17" s="100"/>
      <c r="EP17" s="87"/>
      <c r="EQ17" s="87"/>
      <c r="ER17" s="87"/>
      <c r="ES17" s="87"/>
      <c r="ET17" s="87"/>
      <c r="EU17" s="87"/>
      <c r="EV17" s="87"/>
      <c r="EW17" s="87"/>
      <c r="EX17" s="87"/>
      <c r="EY17" s="87"/>
      <c r="EZ17" s="87"/>
      <c r="FA17" s="87"/>
      <c r="FB17" s="87"/>
      <c r="FC17" s="87"/>
      <c r="FD17" s="87"/>
      <c r="FE17" s="87"/>
      <c r="FF17" s="87"/>
      <c r="FG17" s="87"/>
      <c r="FH17" s="87"/>
      <c r="FI17" s="87"/>
      <c r="FJ17" s="87"/>
      <c r="FK17" s="87"/>
    </row>
    <row r="18" spans="1:167" hidden="1" outlineLevel="1">
      <c r="B18" s="74" t="s">
        <v>32</v>
      </c>
      <c r="C18" s="73" t="s">
        <v>32</v>
      </c>
      <c r="D18" s="73"/>
      <c r="E18" s="73"/>
      <c r="F18" s="73"/>
      <c r="G18" s="73" t="s">
        <v>30</v>
      </c>
      <c r="H18" s="73"/>
      <c r="I18" s="93">
        <f>J18*8</f>
        <v>120</v>
      </c>
      <c r="J18" s="93">
        <v>15</v>
      </c>
      <c r="K18" s="96"/>
      <c r="L18" s="99">
        <f>J18-SUM(M18:FK18)</f>
        <v>0</v>
      </c>
      <c r="M18" s="89">
        <v>3</v>
      </c>
      <c r="N18" s="89">
        <v>3</v>
      </c>
      <c r="O18" s="89">
        <v>3</v>
      </c>
      <c r="P18" s="89">
        <v>3</v>
      </c>
      <c r="Q18" s="89">
        <v>3</v>
      </c>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101"/>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101"/>
      <c r="EJ18" s="101"/>
      <c r="EK18" s="101"/>
      <c r="EL18" s="101"/>
      <c r="EM18" s="101"/>
      <c r="EN18" s="101"/>
      <c r="EO18" s="101"/>
      <c r="EP18" s="89"/>
      <c r="EQ18" s="89"/>
      <c r="ER18" s="89"/>
      <c r="ES18" s="89"/>
      <c r="ET18" s="89"/>
      <c r="EU18" s="89"/>
      <c r="EV18" s="89"/>
      <c r="EW18" s="89"/>
      <c r="EX18" s="89"/>
      <c r="EY18" s="89"/>
      <c r="EZ18" s="89"/>
      <c r="FA18" s="89"/>
      <c r="FB18" s="89"/>
      <c r="FC18" s="89"/>
      <c r="FD18" s="89"/>
      <c r="FE18" s="89"/>
      <c r="FF18" s="89"/>
      <c r="FG18" s="89"/>
      <c r="FH18" s="89"/>
      <c r="FI18" s="89"/>
      <c r="FJ18" s="89"/>
      <c r="FK18" s="89"/>
    </row>
    <row r="19" spans="1:167" ht="10.199999999999999" customHeight="1" collapsed="1">
      <c r="B19" s="73"/>
      <c r="C19" s="73"/>
      <c r="D19" s="73"/>
      <c r="E19" s="73"/>
      <c r="F19" s="73"/>
      <c r="G19" s="73"/>
      <c r="H19" s="73"/>
      <c r="I19" s="93"/>
      <c r="J19" s="93"/>
      <c r="K19" s="97"/>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102"/>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102"/>
      <c r="EJ19" s="102"/>
      <c r="EK19" s="102"/>
      <c r="EL19" s="102"/>
      <c r="EM19" s="102"/>
      <c r="EN19" s="102"/>
      <c r="EO19" s="102"/>
      <c r="EP19" s="88"/>
      <c r="EQ19" s="88"/>
      <c r="ER19" s="88"/>
      <c r="ES19" s="88"/>
      <c r="ET19" s="88"/>
      <c r="EU19" s="88"/>
      <c r="EV19" s="88"/>
      <c r="EW19" s="88"/>
      <c r="EX19" s="88"/>
      <c r="EY19" s="88"/>
      <c r="EZ19" s="88"/>
      <c r="FA19" s="88"/>
      <c r="FB19" s="88"/>
      <c r="FC19" s="88"/>
      <c r="FD19" s="88"/>
      <c r="FE19" s="88"/>
      <c r="FF19" s="88"/>
      <c r="FG19" s="88"/>
      <c r="FH19" s="88"/>
      <c r="FI19" s="88"/>
      <c r="FJ19" s="88"/>
      <c r="FK19" s="88"/>
    </row>
    <row r="20" spans="1:167">
      <c r="B20" s="91" t="s">
        <v>33</v>
      </c>
      <c r="C20" s="92"/>
      <c r="D20" s="92"/>
      <c r="E20" s="92"/>
      <c r="F20" s="92"/>
      <c r="G20" s="92"/>
      <c r="H20" s="92"/>
      <c r="I20" s="114">
        <f>SUM(I21:I23)</f>
        <v>120</v>
      </c>
      <c r="J20" s="114">
        <f>SUM(J21:J23)</f>
        <v>15</v>
      </c>
      <c r="K20" s="95"/>
      <c r="M20" s="90"/>
      <c r="N20" s="90"/>
      <c r="O20" s="90"/>
      <c r="P20" s="90"/>
      <c r="Q20" s="90"/>
      <c r="R20" s="90"/>
      <c r="S20" s="90"/>
      <c r="T20" s="90"/>
      <c r="U20" s="90"/>
      <c r="V20" s="90"/>
      <c r="W20" s="161"/>
      <c r="X20" s="90"/>
      <c r="Y20" s="90"/>
      <c r="Z20" s="90"/>
      <c r="AA20" s="90"/>
      <c r="AB20" s="161"/>
      <c r="AC20" s="90"/>
      <c r="AD20" s="90"/>
      <c r="AE20" s="90"/>
      <c r="AF20" s="90"/>
      <c r="AG20" s="161"/>
      <c r="AH20" s="90"/>
      <c r="AI20" s="90"/>
      <c r="AJ20" s="90"/>
      <c r="AK20" s="90"/>
      <c r="AL20" s="161"/>
      <c r="AM20" s="90"/>
      <c r="AN20" s="90"/>
      <c r="AO20" s="90"/>
      <c r="AP20" s="90"/>
      <c r="AQ20" s="161"/>
      <c r="AR20" s="90"/>
      <c r="AS20" s="90"/>
      <c r="AT20" s="103"/>
      <c r="AU20" s="90"/>
      <c r="AV20" s="161"/>
      <c r="AW20" s="90"/>
      <c r="AX20" s="90"/>
      <c r="AY20" s="90"/>
      <c r="AZ20" s="90"/>
      <c r="BA20" s="161"/>
      <c r="BB20" s="90"/>
      <c r="BC20" s="90"/>
      <c r="BD20" s="90"/>
      <c r="BE20" s="90"/>
      <c r="BF20" s="161"/>
      <c r="BG20" s="90"/>
      <c r="BH20" s="90"/>
      <c r="BI20" s="90"/>
      <c r="BJ20" s="90"/>
      <c r="BK20" s="161"/>
      <c r="BL20" s="90"/>
      <c r="BM20" s="90"/>
      <c r="BN20" s="90"/>
      <c r="BO20" s="90"/>
      <c r="BP20" s="161"/>
      <c r="BQ20" s="90"/>
      <c r="BR20" s="90"/>
      <c r="BS20" s="90"/>
      <c r="BT20" s="90"/>
      <c r="BU20" s="161"/>
      <c r="BV20" s="90"/>
      <c r="BW20" s="90"/>
      <c r="BX20" s="90"/>
      <c r="BY20" s="90"/>
      <c r="BZ20" s="161"/>
      <c r="CA20" s="90"/>
      <c r="CB20" s="90"/>
      <c r="CC20" s="90"/>
      <c r="CD20" s="90"/>
      <c r="CE20" s="161"/>
      <c r="CF20" s="90"/>
      <c r="CG20" s="90"/>
      <c r="CH20" s="90"/>
      <c r="CI20" s="90"/>
      <c r="CJ20" s="161"/>
      <c r="CK20" s="90"/>
      <c r="CL20" s="90"/>
      <c r="CM20" s="90"/>
      <c r="CN20" s="90"/>
      <c r="CO20" s="161"/>
      <c r="CP20" s="90"/>
      <c r="CQ20" s="90"/>
      <c r="CR20" s="90"/>
      <c r="CS20" s="90"/>
      <c r="CT20" s="161"/>
      <c r="CU20" s="90"/>
      <c r="CV20" s="90"/>
      <c r="CW20" s="90"/>
      <c r="CX20" s="90"/>
      <c r="CY20" s="161"/>
      <c r="CZ20" s="90"/>
      <c r="DA20" s="90"/>
      <c r="DB20" s="90"/>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103"/>
      <c r="EJ20" s="103"/>
      <c r="EK20" s="103"/>
      <c r="EL20" s="103"/>
      <c r="EM20" s="103"/>
      <c r="EN20" s="103"/>
      <c r="EO20" s="103"/>
      <c r="EP20" s="90"/>
      <c r="EQ20" s="90"/>
      <c r="ER20" s="90"/>
      <c r="ES20" s="90"/>
      <c r="ET20" s="90"/>
      <c r="EU20" s="90"/>
      <c r="EV20" s="90"/>
      <c r="EW20" s="90"/>
      <c r="EX20" s="90"/>
      <c r="EY20" s="90"/>
      <c r="EZ20" s="90"/>
      <c r="FA20" s="90"/>
      <c r="FB20" s="90"/>
      <c r="FC20" s="90"/>
      <c r="FD20" s="90"/>
      <c r="FE20" s="90"/>
      <c r="FF20" s="90"/>
      <c r="FG20" s="90"/>
      <c r="FH20" s="90"/>
      <c r="FI20" s="90"/>
      <c r="FJ20" s="90"/>
      <c r="FK20" s="90"/>
    </row>
    <row r="21" spans="1:167" hidden="1" outlineLevel="1">
      <c r="B21" s="74" t="s">
        <v>28</v>
      </c>
      <c r="C21" s="73" t="s">
        <v>29</v>
      </c>
      <c r="D21" s="73"/>
      <c r="E21" s="73"/>
      <c r="F21" s="73"/>
      <c r="G21" s="73" t="s">
        <v>30</v>
      </c>
      <c r="H21" s="73"/>
      <c r="I21" s="93">
        <f>J21*8</f>
        <v>40</v>
      </c>
      <c r="J21" s="93">
        <v>5</v>
      </c>
      <c r="K21" s="96"/>
      <c r="L21" s="99">
        <f>J21-SUM(M21:FK21)</f>
        <v>0</v>
      </c>
      <c r="M21" s="87"/>
      <c r="N21" s="87"/>
      <c r="O21" s="87"/>
      <c r="P21" s="87"/>
      <c r="Q21" s="87"/>
      <c r="R21" s="87"/>
      <c r="S21" s="87"/>
      <c r="T21" s="87"/>
      <c r="U21" s="87"/>
      <c r="V21" s="87"/>
      <c r="W21" s="87">
        <v>0.5</v>
      </c>
      <c r="X21" s="87"/>
      <c r="Y21" s="87"/>
      <c r="Z21" s="87"/>
      <c r="AA21" s="87"/>
      <c r="AB21" s="87">
        <v>0.5</v>
      </c>
      <c r="AC21" s="87"/>
      <c r="AD21" s="87"/>
      <c r="AE21" s="87"/>
      <c r="AF21" s="87"/>
      <c r="AG21" s="87">
        <v>0.5</v>
      </c>
      <c r="AH21" s="87"/>
      <c r="AI21" s="87"/>
      <c r="AJ21" s="87"/>
      <c r="AK21" s="87"/>
      <c r="AL21" s="87">
        <v>0.5</v>
      </c>
      <c r="AM21" s="87"/>
      <c r="AN21" s="87"/>
      <c r="AO21" s="87"/>
      <c r="AP21" s="87"/>
      <c r="AQ21" s="87">
        <v>0.5</v>
      </c>
      <c r="AR21" s="87"/>
      <c r="AS21" s="87"/>
      <c r="AT21" s="100"/>
      <c r="AU21" s="87"/>
      <c r="AV21" s="87">
        <v>0.5</v>
      </c>
      <c r="AW21" s="87"/>
      <c r="AX21" s="87"/>
      <c r="AY21" s="87"/>
      <c r="AZ21" s="87"/>
      <c r="BA21" s="87">
        <v>0.5</v>
      </c>
      <c r="BB21" s="87"/>
      <c r="BC21" s="87"/>
      <c r="BD21" s="87"/>
      <c r="BE21" s="87"/>
      <c r="BF21" s="87">
        <v>0.5</v>
      </c>
      <c r="BG21" s="87"/>
      <c r="BH21" s="87"/>
      <c r="BI21" s="87"/>
      <c r="BJ21" s="87"/>
      <c r="BK21" s="87">
        <v>0.5</v>
      </c>
      <c r="BL21" s="87"/>
      <c r="BM21" s="87"/>
      <c r="BN21" s="87"/>
      <c r="BO21" s="87"/>
      <c r="BP21" s="87">
        <v>0.5</v>
      </c>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100"/>
      <c r="EJ21" s="100"/>
      <c r="EK21" s="100"/>
      <c r="EL21" s="100"/>
      <c r="EM21" s="100"/>
      <c r="EN21" s="100"/>
      <c r="EO21" s="100"/>
      <c r="EP21" s="87"/>
      <c r="EQ21" s="87"/>
      <c r="ER21" s="87"/>
      <c r="ES21" s="87"/>
      <c r="ET21" s="87"/>
      <c r="EU21" s="87"/>
      <c r="EV21" s="87"/>
      <c r="EW21" s="87"/>
      <c r="EX21" s="87"/>
      <c r="EY21" s="87"/>
      <c r="EZ21" s="87"/>
      <c r="FA21" s="87"/>
      <c r="FB21" s="87"/>
      <c r="FC21" s="87"/>
      <c r="FD21" s="87"/>
      <c r="FE21" s="87"/>
      <c r="FF21" s="87"/>
      <c r="FG21" s="87"/>
      <c r="FH21" s="87"/>
      <c r="FI21" s="87"/>
      <c r="FJ21" s="87"/>
      <c r="FK21" s="87"/>
    </row>
    <row r="22" spans="1:167" hidden="1" outlineLevel="1">
      <c r="B22" s="74" t="s">
        <v>28</v>
      </c>
      <c r="C22" s="73" t="s">
        <v>31</v>
      </c>
      <c r="D22" s="73"/>
      <c r="E22" s="73"/>
      <c r="F22" s="73"/>
      <c r="G22" s="73" t="s">
        <v>30</v>
      </c>
      <c r="H22" s="73"/>
      <c r="I22" s="93">
        <f>J22*8</f>
        <v>40</v>
      </c>
      <c r="J22" s="93">
        <v>5</v>
      </c>
      <c r="K22" s="96"/>
      <c r="L22" s="99">
        <f>J22-SUM(M22:FK22)</f>
        <v>0</v>
      </c>
      <c r="M22" s="87"/>
      <c r="N22" s="87"/>
      <c r="O22" s="87"/>
      <c r="P22" s="87"/>
      <c r="Q22" s="87"/>
      <c r="R22" s="87"/>
      <c r="S22" s="87"/>
      <c r="T22" s="87"/>
      <c r="U22" s="87"/>
      <c r="V22" s="87"/>
      <c r="W22" s="87">
        <v>0.5</v>
      </c>
      <c r="X22" s="87"/>
      <c r="Y22" s="87"/>
      <c r="Z22" s="87"/>
      <c r="AA22" s="87"/>
      <c r="AB22" s="87">
        <v>0.5</v>
      </c>
      <c r="AC22" s="87"/>
      <c r="AD22" s="87"/>
      <c r="AE22" s="87"/>
      <c r="AF22" s="87"/>
      <c r="AG22" s="87">
        <v>0.5</v>
      </c>
      <c r="AH22" s="87"/>
      <c r="AI22" s="87"/>
      <c r="AJ22" s="87"/>
      <c r="AK22" s="87"/>
      <c r="AL22" s="87">
        <v>0.5</v>
      </c>
      <c r="AM22" s="87"/>
      <c r="AN22" s="87"/>
      <c r="AO22" s="87"/>
      <c r="AP22" s="87"/>
      <c r="AQ22" s="87">
        <v>0.5</v>
      </c>
      <c r="AR22" s="87"/>
      <c r="AS22" s="87"/>
      <c r="AT22" s="100"/>
      <c r="AU22" s="87"/>
      <c r="AV22" s="87">
        <v>0.5</v>
      </c>
      <c r="AW22" s="87"/>
      <c r="AX22" s="87"/>
      <c r="AY22" s="87"/>
      <c r="AZ22" s="87"/>
      <c r="BA22" s="87">
        <v>0.5</v>
      </c>
      <c r="BB22" s="87"/>
      <c r="BC22" s="87"/>
      <c r="BD22" s="87"/>
      <c r="BE22" s="87"/>
      <c r="BF22" s="87">
        <v>0.5</v>
      </c>
      <c r="BG22" s="87"/>
      <c r="BH22" s="87"/>
      <c r="BI22" s="87"/>
      <c r="BJ22" s="87"/>
      <c r="BK22" s="87">
        <v>0.5</v>
      </c>
      <c r="BL22" s="87"/>
      <c r="BM22" s="87"/>
      <c r="BN22" s="87"/>
      <c r="BO22" s="87"/>
      <c r="BP22" s="87">
        <v>0.5</v>
      </c>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100"/>
      <c r="EJ22" s="100"/>
      <c r="EK22" s="100"/>
      <c r="EL22" s="100"/>
      <c r="EM22" s="100"/>
      <c r="EN22" s="100"/>
      <c r="EO22" s="100"/>
      <c r="EP22" s="87"/>
      <c r="EQ22" s="87"/>
      <c r="ER22" s="87"/>
      <c r="ES22" s="87"/>
      <c r="ET22" s="87"/>
      <c r="EU22" s="87"/>
      <c r="EV22" s="87"/>
      <c r="EW22" s="87"/>
      <c r="EX22" s="87"/>
      <c r="EY22" s="87"/>
      <c r="EZ22" s="87"/>
      <c r="FA22" s="87"/>
      <c r="FB22" s="87"/>
      <c r="FC22" s="87"/>
      <c r="FD22" s="87"/>
      <c r="FE22" s="87"/>
      <c r="FF22" s="87"/>
      <c r="FG22" s="87"/>
      <c r="FH22" s="87"/>
      <c r="FI22" s="87"/>
      <c r="FJ22" s="87"/>
      <c r="FK22" s="87"/>
    </row>
    <row r="23" spans="1:167" hidden="1" outlineLevel="1">
      <c r="B23" s="74" t="s">
        <v>28</v>
      </c>
      <c r="C23" s="73" t="s">
        <v>28</v>
      </c>
      <c r="D23" s="73"/>
      <c r="E23" s="73"/>
      <c r="F23" s="73"/>
      <c r="G23" s="73" t="s">
        <v>30</v>
      </c>
      <c r="H23" s="73"/>
      <c r="I23" s="93">
        <f>J23*8</f>
        <v>40</v>
      </c>
      <c r="J23" s="93">
        <v>5</v>
      </c>
      <c r="K23" s="96"/>
      <c r="L23" s="99">
        <f>J23-SUM(M23:FK23)</f>
        <v>0</v>
      </c>
      <c r="M23" s="87"/>
      <c r="N23" s="87"/>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100"/>
      <c r="AU23" s="87"/>
      <c r="AV23" s="87"/>
      <c r="AW23" s="87"/>
      <c r="AX23" s="87"/>
      <c r="AY23" s="87"/>
      <c r="AZ23" s="87"/>
      <c r="BA23" s="87"/>
      <c r="BB23" s="87"/>
      <c r="BC23" s="87"/>
      <c r="BD23" s="87"/>
      <c r="BE23" s="87"/>
      <c r="BF23" s="87">
        <v>0.5</v>
      </c>
      <c r="BG23" s="87"/>
      <c r="BH23" s="87"/>
      <c r="BI23" s="87"/>
      <c r="BJ23" s="87"/>
      <c r="BK23" s="87">
        <v>0.5</v>
      </c>
      <c r="BL23" s="87"/>
      <c r="BM23" s="87"/>
      <c r="BN23" s="87"/>
      <c r="BO23" s="87"/>
      <c r="BP23" s="87">
        <v>0.5</v>
      </c>
      <c r="BQ23" s="87"/>
      <c r="BR23" s="87"/>
      <c r="BS23" s="87"/>
      <c r="BT23" s="87"/>
      <c r="BU23" s="87">
        <v>0.5</v>
      </c>
      <c r="BV23" s="87"/>
      <c r="BW23" s="87"/>
      <c r="BX23" s="87"/>
      <c r="BY23" s="87"/>
      <c r="BZ23" s="87">
        <v>0.5</v>
      </c>
      <c r="CA23" s="87"/>
      <c r="CB23" s="87"/>
      <c r="CC23" s="87"/>
      <c r="CD23" s="87"/>
      <c r="CE23" s="87">
        <v>0.5</v>
      </c>
      <c r="CF23" s="87"/>
      <c r="CG23" s="87"/>
      <c r="CH23" s="87"/>
      <c r="CI23" s="87"/>
      <c r="CJ23" s="87">
        <v>0.5</v>
      </c>
      <c r="CK23" s="87"/>
      <c r="CL23" s="87"/>
      <c r="CM23" s="87"/>
      <c r="CN23" s="87"/>
      <c r="CO23" s="87">
        <v>0.5</v>
      </c>
      <c r="CP23" s="87"/>
      <c r="CQ23" s="87"/>
      <c r="CR23" s="87"/>
      <c r="CS23" s="87"/>
      <c r="CT23" s="87">
        <v>0.5</v>
      </c>
      <c r="CU23" s="87"/>
      <c r="CV23" s="87"/>
      <c r="CW23" s="87"/>
      <c r="CX23" s="87"/>
      <c r="CY23" s="87">
        <v>0.5</v>
      </c>
      <c r="CZ23" s="87"/>
      <c r="DA23" s="87"/>
      <c r="DB23" s="87"/>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100"/>
      <c r="EJ23" s="100"/>
      <c r="EK23" s="100"/>
      <c r="EL23" s="100"/>
      <c r="EM23" s="100"/>
      <c r="EN23" s="100"/>
      <c r="EO23" s="100"/>
      <c r="EP23" s="87"/>
      <c r="EQ23" s="87"/>
      <c r="ER23" s="87"/>
      <c r="ES23" s="87"/>
      <c r="ET23" s="87"/>
      <c r="EU23" s="87"/>
      <c r="EV23" s="87"/>
      <c r="EW23" s="87"/>
      <c r="EX23" s="87"/>
      <c r="EY23" s="87"/>
      <c r="EZ23" s="87"/>
      <c r="FA23" s="87"/>
      <c r="FB23" s="87"/>
      <c r="FC23" s="87"/>
      <c r="FD23" s="87"/>
      <c r="FE23" s="87"/>
      <c r="FF23" s="87"/>
      <c r="FG23" s="87"/>
      <c r="FH23" s="87"/>
      <c r="FI23" s="87"/>
      <c r="FJ23" s="87"/>
      <c r="FK23" s="87"/>
    </row>
    <row r="24" spans="1:167" ht="10.199999999999999" customHeight="1" collapsed="1">
      <c r="B24" s="73"/>
      <c r="C24" s="73"/>
      <c r="D24" s="73"/>
      <c r="E24" s="73"/>
      <c r="F24" s="73"/>
      <c r="G24" s="73"/>
      <c r="H24" s="73"/>
      <c r="I24" s="93"/>
      <c r="J24" s="93"/>
      <c r="K24" s="97"/>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102"/>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102"/>
      <c r="EJ24" s="102"/>
      <c r="EK24" s="102"/>
      <c r="EL24" s="102"/>
      <c r="EM24" s="102"/>
      <c r="EN24" s="102"/>
      <c r="EO24" s="102"/>
      <c r="EP24" s="88"/>
      <c r="EQ24" s="88"/>
      <c r="ER24" s="88"/>
      <c r="ES24" s="88"/>
      <c r="ET24" s="88"/>
      <c r="EU24" s="88"/>
      <c r="EV24" s="88"/>
      <c r="EW24" s="88"/>
      <c r="EX24" s="88"/>
      <c r="EY24" s="88"/>
      <c r="EZ24" s="88"/>
      <c r="FA24" s="88"/>
      <c r="FB24" s="88"/>
      <c r="FC24" s="88"/>
      <c r="FD24" s="88"/>
      <c r="FE24" s="88"/>
      <c r="FF24" s="88"/>
      <c r="FG24" s="88"/>
      <c r="FH24" s="88"/>
      <c r="FI24" s="88"/>
      <c r="FJ24" s="88"/>
      <c r="FK24" s="88"/>
    </row>
    <row r="25" spans="1:167">
      <c r="B25" s="91" t="s">
        <v>34</v>
      </c>
      <c r="C25" s="92"/>
      <c r="D25" s="92"/>
      <c r="E25" s="92"/>
      <c r="F25" s="92"/>
      <c r="G25" s="92"/>
      <c r="H25" s="92"/>
      <c r="I25" s="114">
        <f>I26+I27+I42+I198+I362+I447</f>
        <v>2213.7525000000046</v>
      </c>
      <c r="J25" s="114">
        <f>J26+J27+J42+J198+J362+J447</f>
        <v>279</v>
      </c>
      <c r="K25" s="95"/>
      <c r="M25" s="90"/>
      <c r="N25" s="90"/>
      <c r="O25" s="90"/>
      <c r="P25" s="90"/>
      <c r="Q25" s="90"/>
      <c r="R25" s="90"/>
      <c r="S25" s="90"/>
      <c r="T25" s="90"/>
      <c r="U25" s="90"/>
      <c r="V25" s="90"/>
      <c r="W25" s="90"/>
      <c r="X25" s="161"/>
      <c r="Y25" s="161"/>
      <c r="Z25" s="161"/>
      <c r="AA25" s="161"/>
      <c r="AB25" s="161"/>
      <c r="AC25" s="161"/>
      <c r="AD25" s="161"/>
      <c r="AE25" s="161"/>
      <c r="AF25" s="161"/>
      <c r="AG25" s="161"/>
      <c r="AH25" s="161"/>
      <c r="AI25" s="161"/>
      <c r="AJ25" s="161"/>
      <c r="AK25" s="161"/>
      <c r="AL25" s="161"/>
      <c r="AM25" s="161"/>
      <c r="AN25" s="161"/>
      <c r="AO25" s="161"/>
      <c r="AP25" s="161"/>
      <c r="AQ25" s="161"/>
      <c r="AR25" s="161"/>
      <c r="AS25" s="161"/>
      <c r="AT25" s="103"/>
      <c r="AU25" s="161"/>
      <c r="AV25" s="90"/>
      <c r="AW25" s="90"/>
      <c r="AX25" s="161"/>
      <c r="AY25" s="161"/>
      <c r="AZ25" s="161"/>
      <c r="BA25" s="161"/>
      <c r="BB25" s="161"/>
      <c r="BC25" s="161"/>
      <c r="BD25" s="161"/>
      <c r="BE25" s="161"/>
      <c r="BF25" s="161"/>
      <c r="BG25" s="161"/>
      <c r="BH25" s="161"/>
      <c r="BI25" s="161"/>
      <c r="BJ25" s="161"/>
      <c r="BK25" s="161"/>
      <c r="BL25" s="161"/>
      <c r="BM25" s="161"/>
      <c r="BN25" s="161"/>
      <c r="BO25" s="161"/>
      <c r="BP25" s="161"/>
      <c r="BQ25" s="161"/>
      <c r="BR25" s="161"/>
      <c r="BS25" s="161"/>
      <c r="BT25" s="161"/>
      <c r="BU25" s="161"/>
      <c r="BV25" s="161"/>
      <c r="BW25" s="161"/>
      <c r="BX25" s="161"/>
      <c r="BY25" s="161"/>
      <c r="BZ25" s="161"/>
      <c r="CA25" s="161"/>
      <c r="CB25" s="161"/>
      <c r="CC25" s="161"/>
      <c r="CD25" s="161"/>
      <c r="CE25" s="161"/>
      <c r="CF25" s="161"/>
      <c r="CG25" s="161"/>
      <c r="CH25" s="161"/>
      <c r="CI25" s="161"/>
      <c r="CJ25" s="161"/>
      <c r="CK25" s="161"/>
      <c r="CL25" s="161"/>
      <c r="CM25" s="161"/>
      <c r="CN25" s="161"/>
      <c r="CO25" s="161"/>
      <c r="CP25" s="161"/>
      <c r="CQ25" s="161"/>
      <c r="CR25" s="161"/>
      <c r="CS25" s="161"/>
      <c r="CT25" s="161"/>
      <c r="CU25" s="161"/>
      <c r="CV25" s="161"/>
      <c r="CW25" s="161"/>
      <c r="CX25" s="161"/>
      <c r="CY25" s="161"/>
      <c r="CZ25" s="161"/>
      <c r="DA25" s="161"/>
      <c r="DB25" s="161"/>
      <c r="DC25" s="161"/>
      <c r="DD25" s="161"/>
      <c r="DE25" s="161"/>
      <c r="DF25" s="161"/>
      <c r="DG25" s="161"/>
      <c r="DH25" s="161"/>
      <c r="DI25" s="161"/>
      <c r="DJ25" s="161"/>
      <c r="DK25" s="161"/>
      <c r="DL25" s="161"/>
      <c r="DM25" s="161"/>
      <c r="DN25" s="161"/>
      <c r="DO25" s="161"/>
      <c r="DP25" s="161"/>
      <c r="DQ25" s="161"/>
      <c r="DR25" s="161"/>
      <c r="DS25" s="161"/>
      <c r="DT25" s="161"/>
      <c r="DU25" s="161"/>
      <c r="DV25" s="161"/>
      <c r="DW25" s="161"/>
      <c r="DX25" s="161"/>
      <c r="DY25" s="161"/>
      <c r="DZ25" s="161"/>
      <c r="EA25" s="161"/>
      <c r="EB25" s="161"/>
      <c r="EC25" s="161"/>
      <c r="ED25" s="161"/>
      <c r="EE25" s="161"/>
      <c r="EF25" s="161"/>
      <c r="EG25" s="161"/>
      <c r="EH25" s="161"/>
      <c r="EI25" s="103"/>
      <c r="EJ25" s="103"/>
      <c r="EK25" s="103"/>
      <c r="EL25" s="103"/>
      <c r="EM25" s="103"/>
      <c r="EN25" s="103"/>
      <c r="EO25" s="103"/>
      <c r="EP25" s="90"/>
      <c r="EQ25" s="90"/>
      <c r="ER25" s="90"/>
      <c r="ES25" s="90"/>
      <c r="ET25" s="90"/>
      <c r="EU25" s="90"/>
      <c r="EV25" s="90"/>
      <c r="EW25" s="90"/>
      <c r="EX25" s="90"/>
      <c r="EY25" s="90"/>
      <c r="EZ25" s="90"/>
      <c r="FA25" s="90"/>
      <c r="FB25" s="90"/>
      <c r="FC25" s="90"/>
      <c r="FD25" s="90"/>
      <c r="FE25" s="90"/>
      <c r="FF25" s="90"/>
      <c r="FG25" s="90"/>
      <c r="FH25" s="90"/>
      <c r="FI25" s="90"/>
      <c r="FJ25" s="90"/>
      <c r="FK25" s="90"/>
    </row>
    <row r="26" spans="1:167">
      <c r="B26" s="72" t="s">
        <v>434</v>
      </c>
      <c r="C26" s="73"/>
      <c r="D26" s="73"/>
      <c r="E26" s="73"/>
      <c r="F26" s="73"/>
      <c r="G26" s="73" t="s">
        <v>30</v>
      </c>
      <c r="H26" s="73"/>
      <c r="I26" s="108">
        <f>4*22</f>
        <v>88</v>
      </c>
      <c r="J26" s="108">
        <f>I26/8</f>
        <v>11</v>
      </c>
      <c r="K26" s="96"/>
      <c r="L26" s="99">
        <f t="shared" ref="L26:L89" si="14">J26-SUM(M26:FK26)</f>
        <v>0</v>
      </c>
      <c r="M26" s="87"/>
      <c r="N26" s="87"/>
      <c r="O26" s="87"/>
      <c r="P26" s="87"/>
      <c r="Q26" s="87"/>
      <c r="R26" s="87"/>
      <c r="S26" s="87"/>
      <c r="T26" s="87"/>
      <c r="U26" s="87"/>
      <c r="V26" s="87"/>
      <c r="W26" s="87"/>
      <c r="X26" s="87"/>
      <c r="Y26" s="87"/>
      <c r="Z26" s="87"/>
      <c r="AA26" s="87">
        <v>0.5</v>
      </c>
      <c r="AB26" s="87"/>
      <c r="AC26" s="87"/>
      <c r="AD26" s="87"/>
      <c r="AE26" s="87"/>
      <c r="AF26" s="87">
        <v>0.5</v>
      </c>
      <c r="AG26" s="87"/>
      <c r="AH26" s="87"/>
      <c r="AI26" s="87"/>
      <c r="AJ26" s="87"/>
      <c r="AK26" s="87">
        <v>0.5</v>
      </c>
      <c r="AL26" s="87"/>
      <c r="AM26" s="87"/>
      <c r="AN26" s="87"/>
      <c r="AO26" s="87"/>
      <c r="AP26" s="87">
        <v>0.5</v>
      </c>
      <c r="AQ26" s="87"/>
      <c r="AR26" s="87"/>
      <c r="AS26" s="87"/>
      <c r="AT26" s="100"/>
      <c r="AU26" s="87">
        <v>0.5</v>
      </c>
      <c r="AV26" s="87"/>
      <c r="AW26" s="87"/>
      <c r="AX26" s="87"/>
      <c r="AY26" s="87"/>
      <c r="AZ26" s="87">
        <v>0.5</v>
      </c>
      <c r="BA26" s="87"/>
      <c r="BB26" s="87"/>
      <c r="BC26" s="87"/>
      <c r="BD26" s="87"/>
      <c r="BE26" s="87">
        <v>0.5</v>
      </c>
      <c r="BF26" s="87"/>
      <c r="BG26" s="87"/>
      <c r="BH26" s="87"/>
      <c r="BI26" s="87"/>
      <c r="BJ26" s="87">
        <v>0.5</v>
      </c>
      <c r="BK26" s="87"/>
      <c r="BL26" s="87"/>
      <c r="BM26" s="87"/>
      <c r="BN26" s="87"/>
      <c r="BO26" s="87">
        <v>0.5</v>
      </c>
      <c r="BP26" s="87"/>
      <c r="BQ26" s="87"/>
      <c r="BR26" s="87"/>
      <c r="BS26" s="87"/>
      <c r="BT26" s="87">
        <v>0.5</v>
      </c>
      <c r="BU26" s="87"/>
      <c r="BV26" s="87"/>
      <c r="BW26" s="87"/>
      <c r="BX26" s="87"/>
      <c r="BY26" s="87">
        <v>0.5</v>
      </c>
      <c r="BZ26" s="87"/>
      <c r="CA26" s="87"/>
      <c r="CB26" s="87"/>
      <c r="CC26" s="87"/>
      <c r="CD26" s="87">
        <v>0.5</v>
      </c>
      <c r="CE26" s="87"/>
      <c r="CF26" s="87"/>
      <c r="CG26" s="87"/>
      <c r="CH26" s="87"/>
      <c r="CI26" s="87">
        <v>0.5</v>
      </c>
      <c r="CJ26" s="87"/>
      <c r="CK26" s="87"/>
      <c r="CL26" s="87"/>
      <c r="CM26" s="87"/>
      <c r="CN26" s="87">
        <v>0.5</v>
      </c>
      <c r="CO26" s="87"/>
      <c r="CP26" s="87"/>
      <c r="CQ26" s="87"/>
      <c r="CR26" s="87"/>
      <c r="CS26" s="87">
        <v>0.5</v>
      </c>
      <c r="CT26" s="87"/>
      <c r="CU26" s="87"/>
      <c r="CV26" s="87"/>
      <c r="CW26" s="87"/>
      <c r="CX26" s="87">
        <v>0.5</v>
      </c>
      <c r="CY26" s="87"/>
      <c r="CZ26" s="87"/>
      <c r="DA26" s="87"/>
      <c r="DB26" s="87"/>
      <c r="DC26" s="87">
        <v>0.5</v>
      </c>
      <c r="DD26" s="87"/>
      <c r="DE26" s="87"/>
      <c r="DF26" s="87"/>
      <c r="DG26" s="87"/>
      <c r="DH26" s="87">
        <v>0.5</v>
      </c>
      <c r="DI26" s="87"/>
      <c r="DJ26" s="87"/>
      <c r="DK26" s="87"/>
      <c r="DL26" s="87"/>
      <c r="DM26" s="87">
        <v>0.5</v>
      </c>
      <c r="DN26" s="87"/>
      <c r="DO26" s="87"/>
      <c r="DP26" s="87"/>
      <c r="DQ26" s="87"/>
      <c r="DR26" s="87">
        <v>0.5</v>
      </c>
      <c r="DS26" s="87"/>
      <c r="DT26" s="87"/>
      <c r="DU26" s="87"/>
      <c r="DV26" s="87"/>
      <c r="DW26" s="87">
        <v>0.5</v>
      </c>
      <c r="DX26" s="87"/>
      <c r="DY26" s="87"/>
      <c r="DZ26" s="87"/>
      <c r="EA26" s="87"/>
      <c r="EB26" s="87">
        <v>0.5</v>
      </c>
      <c r="EC26" s="87"/>
      <c r="ED26" s="87"/>
      <c r="EE26" s="87"/>
      <c r="EF26" s="87"/>
      <c r="EG26" s="87"/>
      <c r="EH26" s="87"/>
      <c r="EI26" s="100"/>
      <c r="EJ26" s="100"/>
      <c r="EK26" s="100"/>
      <c r="EL26" s="100"/>
      <c r="EM26" s="100"/>
      <c r="EN26" s="100"/>
      <c r="EO26" s="100"/>
      <c r="EP26" s="87"/>
      <c r="EQ26" s="87"/>
      <c r="ER26" s="87"/>
      <c r="ES26" s="87"/>
      <c r="ET26" s="87"/>
      <c r="EU26" s="87"/>
      <c r="EV26" s="87"/>
      <c r="EW26" s="87"/>
      <c r="EX26" s="87"/>
      <c r="EY26" s="87"/>
      <c r="EZ26" s="87"/>
      <c r="FA26" s="87"/>
      <c r="FB26" s="87"/>
      <c r="FC26" s="87"/>
      <c r="FD26" s="87"/>
      <c r="FE26" s="87"/>
      <c r="FF26" s="87"/>
      <c r="FG26" s="87"/>
      <c r="FH26" s="87"/>
      <c r="FI26" s="87"/>
      <c r="FJ26" s="87"/>
      <c r="FK26" s="87"/>
    </row>
    <row r="27" spans="1:167">
      <c r="B27" s="72" t="s">
        <v>28</v>
      </c>
      <c r="C27" s="105" t="s">
        <v>35</v>
      </c>
      <c r="D27" s="73"/>
      <c r="E27" s="73"/>
      <c r="F27" s="73"/>
      <c r="G27" s="73"/>
      <c r="H27" s="73"/>
      <c r="I27" s="108">
        <f>SUM(I28:I41)</f>
        <v>18.239999999999995</v>
      </c>
      <c r="J27" s="108">
        <f>ROUNDUP(I27/8,0)</f>
        <v>3</v>
      </c>
      <c r="K27" s="96"/>
      <c r="L27" s="99">
        <f t="shared" si="14"/>
        <v>0</v>
      </c>
      <c r="M27" s="87"/>
      <c r="N27" s="87"/>
      <c r="O27" s="87"/>
      <c r="P27" s="87"/>
      <c r="Q27" s="87"/>
      <c r="R27" s="87"/>
      <c r="S27" s="87"/>
      <c r="T27" s="87"/>
      <c r="U27" s="87"/>
      <c r="V27" s="87"/>
      <c r="W27" s="87"/>
      <c r="X27" s="87">
        <v>0.5</v>
      </c>
      <c r="Y27" s="87">
        <v>0.5</v>
      </c>
      <c r="Z27" s="87"/>
      <c r="AA27" s="87"/>
      <c r="AB27" s="87"/>
      <c r="AC27" s="87">
        <v>0.5</v>
      </c>
      <c r="AD27" s="87"/>
      <c r="AE27" s="87"/>
      <c r="AF27" s="87"/>
      <c r="AG27" s="87">
        <v>1</v>
      </c>
      <c r="AH27" s="87">
        <v>0.5</v>
      </c>
      <c r="AI27" s="87"/>
      <c r="AJ27" s="87"/>
      <c r="AK27" s="87"/>
      <c r="AL27" s="87"/>
      <c r="AM27" s="87"/>
      <c r="AN27" s="87"/>
      <c r="AO27" s="87"/>
      <c r="AP27" s="87"/>
      <c r="AQ27" s="87"/>
      <c r="AR27" s="87"/>
      <c r="AS27" s="87"/>
      <c r="AT27" s="100"/>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100"/>
      <c r="EJ27" s="100"/>
      <c r="EK27" s="100"/>
      <c r="EL27" s="100"/>
      <c r="EM27" s="100"/>
      <c r="EN27" s="100"/>
      <c r="EO27" s="100"/>
      <c r="EP27" s="87"/>
      <c r="EQ27" s="87"/>
      <c r="ER27" s="87"/>
      <c r="ES27" s="87"/>
      <c r="ET27" s="87"/>
      <c r="EU27" s="87"/>
      <c r="EV27" s="87"/>
      <c r="EW27" s="87"/>
      <c r="EX27" s="87"/>
      <c r="EY27" s="87"/>
      <c r="EZ27" s="87"/>
      <c r="FA27" s="87"/>
      <c r="FB27" s="87"/>
      <c r="FC27" s="87"/>
      <c r="FD27" s="87"/>
      <c r="FE27" s="87"/>
      <c r="FF27" s="87"/>
      <c r="FG27" s="87"/>
      <c r="FH27" s="87"/>
      <c r="FI27" s="87"/>
      <c r="FJ27" s="87"/>
      <c r="FK27" s="87"/>
    </row>
    <row r="28" spans="1:167" hidden="1" outlineLevel="1">
      <c r="A28" s="31" t="str">
        <f>E28&amp;F28</f>
        <v>cd_imv_inp_certif_estimativan.a.</v>
      </c>
      <c r="B28" s="76" t="s">
        <v>28</v>
      </c>
      <c r="C28" s="77" t="s">
        <v>35</v>
      </c>
      <c r="D28" s="73" t="s">
        <v>36</v>
      </c>
      <c r="E28" s="75" t="s">
        <v>37</v>
      </c>
      <c r="F28" s="73" t="s">
        <v>38</v>
      </c>
      <c r="G28" s="73" t="str">
        <f>INDEX(Auxiliar!$B$16:$B$23,MATCH(Plano_V1!H28,Auxiliar!$C$16:$C$23,0),1)</f>
        <v>6. Em implementação (re-especificação)</v>
      </c>
      <c r="H28" s="73">
        <f>VLOOKUP(A28,'Aux - pivots1'!$A:$B,2,0)</f>
        <v>6</v>
      </c>
      <c r="I28" s="93">
        <f>SUMIFS(Table1[Estimação (horas)],Table1[Tabela],Plano_V1!E28,Table1[Campo],Plano_V1!F28)</f>
        <v>8</v>
      </c>
      <c r="J28" s="93">
        <f t="shared" ref="J28:J40" si="15">I28/8</f>
        <v>1</v>
      </c>
      <c r="K28" s="98" t="s">
        <v>39</v>
      </c>
      <c r="L28" s="99">
        <f t="shared" si="14"/>
        <v>1</v>
      </c>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100"/>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100"/>
      <c r="EJ28" s="100"/>
      <c r="EK28" s="100"/>
      <c r="EL28" s="100"/>
      <c r="EM28" s="100"/>
      <c r="EN28" s="100"/>
      <c r="EO28" s="100"/>
      <c r="EP28" s="87"/>
      <c r="EQ28" s="87"/>
      <c r="ER28" s="87"/>
      <c r="ES28" s="87"/>
      <c r="ET28" s="87"/>
      <c r="EU28" s="87"/>
      <c r="EV28" s="87"/>
      <c r="EW28" s="87"/>
      <c r="EX28" s="87"/>
      <c r="EY28" s="87"/>
      <c r="EZ28" s="87"/>
      <c r="FA28" s="87"/>
      <c r="FB28" s="87"/>
      <c r="FC28" s="87"/>
      <c r="FD28" s="87"/>
      <c r="FE28" s="87"/>
      <c r="FF28" s="87"/>
      <c r="FG28" s="87"/>
      <c r="FH28" s="87"/>
      <c r="FI28" s="87"/>
      <c r="FJ28" s="87"/>
      <c r="FK28" s="87"/>
    </row>
    <row r="29" spans="1:167" hidden="1" outlineLevel="1">
      <c r="A29" s="31" t="str">
        <f t="shared" ref="A29:A92" si="16">E29&amp;F29</f>
        <v>cd_imv_inp_certif_estimativacempbem</v>
      </c>
      <c r="B29" s="76" t="s">
        <v>28</v>
      </c>
      <c r="C29" s="77" t="s">
        <v>35</v>
      </c>
      <c r="D29" s="73" t="s">
        <v>40</v>
      </c>
      <c r="E29" s="75" t="s">
        <v>37</v>
      </c>
      <c r="F29" s="73" t="s">
        <v>41</v>
      </c>
      <c r="G29" s="73" t="str">
        <f>INDEX(Auxiliar!$B$16:$B$23,MATCH(Plano_V1!H29,Auxiliar!$C$16:$C$23,0),1)</f>
        <v>6. Em implementação (re-especificação)</v>
      </c>
      <c r="H29" s="73">
        <f>VLOOKUP(A29,'Aux - pivots1'!$A:$B,2,0)</f>
        <v>6</v>
      </c>
      <c r="I29" s="93">
        <f>SUMIFS(Table1[Estimação (horas)],Table1[Tabela],Plano_V1!E29,Table1[Campo],Plano_V1!F29)</f>
        <v>0.6</v>
      </c>
      <c r="J29" s="93">
        <f t="shared" si="15"/>
        <v>7.4999999999999997E-2</v>
      </c>
      <c r="K29" s="98" t="s">
        <v>39</v>
      </c>
      <c r="L29" s="99">
        <f t="shared" si="14"/>
        <v>7.4999999999999997E-2</v>
      </c>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100"/>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100"/>
      <c r="EJ29" s="100"/>
      <c r="EK29" s="100"/>
      <c r="EL29" s="100"/>
      <c r="EM29" s="100"/>
      <c r="EN29" s="100"/>
      <c r="EO29" s="100"/>
      <c r="EP29" s="87"/>
      <c r="EQ29" s="87"/>
      <c r="ER29" s="87"/>
      <c r="ES29" s="87"/>
      <c r="ET29" s="87"/>
      <c r="EU29" s="87"/>
      <c r="EV29" s="87"/>
      <c r="EW29" s="87"/>
      <c r="EX29" s="87"/>
      <c r="EY29" s="87"/>
      <c r="EZ29" s="87"/>
      <c r="FA29" s="87"/>
      <c r="FB29" s="87"/>
      <c r="FC29" s="87"/>
      <c r="FD29" s="87"/>
      <c r="FE29" s="87"/>
      <c r="FF29" s="87"/>
      <c r="FG29" s="87"/>
      <c r="FH29" s="87"/>
      <c r="FI29" s="87"/>
      <c r="FJ29" s="87"/>
      <c r="FK29" s="87"/>
    </row>
    <row r="30" spans="1:167" hidden="1" outlineLevel="1">
      <c r="A30" s="31" t="str">
        <f t="shared" si="16"/>
        <v>cd_imv_inp_certif_estimativachave_encriptada</v>
      </c>
      <c r="B30" s="76" t="s">
        <v>28</v>
      </c>
      <c r="C30" s="77" t="s">
        <v>35</v>
      </c>
      <c r="D30" s="73" t="s">
        <v>40</v>
      </c>
      <c r="E30" s="75" t="s">
        <v>37</v>
      </c>
      <c r="F30" s="73" t="s">
        <v>42</v>
      </c>
      <c r="G30" s="73" t="str">
        <f>INDEX(Auxiliar!$B$16:$B$23,MATCH(Plano_V1!H30,Auxiliar!$C$16:$C$23,0),1)</f>
        <v>6. Em implementação (re-especificação)</v>
      </c>
      <c r="H30" s="73">
        <f>VLOOKUP(A30,'Aux - pivots1'!$A:$B,2,0)</f>
        <v>6</v>
      </c>
      <c r="I30" s="93">
        <f>SUMIFS(Table1[Estimação (horas)],Table1[Tabela],Plano_V1!E30,Table1[Campo],Plano_V1!F30)</f>
        <v>0.6</v>
      </c>
      <c r="J30" s="93">
        <f t="shared" si="15"/>
        <v>7.4999999999999997E-2</v>
      </c>
      <c r="K30" s="98" t="s">
        <v>39</v>
      </c>
      <c r="L30" s="99">
        <f t="shared" si="14"/>
        <v>7.4999999999999997E-2</v>
      </c>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100"/>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100"/>
      <c r="EJ30" s="100"/>
      <c r="EK30" s="100"/>
      <c r="EL30" s="100"/>
      <c r="EM30" s="100"/>
      <c r="EN30" s="100"/>
      <c r="EO30" s="100"/>
      <c r="EP30" s="87"/>
      <c r="EQ30" s="87"/>
      <c r="ER30" s="87"/>
      <c r="ES30" s="87"/>
      <c r="ET30" s="87"/>
      <c r="EU30" s="87"/>
      <c r="EV30" s="87"/>
      <c r="EW30" s="87"/>
      <c r="EX30" s="87"/>
      <c r="EY30" s="87"/>
      <c r="EZ30" s="87"/>
      <c r="FA30" s="87"/>
      <c r="FB30" s="87"/>
      <c r="FC30" s="87"/>
      <c r="FD30" s="87"/>
      <c r="FE30" s="87"/>
      <c r="FF30" s="87"/>
      <c r="FG30" s="87"/>
      <c r="FH30" s="87"/>
      <c r="FI30" s="87"/>
      <c r="FJ30" s="87"/>
      <c r="FK30" s="87"/>
    </row>
    <row r="31" spans="1:167" hidden="1" outlineLevel="1">
      <c r="A31" s="31" t="str">
        <f t="shared" si="16"/>
        <v>cd_imv_inp_certif_estimativackbalbem</v>
      </c>
      <c r="B31" s="76" t="s">
        <v>28</v>
      </c>
      <c r="C31" s="77" t="s">
        <v>35</v>
      </c>
      <c r="D31" s="73" t="s">
        <v>40</v>
      </c>
      <c r="E31" s="75" t="s">
        <v>37</v>
      </c>
      <c r="F31" s="73" t="s">
        <v>43</v>
      </c>
      <c r="G31" s="73" t="str">
        <f>INDEX(Auxiliar!$B$16:$B$23,MATCH(Plano_V1!H31,Auxiliar!$C$16:$C$23,0),1)</f>
        <v>6. Em implementação (re-especificação)</v>
      </c>
      <c r="H31" s="73">
        <f>VLOOKUP(A31,'Aux - pivots1'!$A:$B,2,0)</f>
        <v>6</v>
      </c>
      <c r="I31" s="93">
        <f>SUMIFS(Table1[Estimação (horas)],Table1[Tabela],Plano_V1!E31,Table1[Campo],Plano_V1!F31)</f>
        <v>0.6</v>
      </c>
      <c r="J31" s="93">
        <f t="shared" si="15"/>
        <v>7.4999999999999997E-2</v>
      </c>
      <c r="K31" s="98" t="s">
        <v>39</v>
      </c>
      <c r="L31" s="99">
        <f t="shared" si="14"/>
        <v>7.4999999999999997E-2</v>
      </c>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100"/>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100"/>
      <c r="EJ31" s="100"/>
      <c r="EK31" s="100"/>
      <c r="EL31" s="100"/>
      <c r="EM31" s="100"/>
      <c r="EN31" s="100"/>
      <c r="EO31" s="100"/>
      <c r="EP31" s="87"/>
      <c r="EQ31" s="87"/>
      <c r="ER31" s="87"/>
      <c r="ES31" s="87"/>
      <c r="ET31" s="87"/>
      <c r="EU31" s="87"/>
      <c r="EV31" s="87"/>
      <c r="EW31" s="87"/>
      <c r="EX31" s="87"/>
      <c r="EY31" s="87"/>
      <c r="EZ31" s="87"/>
      <c r="FA31" s="87"/>
      <c r="FB31" s="87"/>
      <c r="FC31" s="87"/>
      <c r="FD31" s="87"/>
      <c r="FE31" s="87"/>
      <c r="FF31" s="87"/>
      <c r="FG31" s="87"/>
      <c r="FH31" s="87"/>
      <c r="FI31" s="87"/>
      <c r="FJ31" s="87"/>
      <c r="FK31" s="87"/>
    </row>
    <row r="32" spans="1:167" hidden="1" outlineLevel="1">
      <c r="A32" s="31" t="str">
        <f t="shared" si="16"/>
        <v>cd_imv_inp_certif_estimativackctabem</v>
      </c>
      <c r="B32" s="76" t="s">
        <v>28</v>
      </c>
      <c r="C32" s="77" t="s">
        <v>35</v>
      </c>
      <c r="D32" s="73" t="s">
        <v>40</v>
      </c>
      <c r="E32" s="75" t="s">
        <v>37</v>
      </c>
      <c r="F32" s="73" t="s">
        <v>44</v>
      </c>
      <c r="G32" s="73" t="str">
        <f>INDEX(Auxiliar!$B$16:$B$23,MATCH(Plano_V1!H32,Auxiliar!$C$16:$C$23,0),1)</f>
        <v>6. Em implementação (re-especificação)</v>
      </c>
      <c r="H32" s="73">
        <f>VLOOKUP(A32,'Aux - pivots1'!$A:$B,2,0)</f>
        <v>6</v>
      </c>
      <c r="I32" s="93">
        <f>SUMIFS(Table1[Estimação (horas)],Table1[Tabela],Plano_V1!E32,Table1[Campo],Plano_V1!F32)</f>
        <v>0.6</v>
      </c>
      <c r="J32" s="93">
        <f t="shared" si="15"/>
        <v>7.4999999999999997E-2</v>
      </c>
      <c r="K32" s="98" t="s">
        <v>39</v>
      </c>
      <c r="L32" s="99">
        <f t="shared" si="14"/>
        <v>7.4999999999999997E-2</v>
      </c>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100"/>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100"/>
      <c r="EJ32" s="100"/>
      <c r="EK32" s="100"/>
      <c r="EL32" s="100"/>
      <c r="EM32" s="100"/>
      <c r="EN32" s="100"/>
      <c r="EO32" s="100"/>
      <c r="EP32" s="87"/>
      <c r="EQ32" s="87"/>
      <c r="ER32" s="87"/>
      <c r="ES32" s="87"/>
      <c r="ET32" s="87"/>
      <c r="EU32" s="87"/>
      <c r="EV32" s="87"/>
      <c r="EW32" s="87"/>
      <c r="EX32" s="87"/>
      <c r="EY32" s="87"/>
      <c r="EZ32" s="87"/>
      <c r="FA32" s="87"/>
      <c r="FB32" s="87"/>
      <c r="FC32" s="87"/>
      <c r="FD32" s="87"/>
      <c r="FE32" s="87"/>
      <c r="FF32" s="87"/>
      <c r="FG32" s="87"/>
      <c r="FH32" s="87"/>
      <c r="FI32" s="87"/>
      <c r="FJ32" s="87"/>
      <c r="FK32" s="87"/>
    </row>
    <row r="33" spans="1:167" hidden="1" outlineLevel="1">
      <c r="A33" s="31" t="str">
        <f t="shared" si="16"/>
        <v>cd_imv_inp_certif_estimativackrefbem</v>
      </c>
      <c r="B33" s="76" t="s">
        <v>28</v>
      </c>
      <c r="C33" s="77" t="s">
        <v>35</v>
      </c>
      <c r="D33" s="73" t="s">
        <v>40</v>
      </c>
      <c r="E33" s="75" t="s">
        <v>37</v>
      </c>
      <c r="F33" s="73" t="s">
        <v>45</v>
      </c>
      <c r="G33" s="73" t="str">
        <f>INDEX(Auxiliar!$B$16:$B$23,MATCH(Plano_V1!H33,Auxiliar!$C$16:$C$23,0),1)</f>
        <v>6. Em implementação (re-especificação)</v>
      </c>
      <c r="H33" s="73">
        <f>VLOOKUP(A33,'Aux - pivots1'!$A:$B,2,0)</f>
        <v>6</v>
      </c>
      <c r="I33" s="93">
        <f>SUMIFS(Table1[Estimação (horas)],Table1[Tabela],Plano_V1!E33,Table1[Campo],Plano_V1!F33)</f>
        <v>0.6</v>
      </c>
      <c r="J33" s="93">
        <f t="shared" si="15"/>
        <v>7.4999999999999997E-2</v>
      </c>
      <c r="K33" s="98" t="s">
        <v>39</v>
      </c>
      <c r="L33" s="99">
        <f t="shared" si="14"/>
        <v>7.4999999999999997E-2</v>
      </c>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100"/>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100"/>
      <c r="EJ33" s="100"/>
      <c r="EK33" s="100"/>
      <c r="EL33" s="100"/>
      <c r="EM33" s="100"/>
      <c r="EN33" s="100"/>
      <c r="EO33" s="100"/>
      <c r="EP33" s="87"/>
      <c r="EQ33" s="87"/>
      <c r="ER33" s="87"/>
      <c r="ES33" s="87"/>
      <c r="ET33" s="87"/>
      <c r="EU33" s="87"/>
      <c r="EV33" s="87"/>
      <c r="EW33" s="87"/>
      <c r="EX33" s="87"/>
      <c r="EY33" s="87"/>
      <c r="EZ33" s="87"/>
      <c r="FA33" s="87"/>
      <c r="FB33" s="87"/>
      <c r="FC33" s="87"/>
      <c r="FD33" s="87"/>
      <c r="FE33" s="87"/>
      <c r="FF33" s="87"/>
      <c r="FG33" s="87"/>
      <c r="FH33" s="87"/>
      <c r="FI33" s="87"/>
      <c r="FJ33" s="87"/>
      <c r="FK33" s="87"/>
    </row>
    <row r="34" spans="1:167" hidden="1" outlineLevel="1">
      <c r="A34" s="31" t="str">
        <f t="shared" si="16"/>
        <v>cd_imv_inp_certif_estimativadata_extraccao_info</v>
      </c>
      <c r="B34" s="76" t="s">
        <v>28</v>
      </c>
      <c r="C34" s="77" t="s">
        <v>35</v>
      </c>
      <c r="D34" s="73" t="s">
        <v>40</v>
      </c>
      <c r="E34" s="75" t="s">
        <v>37</v>
      </c>
      <c r="F34" s="73" t="s">
        <v>46</v>
      </c>
      <c r="G34" s="73" t="str">
        <f>INDEX(Auxiliar!$B$16:$B$23,MATCH(Plano_V1!H34,Auxiliar!$C$16:$C$23,0),1)</f>
        <v>6. Em implementação (re-especificação)</v>
      </c>
      <c r="H34" s="73">
        <f>VLOOKUP(A34,'Aux - pivots1'!$A:$B,2,0)</f>
        <v>6</v>
      </c>
      <c r="I34" s="93">
        <f>SUMIFS(Table1[Estimação (horas)],Table1[Tabela],Plano_V1!E34,Table1[Campo],Plano_V1!F34)</f>
        <v>0.6</v>
      </c>
      <c r="J34" s="93">
        <f t="shared" si="15"/>
        <v>7.4999999999999997E-2</v>
      </c>
      <c r="K34" s="98" t="s">
        <v>39</v>
      </c>
      <c r="L34" s="99">
        <f t="shared" si="14"/>
        <v>7.4999999999999997E-2</v>
      </c>
      <c r="M34" s="87"/>
      <c r="N34" s="87"/>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100"/>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100"/>
      <c r="EJ34" s="100"/>
      <c r="EK34" s="100"/>
      <c r="EL34" s="100"/>
      <c r="EM34" s="100"/>
      <c r="EN34" s="100"/>
      <c r="EO34" s="100"/>
      <c r="EP34" s="87"/>
      <c r="EQ34" s="87"/>
      <c r="ER34" s="87"/>
      <c r="ES34" s="87"/>
      <c r="ET34" s="87"/>
      <c r="EU34" s="87"/>
      <c r="EV34" s="87"/>
      <c r="EW34" s="87"/>
      <c r="EX34" s="87"/>
      <c r="EY34" s="87"/>
      <c r="EZ34" s="87"/>
      <c r="FA34" s="87"/>
      <c r="FB34" s="87"/>
      <c r="FC34" s="87"/>
      <c r="FD34" s="87"/>
      <c r="FE34" s="87"/>
      <c r="FF34" s="87"/>
      <c r="FG34" s="87"/>
      <c r="FH34" s="87"/>
      <c r="FI34" s="87"/>
      <c r="FJ34" s="87"/>
      <c r="FK34" s="87"/>
    </row>
    <row r="35" spans="1:167" hidden="1" outlineLevel="1">
      <c r="A35" s="31" t="str">
        <f t="shared" si="16"/>
        <v>cd_imv_inp_certif_estimativaepc</v>
      </c>
      <c r="B35" s="76" t="s">
        <v>28</v>
      </c>
      <c r="C35" s="77" t="s">
        <v>35</v>
      </c>
      <c r="D35" s="73" t="s">
        <v>40</v>
      </c>
      <c r="E35" s="75" t="s">
        <v>37</v>
      </c>
      <c r="F35" s="73" t="s">
        <v>47</v>
      </c>
      <c r="G35" s="73" t="str">
        <f>INDEX(Auxiliar!$B$16:$B$23,MATCH(Plano_V1!H35,Auxiliar!$C$16:$C$23,0),1)</f>
        <v>6. Em implementação (re-especificação)</v>
      </c>
      <c r="H35" s="73">
        <f>VLOOKUP(A35,'Aux - pivots1'!$A:$B,2,0)</f>
        <v>6</v>
      </c>
      <c r="I35" s="93">
        <f>SUMIFS(Table1[Estimação (horas)],Table1[Tabela],Plano_V1!E35,Table1[Campo],Plano_V1!F35)</f>
        <v>0.6</v>
      </c>
      <c r="J35" s="93">
        <f t="shared" si="15"/>
        <v>7.4999999999999997E-2</v>
      </c>
      <c r="K35" s="98" t="s">
        <v>39</v>
      </c>
      <c r="L35" s="99">
        <f t="shared" si="14"/>
        <v>7.4999999999999997E-2</v>
      </c>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100"/>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100"/>
      <c r="EJ35" s="100"/>
      <c r="EK35" s="100"/>
      <c r="EL35" s="100"/>
      <c r="EM35" s="100"/>
      <c r="EN35" s="100"/>
      <c r="EO35" s="100"/>
      <c r="EP35" s="87"/>
      <c r="EQ35" s="87"/>
      <c r="ER35" s="87"/>
      <c r="ES35" s="87"/>
      <c r="ET35" s="87"/>
      <c r="EU35" s="87"/>
      <c r="EV35" s="87"/>
      <c r="EW35" s="87"/>
      <c r="EX35" s="87"/>
      <c r="EY35" s="87"/>
      <c r="EZ35" s="87"/>
      <c r="FA35" s="87"/>
      <c r="FB35" s="87"/>
      <c r="FC35" s="87"/>
      <c r="FD35" s="87"/>
      <c r="FE35" s="87"/>
      <c r="FF35" s="87"/>
      <c r="FG35" s="87"/>
      <c r="FH35" s="87"/>
      <c r="FI35" s="87"/>
      <c r="FJ35" s="87"/>
      <c r="FK35" s="87"/>
    </row>
    <row r="36" spans="1:167" hidden="1" outlineLevel="1">
      <c r="A36" s="31" t="str">
        <f t="shared" si="16"/>
        <v>cd_imv_inp_certif_estimativafornecedor</v>
      </c>
      <c r="B36" s="76" t="s">
        <v>28</v>
      </c>
      <c r="C36" s="77" t="s">
        <v>35</v>
      </c>
      <c r="D36" s="73" t="s">
        <v>40</v>
      </c>
      <c r="E36" s="75" t="s">
        <v>37</v>
      </c>
      <c r="F36" s="73" t="s">
        <v>48</v>
      </c>
      <c r="G36" s="73" t="str">
        <f>INDEX(Auxiliar!$B$16:$B$23,MATCH(Plano_V1!H36,Auxiliar!$C$16:$C$23,0),1)</f>
        <v>6. Em implementação (re-especificação)</v>
      </c>
      <c r="H36" s="73">
        <f>VLOOKUP(A36,'Aux - pivots1'!$A:$B,2,0)</f>
        <v>6</v>
      </c>
      <c r="I36" s="93">
        <f>SUMIFS(Table1[Estimação (horas)],Table1[Tabela],Plano_V1!E36,Table1[Campo],Plano_V1!F36)</f>
        <v>0.6</v>
      </c>
      <c r="J36" s="93">
        <f t="shared" si="15"/>
        <v>7.4999999999999997E-2</v>
      </c>
      <c r="K36" s="98" t="s">
        <v>39</v>
      </c>
      <c r="L36" s="99">
        <f t="shared" si="14"/>
        <v>7.4999999999999997E-2</v>
      </c>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100"/>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100"/>
      <c r="EJ36" s="100"/>
      <c r="EK36" s="100"/>
      <c r="EL36" s="100"/>
      <c r="EM36" s="100"/>
      <c r="EN36" s="100"/>
      <c r="EO36" s="100"/>
      <c r="EP36" s="87"/>
      <c r="EQ36" s="87"/>
      <c r="ER36" s="87"/>
      <c r="ES36" s="87"/>
      <c r="ET36" s="87"/>
      <c r="EU36" s="87"/>
      <c r="EV36" s="87"/>
      <c r="EW36" s="87"/>
      <c r="EX36" s="87"/>
      <c r="EY36" s="87"/>
      <c r="EZ36" s="87"/>
      <c r="FA36" s="87"/>
      <c r="FB36" s="87"/>
      <c r="FC36" s="87"/>
      <c r="FD36" s="87"/>
      <c r="FE36" s="87"/>
      <c r="FF36" s="87"/>
      <c r="FG36" s="87"/>
      <c r="FH36" s="87"/>
      <c r="FI36" s="87"/>
      <c r="FJ36" s="87"/>
      <c r="FK36" s="87"/>
    </row>
    <row r="37" spans="1:167" hidden="1" outlineLevel="1">
      <c r="A37" s="31" t="str">
        <f t="shared" si="16"/>
        <v>cd_imv_inp_certif_estimativametodo_info</v>
      </c>
      <c r="B37" s="76" t="s">
        <v>28</v>
      </c>
      <c r="C37" s="77" t="s">
        <v>35</v>
      </c>
      <c r="D37" s="73" t="s">
        <v>40</v>
      </c>
      <c r="E37" s="75" t="s">
        <v>37</v>
      </c>
      <c r="F37" s="73" t="s">
        <v>49</v>
      </c>
      <c r="G37" s="73" t="str">
        <f>INDEX(Auxiliar!$B$16:$B$23,MATCH(Plano_V1!H37,Auxiliar!$C$16:$C$23,0),1)</f>
        <v>6. Em implementação (re-especificação)</v>
      </c>
      <c r="H37" s="73">
        <f>VLOOKUP(A37,'Aux - pivots1'!$A:$B,2,0)</f>
        <v>6</v>
      </c>
      <c r="I37" s="93">
        <f>SUMIFS(Table1[Estimação (horas)],Table1[Tabela],Plano_V1!E37,Table1[Campo],Plano_V1!F37)</f>
        <v>0.6</v>
      </c>
      <c r="J37" s="93">
        <f t="shared" si="15"/>
        <v>7.4999999999999997E-2</v>
      </c>
      <c r="K37" s="98" t="s">
        <v>39</v>
      </c>
      <c r="L37" s="99">
        <f t="shared" si="14"/>
        <v>7.4999999999999997E-2</v>
      </c>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100"/>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100"/>
      <c r="EJ37" s="100"/>
      <c r="EK37" s="100"/>
      <c r="EL37" s="100"/>
      <c r="EM37" s="100"/>
      <c r="EN37" s="100"/>
      <c r="EO37" s="100"/>
      <c r="EP37" s="87"/>
      <c r="EQ37" s="87"/>
      <c r="ER37" s="87"/>
      <c r="ES37" s="87"/>
      <c r="ET37" s="87"/>
      <c r="EU37" s="87"/>
      <c r="EV37" s="87"/>
      <c r="EW37" s="87"/>
      <c r="EX37" s="87"/>
      <c r="EY37" s="87"/>
      <c r="EZ37" s="87"/>
      <c r="FA37" s="87"/>
      <c r="FB37" s="87"/>
      <c r="FC37" s="87"/>
      <c r="FD37" s="87"/>
      <c r="FE37" s="87"/>
      <c r="FF37" s="87"/>
      <c r="FG37" s="87"/>
      <c r="FH37" s="87"/>
      <c r="FI37" s="87"/>
      <c r="FJ37" s="87"/>
      <c r="FK37" s="87"/>
    </row>
    <row r="38" spans="1:167" hidden="1" outlineLevel="1">
      <c r="A38" s="31" t="str">
        <f t="shared" si="16"/>
        <v>cd_imv_inp_certif_estimativascore_qualidade</v>
      </c>
      <c r="B38" s="76" t="s">
        <v>28</v>
      </c>
      <c r="C38" s="77" t="s">
        <v>35</v>
      </c>
      <c r="D38" s="73" t="s">
        <v>40</v>
      </c>
      <c r="E38" s="75" t="s">
        <v>37</v>
      </c>
      <c r="F38" s="73" t="s">
        <v>50</v>
      </c>
      <c r="G38" s="73" t="str">
        <f>INDEX(Auxiliar!$B$16:$B$23,MATCH(Plano_V1!H38,Auxiliar!$C$16:$C$23,0),1)</f>
        <v>6. Em implementação (re-especificação)</v>
      </c>
      <c r="H38" s="73">
        <f>VLOOKUP(A38,'Aux - pivots1'!$A:$B,2,0)</f>
        <v>6</v>
      </c>
      <c r="I38" s="93">
        <f>SUMIFS(Table1[Estimação (horas)],Table1[Tabela],Plano_V1!E38,Table1[Campo],Plano_V1!F38)</f>
        <v>0.6</v>
      </c>
      <c r="J38" s="93">
        <f t="shared" si="15"/>
        <v>7.4999999999999997E-2</v>
      </c>
      <c r="K38" s="98" t="s">
        <v>39</v>
      </c>
      <c r="L38" s="99">
        <f t="shared" si="14"/>
        <v>7.4999999999999997E-2</v>
      </c>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100"/>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100"/>
      <c r="EJ38" s="100"/>
      <c r="EK38" s="100"/>
      <c r="EL38" s="100"/>
      <c r="EM38" s="100"/>
      <c r="EN38" s="100"/>
      <c r="EO38" s="100"/>
      <c r="EP38" s="87"/>
      <c r="EQ38" s="87"/>
      <c r="ER38" s="87"/>
      <c r="ES38" s="87"/>
      <c r="ET38" s="87"/>
      <c r="EU38" s="87"/>
      <c r="EV38" s="87"/>
      <c r="EW38" s="87"/>
      <c r="EX38" s="87"/>
      <c r="EY38" s="87"/>
      <c r="EZ38" s="87"/>
      <c r="FA38" s="87"/>
      <c r="FB38" s="87"/>
      <c r="FC38" s="87"/>
      <c r="FD38" s="87"/>
      <c r="FE38" s="87"/>
      <c r="FF38" s="87"/>
      <c r="FG38" s="87"/>
      <c r="FH38" s="87"/>
      <c r="FI38" s="87"/>
      <c r="FJ38" s="87"/>
      <c r="FK38" s="87"/>
    </row>
    <row r="39" spans="1:167" hidden="1" outlineLevel="1">
      <c r="A39" s="31" t="str">
        <f t="shared" si="16"/>
        <v>cd_imv_inp_certif_estimativavlr_cnsm_ano</v>
      </c>
      <c r="B39" s="76" t="s">
        <v>28</v>
      </c>
      <c r="C39" s="77" t="s">
        <v>35</v>
      </c>
      <c r="D39" s="73" t="s">
        <v>40</v>
      </c>
      <c r="E39" s="75" t="s">
        <v>37</v>
      </c>
      <c r="F39" s="73" t="s">
        <v>51</v>
      </c>
      <c r="G39" s="73" t="str">
        <f>INDEX(Auxiliar!$B$16:$B$23,MATCH(Plano_V1!H39,Auxiliar!$C$16:$C$23,0),1)</f>
        <v>6. Em implementação (re-especificação)</v>
      </c>
      <c r="H39" s="73">
        <f>VLOOKUP(A39,'Aux - pivots1'!$A:$B,2,0)</f>
        <v>6</v>
      </c>
      <c r="I39" s="93">
        <f>SUMIFS(Table1[Estimação (horas)],Table1[Tabela],Plano_V1!E39,Table1[Campo],Plano_V1!F39)</f>
        <v>0.6</v>
      </c>
      <c r="J39" s="93">
        <f t="shared" si="15"/>
        <v>7.4999999999999997E-2</v>
      </c>
      <c r="K39" s="98" t="s">
        <v>39</v>
      </c>
      <c r="L39" s="99">
        <f t="shared" si="14"/>
        <v>7.4999999999999997E-2</v>
      </c>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100"/>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100"/>
      <c r="EJ39" s="100"/>
      <c r="EK39" s="100"/>
      <c r="EL39" s="100"/>
      <c r="EM39" s="100"/>
      <c r="EN39" s="100"/>
      <c r="EO39" s="100"/>
      <c r="EP39" s="87"/>
      <c r="EQ39" s="87"/>
      <c r="ER39" s="87"/>
      <c r="ES39" s="87"/>
      <c r="ET39" s="87"/>
      <c r="EU39" s="87"/>
      <c r="EV39" s="87"/>
      <c r="EW39" s="87"/>
      <c r="EX39" s="87"/>
      <c r="EY39" s="87"/>
      <c r="EZ39" s="87"/>
      <c r="FA39" s="87"/>
      <c r="FB39" s="87"/>
      <c r="FC39" s="87"/>
      <c r="FD39" s="87"/>
      <c r="FE39" s="87"/>
      <c r="FF39" s="87"/>
      <c r="FG39" s="87"/>
      <c r="FH39" s="87"/>
      <c r="FI39" s="87"/>
      <c r="FJ39" s="87"/>
      <c r="FK39" s="87"/>
    </row>
    <row r="40" spans="1:167" hidden="1" outlineLevel="1">
      <c r="A40" s="31" t="str">
        <f t="shared" si="16"/>
        <v>cd_imv_inp_certif_estimativavlr_emss_ano</v>
      </c>
      <c r="B40" s="76" t="s">
        <v>28</v>
      </c>
      <c r="C40" s="77" t="s">
        <v>35</v>
      </c>
      <c r="D40" s="73" t="s">
        <v>40</v>
      </c>
      <c r="E40" s="75" t="s">
        <v>37</v>
      </c>
      <c r="F40" s="73" t="s">
        <v>52</v>
      </c>
      <c r="G40" s="73" t="str">
        <f>INDEX(Auxiliar!$B$16:$B$23,MATCH(Plano_V1!H40,Auxiliar!$C$16:$C$23,0),1)</f>
        <v>6. Em implementação (re-especificação)</v>
      </c>
      <c r="H40" s="73">
        <f>VLOOKUP(A40,'Aux - pivots1'!$A:$B,2,0)</f>
        <v>6</v>
      </c>
      <c r="I40" s="93">
        <f>SUMIFS(Table1[Estimação (horas)],Table1[Tabela],Plano_V1!E40,Table1[Campo],Plano_V1!F40)</f>
        <v>0.6</v>
      </c>
      <c r="J40" s="93">
        <f t="shared" si="15"/>
        <v>7.4999999999999997E-2</v>
      </c>
      <c r="K40" s="98" t="s">
        <v>39</v>
      </c>
      <c r="L40" s="99">
        <f t="shared" si="14"/>
        <v>7.4999999999999997E-2</v>
      </c>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100"/>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100"/>
      <c r="EJ40" s="100"/>
      <c r="EK40" s="100"/>
      <c r="EL40" s="100"/>
      <c r="EM40" s="100"/>
      <c r="EN40" s="100"/>
      <c r="EO40" s="100"/>
      <c r="EP40" s="87"/>
      <c r="EQ40" s="87"/>
      <c r="ER40" s="87"/>
      <c r="ES40" s="87"/>
      <c r="ET40" s="87"/>
      <c r="EU40" s="87"/>
      <c r="EV40" s="87"/>
      <c r="EW40" s="87"/>
      <c r="EX40" s="87"/>
      <c r="EY40" s="87"/>
      <c r="EZ40" s="87"/>
      <c r="FA40" s="87"/>
      <c r="FB40" s="87"/>
      <c r="FC40" s="87"/>
      <c r="FD40" s="87"/>
      <c r="FE40" s="87"/>
      <c r="FF40" s="87"/>
      <c r="FG40" s="87"/>
      <c r="FH40" s="87"/>
      <c r="FI40" s="87"/>
      <c r="FJ40" s="87"/>
      <c r="FK40" s="87"/>
    </row>
    <row r="41" spans="1:167" hidden="1" outlineLevel="1">
      <c r="A41" s="31" t="str">
        <f t="shared" si="16"/>
        <v>Re-testesn.a.</v>
      </c>
      <c r="B41" s="76" t="s">
        <v>28</v>
      </c>
      <c r="C41" s="77" t="s">
        <v>35</v>
      </c>
      <c r="D41" s="73" t="s">
        <v>40</v>
      </c>
      <c r="E41" s="75" t="s">
        <v>53</v>
      </c>
      <c r="F41" s="73" t="s">
        <v>38</v>
      </c>
      <c r="G41" s="73" t="s">
        <v>30</v>
      </c>
      <c r="H41" s="73"/>
      <c r="I41" s="93">
        <f>SUM(I28:I40)*D6</f>
        <v>3.0399999999999991</v>
      </c>
      <c r="J41" s="93">
        <f>I41/8</f>
        <v>0.37999999999999989</v>
      </c>
      <c r="K41" s="98" t="s">
        <v>39</v>
      </c>
      <c r="L41" s="99">
        <f t="shared" si="14"/>
        <v>0.37999999999999989</v>
      </c>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100"/>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100"/>
      <c r="EJ41" s="100"/>
      <c r="EK41" s="100"/>
      <c r="EL41" s="100"/>
      <c r="EM41" s="100"/>
      <c r="EN41" s="100"/>
      <c r="EO41" s="100"/>
      <c r="EP41" s="87"/>
      <c r="EQ41" s="87"/>
      <c r="ER41" s="87"/>
      <c r="ES41" s="87"/>
      <c r="ET41" s="87"/>
      <c r="EU41" s="87"/>
      <c r="EV41" s="87"/>
      <c r="EW41" s="87"/>
      <c r="EX41" s="87"/>
      <c r="EY41" s="87"/>
      <c r="EZ41" s="87"/>
      <c r="FA41" s="87"/>
      <c r="FB41" s="87"/>
      <c r="FC41" s="87"/>
      <c r="FD41" s="87"/>
      <c r="FE41" s="87"/>
      <c r="FF41" s="87"/>
      <c r="FG41" s="87"/>
      <c r="FH41" s="87"/>
      <c r="FI41" s="87"/>
      <c r="FJ41" s="87"/>
      <c r="FK41" s="87"/>
    </row>
    <row r="42" spans="1:167" collapsed="1">
      <c r="A42" s="31" t="str">
        <f t="shared" si="16"/>
        <v/>
      </c>
      <c r="B42" s="72" t="s">
        <v>28</v>
      </c>
      <c r="C42" s="105" t="s">
        <v>54</v>
      </c>
      <c r="D42" s="105"/>
      <c r="E42" s="112"/>
      <c r="F42" s="105"/>
      <c r="G42" s="105"/>
      <c r="H42" s="105"/>
      <c r="I42" s="108">
        <f>SUM(I43:I197)</f>
        <v>798.75000000000239</v>
      </c>
      <c r="J42" s="108">
        <f>ROUNDUP(I42/8,0)</f>
        <v>100</v>
      </c>
      <c r="K42" s="96"/>
      <c r="L42" s="99">
        <f t="shared" si="14"/>
        <v>0</v>
      </c>
      <c r="M42" s="87"/>
      <c r="N42" s="87"/>
      <c r="O42" s="87"/>
      <c r="P42" s="87"/>
      <c r="Q42" s="87"/>
      <c r="R42" s="87"/>
      <c r="S42" s="87"/>
      <c r="T42" s="87"/>
      <c r="U42" s="87"/>
      <c r="V42" s="87"/>
      <c r="W42" s="87"/>
      <c r="X42" s="87"/>
      <c r="Y42" s="87"/>
      <c r="Z42" s="87"/>
      <c r="AA42" s="87"/>
      <c r="AB42" s="87"/>
      <c r="AC42" s="87"/>
      <c r="AD42" s="87"/>
      <c r="AE42" s="87"/>
      <c r="AF42" s="87"/>
      <c r="AG42" s="87"/>
      <c r="AH42" s="87">
        <v>0.5</v>
      </c>
      <c r="AI42" s="87">
        <v>1</v>
      </c>
      <c r="AJ42" s="87">
        <v>1</v>
      </c>
      <c r="AK42" s="87"/>
      <c r="AL42" s="87"/>
      <c r="AM42" s="87">
        <v>1</v>
      </c>
      <c r="AN42" s="87">
        <v>1</v>
      </c>
      <c r="AO42" s="87">
        <v>1</v>
      </c>
      <c r="AP42" s="87">
        <v>0.5</v>
      </c>
      <c r="AQ42" s="87"/>
      <c r="AR42" s="87">
        <v>1</v>
      </c>
      <c r="AS42" s="87">
        <v>2</v>
      </c>
      <c r="AT42" s="100"/>
      <c r="AU42" s="87">
        <v>0.5</v>
      </c>
      <c r="AV42" s="87"/>
      <c r="AW42" s="87"/>
      <c r="AX42" s="87">
        <v>1</v>
      </c>
      <c r="AY42" s="87">
        <v>1</v>
      </c>
      <c r="AZ42" s="87">
        <v>0.5</v>
      </c>
      <c r="BA42" s="87">
        <v>1</v>
      </c>
      <c r="BB42" s="87">
        <v>2</v>
      </c>
      <c r="BC42" s="87">
        <v>2</v>
      </c>
      <c r="BD42" s="87">
        <v>2</v>
      </c>
      <c r="BE42" s="87">
        <v>1.5</v>
      </c>
      <c r="BF42" s="87">
        <v>0.5</v>
      </c>
      <c r="BG42" s="87">
        <v>2</v>
      </c>
      <c r="BH42" s="87">
        <v>2</v>
      </c>
      <c r="BI42" s="87">
        <v>2</v>
      </c>
      <c r="BJ42" s="87">
        <v>1.5</v>
      </c>
      <c r="BK42" s="87">
        <v>0.5</v>
      </c>
      <c r="BL42" s="87">
        <v>2</v>
      </c>
      <c r="BM42" s="87">
        <v>2</v>
      </c>
      <c r="BN42" s="87">
        <v>2</v>
      </c>
      <c r="BO42" s="87">
        <v>1.5</v>
      </c>
      <c r="BP42" s="87">
        <v>1.5</v>
      </c>
      <c r="BQ42" s="87">
        <v>2</v>
      </c>
      <c r="BR42" s="87">
        <v>2</v>
      </c>
      <c r="BS42" s="87">
        <v>2</v>
      </c>
      <c r="BT42" s="87">
        <v>2</v>
      </c>
      <c r="BU42" s="87">
        <v>2</v>
      </c>
      <c r="BV42" s="87">
        <v>2</v>
      </c>
      <c r="BW42" s="87">
        <v>2</v>
      </c>
      <c r="BX42" s="87">
        <v>2</v>
      </c>
      <c r="BY42" s="87">
        <v>2</v>
      </c>
      <c r="BZ42" s="87">
        <v>2</v>
      </c>
      <c r="CA42" s="87">
        <v>2</v>
      </c>
      <c r="CB42" s="87">
        <v>2</v>
      </c>
      <c r="CC42" s="87">
        <v>2</v>
      </c>
      <c r="CD42" s="87">
        <v>2</v>
      </c>
      <c r="CE42" s="87">
        <v>2</v>
      </c>
      <c r="CF42" s="87">
        <v>2</v>
      </c>
      <c r="CG42" s="87">
        <v>2</v>
      </c>
      <c r="CH42" s="87">
        <v>2</v>
      </c>
      <c r="CI42" s="87">
        <v>2</v>
      </c>
      <c r="CJ42" s="87">
        <v>2</v>
      </c>
      <c r="CK42" s="87">
        <v>2</v>
      </c>
      <c r="CL42" s="87">
        <v>2</v>
      </c>
      <c r="CM42" s="87">
        <v>2</v>
      </c>
      <c r="CN42" s="87">
        <v>2</v>
      </c>
      <c r="CO42" s="87">
        <v>2</v>
      </c>
      <c r="CP42" s="87">
        <v>2</v>
      </c>
      <c r="CQ42" s="87">
        <v>2</v>
      </c>
      <c r="CR42" s="87">
        <v>2</v>
      </c>
      <c r="CS42" s="87">
        <v>2</v>
      </c>
      <c r="CT42" s="87">
        <v>2</v>
      </c>
      <c r="CU42" s="87">
        <v>2</v>
      </c>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100"/>
      <c r="EJ42" s="100"/>
      <c r="EK42" s="100"/>
      <c r="EL42" s="100"/>
      <c r="EM42" s="100"/>
      <c r="EN42" s="100"/>
      <c r="EO42" s="100"/>
      <c r="EP42" s="87"/>
      <c r="EQ42" s="87"/>
      <c r="ER42" s="87"/>
      <c r="ES42" s="87"/>
      <c r="ET42" s="87"/>
      <c r="EU42" s="87"/>
      <c r="EV42" s="87"/>
      <c r="EW42" s="87"/>
      <c r="EX42" s="87"/>
      <c r="EY42" s="87"/>
      <c r="EZ42" s="87"/>
      <c r="FA42" s="87"/>
      <c r="FB42" s="87"/>
      <c r="FC42" s="87"/>
      <c r="FD42" s="87"/>
      <c r="FE42" s="87"/>
      <c r="FF42" s="87"/>
      <c r="FG42" s="87"/>
      <c r="FH42" s="87"/>
      <c r="FI42" s="87"/>
      <c r="FJ42" s="87"/>
      <c r="FK42" s="87"/>
    </row>
    <row r="43" spans="1:167" hidden="1" outlineLevel="1">
      <c r="A43" s="31" t="str">
        <f t="shared" si="16"/>
        <v>cd_imv_out_prcn.a.</v>
      </c>
      <c r="B43" s="76" t="s">
        <v>28</v>
      </c>
      <c r="C43" s="77" t="s">
        <v>54</v>
      </c>
      <c r="D43" s="73" t="s">
        <v>36</v>
      </c>
      <c r="E43" s="75" t="s">
        <v>55</v>
      </c>
      <c r="F43" s="73" t="s">
        <v>38</v>
      </c>
      <c r="G43" s="73" t="str">
        <f>INDEX(Auxiliar!$B$16:$B$23,MATCH(Plano_V1!H43,Auxiliar!$C$16:$C$23,0),1)</f>
        <v>1. Concluído</v>
      </c>
      <c r="H43" s="73">
        <f>VLOOKUP(A43,'Aux - pivots1'!$A:$B,2,0)</f>
        <v>1</v>
      </c>
      <c r="I43" s="93">
        <f>SUMIFS(Table1[Estimação (horas)],Table1[Tabela],Plano_V1!E43,Table1[Campo],Plano_V1!F43)</f>
        <v>8</v>
      </c>
      <c r="J43" s="93">
        <f t="shared" ref="J43:J106" si="17">I43/8</f>
        <v>1</v>
      </c>
      <c r="K43" s="98" t="s">
        <v>56</v>
      </c>
      <c r="L43" s="99">
        <f t="shared" si="14"/>
        <v>1</v>
      </c>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100"/>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100"/>
      <c r="EJ43" s="100"/>
      <c r="EK43" s="100"/>
      <c r="EL43" s="100"/>
      <c r="EM43" s="100"/>
      <c r="EN43" s="100"/>
      <c r="EO43" s="100"/>
      <c r="EP43" s="87"/>
      <c r="EQ43" s="87"/>
      <c r="ER43" s="87"/>
      <c r="ES43" s="87"/>
      <c r="ET43" s="87"/>
      <c r="EU43" s="87"/>
      <c r="EV43" s="87"/>
      <c r="EW43" s="87"/>
      <c r="EX43" s="87"/>
      <c r="EY43" s="87"/>
      <c r="EZ43" s="87"/>
      <c r="FA43" s="87"/>
      <c r="FB43" s="87"/>
      <c r="FC43" s="87"/>
      <c r="FD43" s="87"/>
      <c r="FE43" s="87"/>
      <c r="FF43" s="87"/>
      <c r="FG43" s="87"/>
      <c r="FH43" s="87"/>
      <c r="FI43" s="87"/>
      <c r="FJ43" s="87"/>
      <c r="FK43" s="87"/>
    </row>
    <row r="44" spans="1:167" hidden="1" outlineLevel="1">
      <c r="A44" s="31" t="str">
        <f t="shared" si="16"/>
        <v>cd_imv_out_prccempresa</v>
      </c>
      <c r="B44" s="76" t="s">
        <v>28</v>
      </c>
      <c r="C44" s="77" t="s">
        <v>54</v>
      </c>
      <c r="D44" s="73" t="s">
        <v>40</v>
      </c>
      <c r="E44" s="75" t="s">
        <v>55</v>
      </c>
      <c r="F44" s="73" t="s">
        <v>57</v>
      </c>
      <c r="G44" s="73" t="str">
        <f>INDEX(Auxiliar!$B$16:$B$23,MATCH(Plano_V1!H44,Auxiliar!$C$16:$C$23,0),1)</f>
        <v>1. Concluído</v>
      </c>
      <c r="H44" s="73">
        <f>VLOOKUP(A44,'Aux - pivots1'!$A:$B,2,0)</f>
        <v>1</v>
      </c>
      <c r="I44" s="93">
        <f>SUMIFS(Table1[Estimação (horas)],Table1[Tabela],Plano_V1!E44,Table1[Campo],Plano_V1!F44)</f>
        <v>4.0999999999999996</v>
      </c>
      <c r="J44" s="93">
        <f t="shared" si="17"/>
        <v>0.51249999999999996</v>
      </c>
      <c r="K44" s="98" t="s">
        <v>56</v>
      </c>
      <c r="L44" s="99">
        <f t="shared" si="14"/>
        <v>0.51249999999999996</v>
      </c>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100"/>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100"/>
      <c r="EJ44" s="100"/>
      <c r="EK44" s="100"/>
      <c r="EL44" s="100"/>
      <c r="EM44" s="100"/>
      <c r="EN44" s="100"/>
      <c r="EO44" s="100"/>
      <c r="EP44" s="87"/>
      <c r="EQ44" s="87"/>
      <c r="ER44" s="87"/>
      <c r="ES44" s="87"/>
      <c r="ET44" s="87"/>
      <c r="EU44" s="87"/>
      <c r="EV44" s="87"/>
      <c r="EW44" s="87"/>
      <c r="EX44" s="87"/>
      <c r="EY44" s="87"/>
      <c r="EZ44" s="87"/>
      <c r="FA44" s="87"/>
      <c r="FB44" s="87"/>
      <c r="FC44" s="87"/>
      <c r="FD44" s="87"/>
      <c r="FE44" s="87"/>
      <c r="FF44" s="87"/>
      <c r="FG44" s="87"/>
      <c r="FH44" s="87"/>
      <c r="FI44" s="87"/>
      <c r="FJ44" s="87"/>
      <c r="FK44" s="87"/>
    </row>
    <row r="45" spans="1:167" hidden="1" outlineLevel="1">
      <c r="A45" s="31" t="str">
        <f t="shared" si="16"/>
        <v>cd_imv_out_prcckbalcao</v>
      </c>
      <c r="B45" s="76" t="s">
        <v>28</v>
      </c>
      <c r="C45" s="77" t="s">
        <v>54</v>
      </c>
      <c r="D45" s="73" t="s">
        <v>40</v>
      </c>
      <c r="E45" s="75" t="s">
        <v>55</v>
      </c>
      <c r="F45" s="73" t="s">
        <v>58</v>
      </c>
      <c r="G45" s="73" t="str">
        <f>INDEX(Auxiliar!$B$16:$B$23,MATCH(Plano_V1!H45,Auxiliar!$C$16:$C$23,0),1)</f>
        <v>1. Concluído</v>
      </c>
      <c r="H45" s="73">
        <f>VLOOKUP(A45,'Aux - pivots1'!$A:$B,2,0)</f>
        <v>1</v>
      </c>
      <c r="I45" s="93">
        <f>SUMIFS(Table1[Estimação (horas)],Table1[Tabela],Plano_V1!E45,Table1[Campo],Plano_V1!F45)</f>
        <v>4.0999999999999996</v>
      </c>
      <c r="J45" s="93">
        <f t="shared" si="17"/>
        <v>0.51249999999999996</v>
      </c>
      <c r="K45" s="98" t="s">
        <v>56</v>
      </c>
      <c r="L45" s="99">
        <f t="shared" si="14"/>
        <v>0.51249999999999996</v>
      </c>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100"/>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100"/>
      <c r="EJ45" s="100"/>
      <c r="EK45" s="100"/>
      <c r="EL45" s="100"/>
      <c r="EM45" s="100"/>
      <c r="EN45" s="100"/>
      <c r="EO45" s="100"/>
      <c r="EP45" s="87"/>
      <c r="EQ45" s="87"/>
      <c r="ER45" s="87"/>
      <c r="ES45" s="87"/>
      <c r="ET45" s="87"/>
      <c r="EU45" s="87"/>
      <c r="EV45" s="87"/>
      <c r="EW45" s="87"/>
      <c r="EX45" s="87"/>
      <c r="EY45" s="87"/>
      <c r="EZ45" s="87"/>
      <c r="FA45" s="87"/>
      <c r="FB45" s="87"/>
      <c r="FC45" s="87"/>
      <c r="FD45" s="87"/>
      <c r="FE45" s="87"/>
      <c r="FF45" s="87"/>
      <c r="FG45" s="87"/>
      <c r="FH45" s="87"/>
      <c r="FI45" s="87"/>
      <c r="FJ45" s="87"/>
      <c r="FK45" s="87"/>
    </row>
    <row r="46" spans="1:167" hidden="1" outlineLevel="1">
      <c r="A46" s="31" t="str">
        <f t="shared" si="16"/>
        <v>cd_imv_out_prccknumcta</v>
      </c>
      <c r="B46" s="76" t="s">
        <v>28</v>
      </c>
      <c r="C46" s="77" t="s">
        <v>54</v>
      </c>
      <c r="D46" s="73" t="s">
        <v>40</v>
      </c>
      <c r="E46" s="75" t="s">
        <v>55</v>
      </c>
      <c r="F46" s="73" t="s">
        <v>59</v>
      </c>
      <c r="G46" s="73" t="str">
        <f>INDEX(Auxiliar!$B$16:$B$23,MATCH(Plano_V1!H46,Auxiliar!$C$16:$C$23,0),1)</f>
        <v>1. Concluído</v>
      </c>
      <c r="H46" s="73">
        <f>VLOOKUP(A46,'Aux - pivots1'!$A:$B,2,0)</f>
        <v>1</v>
      </c>
      <c r="I46" s="93">
        <f>SUMIFS(Table1[Estimação (horas)],Table1[Tabela],Plano_V1!E46,Table1[Campo],Plano_V1!F46)</f>
        <v>4.0999999999999996</v>
      </c>
      <c r="J46" s="93">
        <f t="shared" si="17"/>
        <v>0.51249999999999996</v>
      </c>
      <c r="K46" s="98" t="s">
        <v>56</v>
      </c>
      <c r="L46" s="99">
        <f t="shared" si="14"/>
        <v>0.51249999999999996</v>
      </c>
      <c r="M46" s="87"/>
      <c r="N46" s="87"/>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100"/>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100"/>
      <c r="EJ46" s="100"/>
      <c r="EK46" s="100"/>
      <c r="EL46" s="100"/>
      <c r="EM46" s="100"/>
      <c r="EN46" s="100"/>
      <c r="EO46" s="100"/>
      <c r="EP46" s="87"/>
      <c r="EQ46" s="87"/>
      <c r="ER46" s="87"/>
      <c r="ES46" s="87"/>
      <c r="ET46" s="87"/>
      <c r="EU46" s="87"/>
      <c r="EV46" s="87"/>
      <c r="EW46" s="87"/>
      <c r="EX46" s="87"/>
      <c r="EY46" s="87"/>
      <c r="EZ46" s="87"/>
      <c r="FA46" s="87"/>
      <c r="FB46" s="87"/>
      <c r="FC46" s="87"/>
      <c r="FD46" s="87"/>
      <c r="FE46" s="87"/>
      <c r="FF46" s="87"/>
      <c r="FG46" s="87"/>
      <c r="FH46" s="87"/>
      <c r="FI46" s="87"/>
      <c r="FJ46" s="87"/>
      <c r="FK46" s="87"/>
    </row>
    <row r="47" spans="1:167" hidden="1" outlineLevel="1">
      <c r="A47" s="31" t="str">
        <f t="shared" si="16"/>
        <v>cd_imv_out_prccod_estd_prcs</v>
      </c>
      <c r="B47" s="76" t="s">
        <v>28</v>
      </c>
      <c r="C47" s="77" t="s">
        <v>54</v>
      </c>
      <c r="D47" s="73" t="s">
        <v>40</v>
      </c>
      <c r="E47" s="75" t="s">
        <v>55</v>
      </c>
      <c r="F47" s="73" t="s">
        <v>60</v>
      </c>
      <c r="G47" s="73" t="str">
        <f>INDEX(Auxiliar!$B$16:$B$23,MATCH(Plano_V1!H47,Auxiliar!$C$16:$C$23,0),1)</f>
        <v>0. Cancelado</v>
      </c>
      <c r="H47" s="73">
        <f>VLOOKUP(A47,'Aux - pivots1'!$A:$B,2,0)</f>
        <v>0</v>
      </c>
      <c r="I47" s="94">
        <v>0</v>
      </c>
      <c r="J47" s="93">
        <f t="shared" si="17"/>
        <v>0</v>
      </c>
      <c r="K47" s="98" t="s">
        <v>56</v>
      </c>
      <c r="L47" s="99">
        <f t="shared" si="14"/>
        <v>0</v>
      </c>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100"/>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100"/>
      <c r="EJ47" s="100"/>
      <c r="EK47" s="100"/>
      <c r="EL47" s="100"/>
      <c r="EM47" s="100"/>
      <c r="EN47" s="100"/>
      <c r="EO47" s="100"/>
      <c r="EP47" s="87"/>
      <c r="EQ47" s="87"/>
      <c r="ER47" s="87"/>
      <c r="ES47" s="87"/>
      <c r="ET47" s="87"/>
      <c r="EU47" s="87"/>
      <c r="EV47" s="87"/>
      <c r="EW47" s="87"/>
      <c r="EX47" s="87"/>
      <c r="EY47" s="87"/>
      <c r="EZ47" s="87"/>
      <c r="FA47" s="87"/>
      <c r="FB47" s="87"/>
      <c r="FC47" s="87"/>
      <c r="FD47" s="87"/>
      <c r="FE47" s="87"/>
      <c r="FF47" s="87"/>
      <c r="FG47" s="87"/>
      <c r="FH47" s="87"/>
      <c r="FI47" s="87"/>
      <c r="FJ47" s="87"/>
      <c r="FK47" s="87"/>
    </row>
    <row r="48" spans="1:167" hidden="1" outlineLevel="1">
      <c r="A48" s="31" t="str">
        <f t="shared" si="16"/>
        <v>cd_imv_out_prccod_grt</v>
      </c>
      <c r="B48" s="76" t="s">
        <v>28</v>
      </c>
      <c r="C48" s="77" t="s">
        <v>54</v>
      </c>
      <c r="D48" s="73" t="s">
        <v>40</v>
      </c>
      <c r="E48" s="75" t="s">
        <v>55</v>
      </c>
      <c r="F48" s="73" t="s">
        <v>61</v>
      </c>
      <c r="G48" s="73" t="str">
        <f>INDEX(Auxiliar!$B$16:$B$23,MATCH(Plano_V1!H48,Auxiliar!$C$16:$C$23,0),1)</f>
        <v>1. Concluído</v>
      </c>
      <c r="H48" s="73">
        <f>VLOOKUP(A48,'Aux - pivots1'!$A:$B,2,0)</f>
        <v>1</v>
      </c>
      <c r="I48" s="93">
        <f>SUMIFS(Table1[Estimação (horas)],Table1[Tabela],Plano_V1!E48,Table1[Campo],Plano_V1!F48)</f>
        <v>4.0999999999999996</v>
      </c>
      <c r="J48" s="93">
        <f t="shared" si="17"/>
        <v>0.51249999999999996</v>
      </c>
      <c r="K48" s="98" t="s">
        <v>56</v>
      </c>
      <c r="L48" s="99">
        <f t="shared" si="14"/>
        <v>0.51249999999999996</v>
      </c>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100"/>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100"/>
      <c r="EJ48" s="100"/>
      <c r="EK48" s="100"/>
      <c r="EL48" s="100"/>
      <c r="EM48" s="100"/>
      <c r="EN48" s="100"/>
      <c r="EO48" s="100"/>
      <c r="EP48" s="87"/>
      <c r="EQ48" s="87"/>
      <c r="ER48" s="87"/>
      <c r="ES48" s="87"/>
      <c r="ET48" s="87"/>
      <c r="EU48" s="87"/>
      <c r="EV48" s="87"/>
      <c r="EW48" s="87"/>
      <c r="EX48" s="87"/>
      <c r="EY48" s="87"/>
      <c r="EZ48" s="87"/>
      <c r="FA48" s="87"/>
      <c r="FB48" s="87"/>
      <c r="FC48" s="87"/>
      <c r="FD48" s="87"/>
      <c r="FE48" s="87"/>
      <c r="FF48" s="87"/>
      <c r="FG48" s="87"/>
      <c r="FH48" s="87"/>
      <c r="FI48" s="87"/>
      <c r="FJ48" s="87"/>
      <c r="FK48" s="87"/>
    </row>
    <row r="49" spans="1:167" hidden="1" outlineLevel="1">
      <c r="A49" s="31" t="str">
        <f t="shared" si="16"/>
        <v>cd_imv_out_prccod_moeda</v>
      </c>
      <c r="B49" s="76" t="s">
        <v>28</v>
      </c>
      <c r="C49" s="77" t="s">
        <v>54</v>
      </c>
      <c r="D49" s="73" t="s">
        <v>40</v>
      </c>
      <c r="E49" s="75" t="s">
        <v>55</v>
      </c>
      <c r="F49" s="73" t="s">
        <v>62</v>
      </c>
      <c r="G49" s="73" t="str">
        <f>INDEX(Auxiliar!$B$16:$B$23,MATCH(Plano_V1!H49,Auxiliar!$C$16:$C$23,0),1)</f>
        <v>1. Concluído</v>
      </c>
      <c r="H49" s="73">
        <f>VLOOKUP(A49,'Aux - pivots1'!$A:$B,2,0)</f>
        <v>1</v>
      </c>
      <c r="I49" s="93">
        <f>SUMIFS(Table1[Estimação (horas)],Table1[Tabela],Plano_V1!E49,Table1[Campo],Plano_V1!F49)</f>
        <v>4.0999999999999996</v>
      </c>
      <c r="J49" s="93">
        <f t="shared" si="17"/>
        <v>0.51249999999999996</v>
      </c>
      <c r="K49" s="98" t="s">
        <v>56</v>
      </c>
      <c r="L49" s="99">
        <f t="shared" si="14"/>
        <v>0.51249999999999996</v>
      </c>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100"/>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100"/>
      <c r="EJ49" s="100"/>
      <c r="EK49" s="100"/>
      <c r="EL49" s="100"/>
      <c r="EM49" s="100"/>
      <c r="EN49" s="100"/>
      <c r="EO49" s="100"/>
      <c r="EP49" s="87"/>
      <c r="EQ49" s="87"/>
      <c r="ER49" s="87"/>
      <c r="ES49" s="87"/>
      <c r="ET49" s="87"/>
      <c r="EU49" s="87"/>
      <c r="EV49" s="87"/>
      <c r="EW49" s="87"/>
      <c r="EX49" s="87"/>
      <c r="EY49" s="87"/>
      <c r="EZ49" s="87"/>
      <c r="FA49" s="87"/>
      <c r="FB49" s="87"/>
      <c r="FC49" s="87"/>
      <c r="FD49" s="87"/>
      <c r="FE49" s="87"/>
      <c r="FF49" s="87"/>
      <c r="FG49" s="87"/>
      <c r="FH49" s="87"/>
      <c r="FI49" s="87"/>
      <c r="FJ49" s="87"/>
      <c r="FK49" s="87"/>
    </row>
    <row r="50" spans="1:167" hidden="1" outlineLevel="1">
      <c r="A50" s="31" t="str">
        <f t="shared" si="16"/>
        <v>cd_imv_out_prccod_observacao</v>
      </c>
      <c r="B50" s="76" t="s">
        <v>28</v>
      </c>
      <c r="C50" s="77" t="s">
        <v>54</v>
      </c>
      <c r="D50" s="73" t="s">
        <v>40</v>
      </c>
      <c r="E50" s="75" t="s">
        <v>55</v>
      </c>
      <c r="F50" s="73" t="s">
        <v>63</v>
      </c>
      <c r="G50" s="73" t="str">
        <f>INDEX(Auxiliar!$B$16:$B$23,MATCH(Plano_V1!H50,Auxiliar!$C$16:$C$23,0),1)</f>
        <v>1. Concluído</v>
      </c>
      <c r="H50" s="73">
        <f>VLOOKUP(A50,'Aux - pivots1'!$A:$B,2,0)</f>
        <v>1</v>
      </c>
      <c r="I50" s="93">
        <f>SUMIFS(Table1[Estimação (horas)],Table1[Tabela],Plano_V1!E50,Table1[Campo],Plano_V1!F50)</f>
        <v>4.0999999999999996</v>
      </c>
      <c r="J50" s="93">
        <f t="shared" si="17"/>
        <v>0.51249999999999996</v>
      </c>
      <c r="K50" s="98" t="s">
        <v>56</v>
      </c>
      <c r="L50" s="99">
        <f t="shared" si="14"/>
        <v>0.51249999999999996</v>
      </c>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100"/>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100"/>
      <c r="EJ50" s="100"/>
      <c r="EK50" s="100"/>
      <c r="EL50" s="100"/>
      <c r="EM50" s="100"/>
      <c r="EN50" s="100"/>
      <c r="EO50" s="100"/>
      <c r="EP50" s="87"/>
      <c r="EQ50" s="87"/>
      <c r="ER50" s="87"/>
      <c r="ES50" s="87"/>
      <c r="ET50" s="87"/>
      <c r="EU50" s="87"/>
      <c r="EV50" s="87"/>
      <c r="EW50" s="87"/>
      <c r="EX50" s="87"/>
      <c r="EY50" s="87"/>
      <c r="EZ50" s="87"/>
      <c r="FA50" s="87"/>
      <c r="FB50" s="87"/>
      <c r="FC50" s="87"/>
      <c r="FD50" s="87"/>
      <c r="FE50" s="87"/>
      <c r="FF50" s="87"/>
      <c r="FG50" s="87"/>
      <c r="FH50" s="87"/>
      <c r="FI50" s="87"/>
      <c r="FJ50" s="87"/>
      <c r="FK50" s="87"/>
    </row>
    <row r="51" spans="1:167" hidden="1" outlineLevel="1">
      <c r="A51" s="31" t="str">
        <f t="shared" si="16"/>
        <v>cd_imv_out_prccod_prd_grnt</v>
      </c>
      <c r="B51" s="76" t="s">
        <v>28</v>
      </c>
      <c r="C51" s="77" t="s">
        <v>54</v>
      </c>
      <c r="D51" s="73" t="s">
        <v>40</v>
      </c>
      <c r="E51" s="75" t="s">
        <v>55</v>
      </c>
      <c r="F51" s="73" t="s">
        <v>64</v>
      </c>
      <c r="G51" s="73" t="str">
        <f>INDEX(Auxiliar!$B$16:$B$23,MATCH(Plano_V1!H51,Auxiliar!$C$16:$C$23,0),1)</f>
        <v>1. Concluído</v>
      </c>
      <c r="H51" s="73">
        <f>VLOOKUP(A51,'Aux - pivots1'!$A:$B,2,0)</f>
        <v>1</v>
      </c>
      <c r="I51" s="93">
        <f>SUMIFS(Table1[Estimação (horas)],Table1[Tabela],Plano_V1!E51,Table1[Campo],Plano_V1!F51)</f>
        <v>4.0999999999999996</v>
      </c>
      <c r="J51" s="93">
        <f t="shared" si="17"/>
        <v>0.51249999999999996</v>
      </c>
      <c r="K51" s="98" t="s">
        <v>56</v>
      </c>
      <c r="L51" s="99">
        <f t="shared" si="14"/>
        <v>0.51249999999999996</v>
      </c>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100"/>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100"/>
      <c r="EJ51" s="100"/>
      <c r="EK51" s="100"/>
      <c r="EL51" s="100"/>
      <c r="EM51" s="100"/>
      <c r="EN51" s="100"/>
      <c r="EO51" s="100"/>
      <c r="EP51" s="87"/>
      <c r="EQ51" s="87"/>
      <c r="ER51" s="87"/>
      <c r="ES51" s="87"/>
      <c r="ET51" s="87"/>
      <c r="EU51" s="87"/>
      <c r="EV51" s="87"/>
      <c r="EW51" s="87"/>
      <c r="EX51" s="87"/>
      <c r="EY51" s="87"/>
      <c r="EZ51" s="87"/>
      <c r="FA51" s="87"/>
      <c r="FB51" s="87"/>
      <c r="FC51" s="87"/>
      <c r="FD51" s="87"/>
      <c r="FE51" s="87"/>
      <c r="FF51" s="87"/>
      <c r="FG51" s="87"/>
      <c r="FH51" s="87"/>
      <c r="FI51" s="87"/>
      <c r="FJ51" s="87"/>
      <c r="FK51" s="87"/>
    </row>
    <row r="52" spans="1:167" hidden="1" outlineLevel="1">
      <c r="A52" s="31" t="str">
        <f t="shared" si="16"/>
        <v>cd_imv_out_prccod_sprd_grnt</v>
      </c>
      <c r="B52" s="76" t="s">
        <v>28</v>
      </c>
      <c r="C52" s="77" t="s">
        <v>54</v>
      </c>
      <c r="D52" s="73" t="s">
        <v>40</v>
      </c>
      <c r="E52" s="75" t="s">
        <v>55</v>
      </c>
      <c r="F52" s="73" t="s">
        <v>65</v>
      </c>
      <c r="G52" s="73" t="str">
        <f>INDEX(Auxiliar!$B$16:$B$23,MATCH(Plano_V1!H52,Auxiliar!$C$16:$C$23,0),1)</f>
        <v>1. Concluído</v>
      </c>
      <c r="H52" s="73">
        <f>VLOOKUP(A52,'Aux - pivots1'!$A:$B,2,0)</f>
        <v>1</v>
      </c>
      <c r="I52" s="93">
        <f>SUMIFS(Table1[Estimação (horas)],Table1[Tabela],Plano_V1!E52,Table1[Campo],Plano_V1!F52)</f>
        <v>4.0999999999999996</v>
      </c>
      <c r="J52" s="93">
        <f t="shared" si="17"/>
        <v>0.51249999999999996</v>
      </c>
      <c r="K52" s="98" t="s">
        <v>56</v>
      </c>
      <c r="L52" s="99">
        <f t="shared" si="14"/>
        <v>0.51249999999999996</v>
      </c>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100"/>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100"/>
      <c r="EJ52" s="100"/>
      <c r="EK52" s="100"/>
      <c r="EL52" s="100"/>
      <c r="EM52" s="100"/>
      <c r="EN52" s="100"/>
      <c r="EO52" s="100"/>
      <c r="EP52" s="87"/>
      <c r="EQ52" s="87"/>
      <c r="ER52" s="87"/>
      <c r="ES52" s="87"/>
      <c r="ET52" s="87"/>
      <c r="EU52" s="87"/>
      <c r="EV52" s="87"/>
      <c r="EW52" s="87"/>
      <c r="EX52" s="87"/>
      <c r="EY52" s="87"/>
      <c r="EZ52" s="87"/>
      <c r="FA52" s="87"/>
      <c r="FB52" s="87"/>
      <c r="FC52" s="87"/>
      <c r="FD52" s="87"/>
      <c r="FE52" s="87"/>
      <c r="FF52" s="87"/>
      <c r="FG52" s="87"/>
      <c r="FH52" s="87"/>
      <c r="FI52" s="87"/>
      <c r="FJ52" s="87"/>
      <c r="FK52" s="87"/>
    </row>
    <row r="53" spans="1:167" hidden="1" outlineLevel="1">
      <c r="A53" s="31" t="str">
        <f t="shared" si="16"/>
        <v>cd_imv_out_prccod_tipo</v>
      </c>
      <c r="B53" s="76" t="s">
        <v>28</v>
      </c>
      <c r="C53" s="77" t="s">
        <v>54</v>
      </c>
      <c r="D53" s="73" t="s">
        <v>40</v>
      </c>
      <c r="E53" s="75" t="s">
        <v>55</v>
      </c>
      <c r="F53" s="73" t="s">
        <v>66</v>
      </c>
      <c r="G53" s="73" t="str">
        <f>INDEX(Auxiliar!$B$16:$B$23,MATCH(Plano_V1!H53,Auxiliar!$C$16:$C$23,0),1)</f>
        <v>1. Concluído</v>
      </c>
      <c r="H53" s="73">
        <f>VLOOKUP(A53,'Aux - pivots1'!$A:$B,2,0)</f>
        <v>1</v>
      </c>
      <c r="I53" s="93">
        <f>SUMIFS(Table1[Estimação (horas)],Table1[Tabela],Plano_V1!E53,Table1[Campo],Plano_V1!F53)</f>
        <v>4.0999999999999996</v>
      </c>
      <c r="J53" s="93">
        <f t="shared" si="17"/>
        <v>0.51249999999999996</v>
      </c>
      <c r="K53" s="98" t="s">
        <v>56</v>
      </c>
      <c r="L53" s="99">
        <f t="shared" si="14"/>
        <v>0.51249999999999996</v>
      </c>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100"/>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100"/>
      <c r="EJ53" s="100"/>
      <c r="EK53" s="100"/>
      <c r="EL53" s="100"/>
      <c r="EM53" s="100"/>
      <c r="EN53" s="100"/>
      <c r="EO53" s="100"/>
      <c r="EP53" s="87"/>
      <c r="EQ53" s="87"/>
      <c r="ER53" s="87"/>
      <c r="ES53" s="87"/>
      <c r="ET53" s="87"/>
      <c r="EU53" s="87"/>
      <c r="EV53" s="87"/>
      <c r="EW53" s="87"/>
      <c r="EX53" s="87"/>
      <c r="EY53" s="87"/>
      <c r="EZ53" s="87"/>
      <c r="FA53" s="87"/>
      <c r="FB53" s="87"/>
      <c r="FC53" s="87"/>
      <c r="FD53" s="87"/>
      <c r="FE53" s="87"/>
      <c r="FF53" s="87"/>
      <c r="FG53" s="87"/>
      <c r="FH53" s="87"/>
      <c r="FI53" s="87"/>
      <c r="FJ53" s="87"/>
      <c r="FK53" s="87"/>
    </row>
    <row r="54" spans="1:167" hidden="1" outlineLevel="1">
      <c r="A54" s="31" t="str">
        <f t="shared" si="16"/>
        <v>cd_imv_out_prccomp_id_gar</v>
      </c>
      <c r="B54" s="76" t="s">
        <v>28</v>
      </c>
      <c r="C54" s="77" t="s">
        <v>54</v>
      </c>
      <c r="D54" s="73" t="s">
        <v>40</v>
      </c>
      <c r="E54" s="75" t="s">
        <v>55</v>
      </c>
      <c r="F54" s="73" t="s">
        <v>67</v>
      </c>
      <c r="G54" s="73" t="str">
        <f>INDEX(Auxiliar!$B$16:$B$23,MATCH(Plano_V1!H54,Auxiliar!$C$16:$C$23,0),1)</f>
        <v>1. Concluído</v>
      </c>
      <c r="H54" s="73">
        <f>VLOOKUP(A54,'Aux - pivots1'!$A:$B,2,0)</f>
        <v>1</v>
      </c>
      <c r="I54" s="93">
        <f>SUMIFS(Table1[Estimação (horas)],Table1[Tabela],Plano_V1!E54,Table1[Campo],Plano_V1!F54)</f>
        <v>4.0999999999999996</v>
      </c>
      <c r="J54" s="93">
        <f t="shared" si="17"/>
        <v>0.51249999999999996</v>
      </c>
      <c r="K54" s="98" t="s">
        <v>56</v>
      </c>
      <c r="L54" s="99">
        <f t="shared" si="14"/>
        <v>0.51249999999999996</v>
      </c>
      <c r="M54" s="87"/>
      <c r="N54" s="87"/>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100"/>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100"/>
      <c r="EJ54" s="100"/>
      <c r="EK54" s="100"/>
      <c r="EL54" s="100"/>
      <c r="EM54" s="100"/>
      <c r="EN54" s="100"/>
      <c r="EO54" s="100"/>
      <c r="EP54" s="87"/>
      <c r="EQ54" s="87"/>
      <c r="ER54" s="87"/>
      <c r="ES54" s="87"/>
      <c r="ET54" s="87"/>
      <c r="EU54" s="87"/>
      <c r="EV54" s="87"/>
      <c r="EW54" s="87"/>
      <c r="EX54" s="87"/>
      <c r="EY54" s="87"/>
      <c r="EZ54" s="87"/>
      <c r="FA54" s="87"/>
      <c r="FB54" s="87"/>
      <c r="FC54" s="87"/>
      <c r="FD54" s="87"/>
      <c r="FE54" s="87"/>
      <c r="FF54" s="87"/>
      <c r="FG54" s="87"/>
      <c r="FH54" s="87"/>
      <c r="FI54" s="87"/>
      <c r="FJ54" s="87"/>
      <c r="FK54" s="87"/>
    </row>
    <row r="55" spans="1:167" hidden="1" outlineLevel="1">
      <c r="A55" s="31" t="str">
        <f t="shared" si="16"/>
        <v>cd_imv_out_prcdata_inicio</v>
      </c>
      <c r="B55" s="76" t="s">
        <v>28</v>
      </c>
      <c r="C55" s="77" t="s">
        <v>54</v>
      </c>
      <c r="D55" s="73" t="s">
        <v>40</v>
      </c>
      <c r="E55" s="75" t="s">
        <v>55</v>
      </c>
      <c r="F55" s="73" t="s">
        <v>68</v>
      </c>
      <c r="G55" s="73" t="str">
        <f>INDEX(Auxiliar!$B$16:$B$23,MATCH(Plano_V1!H55,Auxiliar!$C$16:$C$23,0),1)</f>
        <v>1. Concluído</v>
      </c>
      <c r="H55" s="73">
        <f>VLOOKUP(A55,'Aux - pivots1'!$A:$B,2,0)</f>
        <v>1</v>
      </c>
      <c r="I55" s="93">
        <f>SUMIFS(Table1[Estimação (horas)],Table1[Tabela],Plano_V1!E55,Table1[Campo],Plano_V1!F55)</f>
        <v>4.0999999999999996</v>
      </c>
      <c r="J55" s="93">
        <f t="shared" si="17"/>
        <v>0.51249999999999996</v>
      </c>
      <c r="K55" s="98" t="s">
        <v>56</v>
      </c>
      <c r="L55" s="99">
        <f t="shared" si="14"/>
        <v>0.51249999999999996</v>
      </c>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100"/>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100"/>
      <c r="EJ55" s="100"/>
      <c r="EK55" s="100"/>
      <c r="EL55" s="100"/>
      <c r="EM55" s="100"/>
      <c r="EN55" s="100"/>
      <c r="EO55" s="100"/>
      <c r="EP55" s="87"/>
      <c r="EQ55" s="87"/>
      <c r="ER55" s="87"/>
      <c r="ES55" s="87"/>
      <c r="ET55" s="87"/>
      <c r="EU55" s="87"/>
      <c r="EV55" s="87"/>
      <c r="EW55" s="87"/>
      <c r="EX55" s="87"/>
      <c r="EY55" s="87"/>
      <c r="EZ55" s="87"/>
      <c r="FA55" s="87"/>
      <c r="FB55" s="87"/>
      <c r="FC55" s="87"/>
      <c r="FD55" s="87"/>
      <c r="FE55" s="87"/>
      <c r="FF55" s="87"/>
      <c r="FG55" s="87"/>
      <c r="FH55" s="87"/>
      <c r="FI55" s="87"/>
      <c r="FJ55" s="87"/>
      <c r="FK55" s="87"/>
    </row>
    <row r="56" spans="1:167" hidden="1" outlineLevel="1">
      <c r="A56" s="31" t="str">
        <f t="shared" si="16"/>
        <v>cd_imv_out_prcdata_vcmt</v>
      </c>
      <c r="B56" s="76" t="s">
        <v>28</v>
      </c>
      <c r="C56" s="77" t="s">
        <v>54</v>
      </c>
      <c r="D56" s="73" t="s">
        <v>40</v>
      </c>
      <c r="E56" s="75" t="s">
        <v>55</v>
      </c>
      <c r="F56" s="73" t="s">
        <v>69</v>
      </c>
      <c r="G56" s="73" t="str">
        <f>INDEX(Auxiliar!$B$16:$B$23,MATCH(Plano_V1!H56,Auxiliar!$C$16:$C$23,0),1)</f>
        <v>1. Concluído</v>
      </c>
      <c r="H56" s="73">
        <f>VLOOKUP(A56,'Aux - pivots1'!$A:$B,2,0)</f>
        <v>1</v>
      </c>
      <c r="I56" s="93">
        <f>SUMIFS(Table1[Estimação (horas)],Table1[Tabela],Plano_V1!E56,Table1[Campo],Plano_V1!F56)</f>
        <v>4.0999999999999996</v>
      </c>
      <c r="J56" s="93">
        <f t="shared" si="17"/>
        <v>0.51249999999999996</v>
      </c>
      <c r="K56" s="98" t="s">
        <v>56</v>
      </c>
      <c r="L56" s="99">
        <f t="shared" si="14"/>
        <v>0.51249999999999996</v>
      </c>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100"/>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100"/>
      <c r="EJ56" s="100"/>
      <c r="EK56" s="100"/>
      <c r="EL56" s="100"/>
      <c r="EM56" s="100"/>
      <c r="EN56" s="100"/>
      <c r="EO56" s="100"/>
      <c r="EP56" s="87"/>
      <c r="EQ56" s="87"/>
      <c r="ER56" s="87"/>
      <c r="ES56" s="87"/>
      <c r="ET56" s="87"/>
      <c r="EU56" s="87"/>
      <c r="EV56" s="87"/>
      <c r="EW56" s="87"/>
      <c r="EX56" s="87"/>
      <c r="EY56" s="87"/>
      <c r="EZ56" s="87"/>
      <c r="FA56" s="87"/>
      <c r="FB56" s="87"/>
      <c r="FC56" s="87"/>
      <c r="FD56" s="87"/>
      <c r="FE56" s="87"/>
      <c r="FF56" s="87"/>
      <c r="FG56" s="87"/>
      <c r="FH56" s="87"/>
      <c r="FI56" s="87"/>
      <c r="FJ56" s="87"/>
      <c r="FK56" s="87"/>
    </row>
    <row r="57" spans="1:167" hidden="1" outlineLevel="1">
      <c r="A57" s="31" t="str">
        <f t="shared" si="16"/>
        <v>cd_imv_out_prcmontante_eur</v>
      </c>
      <c r="B57" s="76" t="s">
        <v>28</v>
      </c>
      <c r="C57" s="77" t="s">
        <v>54</v>
      </c>
      <c r="D57" s="73" t="s">
        <v>40</v>
      </c>
      <c r="E57" s="75" t="s">
        <v>55</v>
      </c>
      <c r="F57" s="73" t="s">
        <v>70</v>
      </c>
      <c r="G57" s="73" t="str">
        <f>INDEX(Auxiliar!$B$16:$B$23,MATCH(Plano_V1!H57,Auxiliar!$C$16:$C$23,0),1)</f>
        <v>0. Cancelado</v>
      </c>
      <c r="H57" s="73">
        <f>VLOOKUP(A57,'Aux - pivots1'!$A:$B,2,0)</f>
        <v>0</v>
      </c>
      <c r="I57" s="94">
        <v>0</v>
      </c>
      <c r="J57" s="93">
        <f t="shared" si="17"/>
        <v>0</v>
      </c>
      <c r="K57" s="98" t="s">
        <v>56</v>
      </c>
      <c r="L57" s="99">
        <f t="shared" si="14"/>
        <v>0</v>
      </c>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100"/>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100"/>
      <c r="EJ57" s="100"/>
      <c r="EK57" s="100"/>
      <c r="EL57" s="100"/>
      <c r="EM57" s="100"/>
      <c r="EN57" s="100"/>
      <c r="EO57" s="100"/>
      <c r="EP57" s="87"/>
      <c r="EQ57" s="87"/>
      <c r="ER57" s="87"/>
      <c r="ES57" s="87"/>
      <c r="ET57" s="87"/>
      <c r="EU57" s="87"/>
      <c r="EV57" s="87"/>
      <c r="EW57" s="87"/>
      <c r="EX57" s="87"/>
      <c r="EY57" s="87"/>
      <c r="EZ57" s="87"/>
      <c r="FA57" s="87"/>
      <c r="FB57" s="87"/>
      <c r="FC57" s="87"/>
      <c r="FD57" s="87"/>
      <c r="FE57" s="87"/>
      <c r="FF57" s="87"/>
      <c r="FG57" s="87"/>
      <c r="FH57" s="87"/>
      <c r="FI57" s="87"/>
      <c r="FJ57" s="87"/>
      <c r="FK57" s="87"/>
    </row>
    <row r="58" spans="1:167" hidden="1" outlineLevel="1">
      <c r="A58" s="31" t="str">
        <f t="shared" si="16"/>
        <v>cd_imv_out_prcmontante_org</v>
      </c>
      <c r="B58" s="76" t="s">
        <v>28</v>
      </c>
      <c r="C58" s="77" t="s">
        <v>54</v>
      </c>
      <c r="D58" s="73" t="s">
        <v>40</v>
      </c>
      <c r="E58" s="75" t="s">
        <v>55</v>
      </c>
      <c r="F58" s="73" t="s">
        <v>71</v>
      </c>
      <c r="G58" s="73" t="str">
        <f>INDEX(Auxiliar!$B$16:$B$23,MATCH(Plano_V1!H58,Auxiliar!$C$16:$C$23,0),1)</f>
        <v>0. Cancelado</v>
      </c>
      <c r="H58" s="73">
        <f>VLOOKUP(A58,'Aux - pivots1'!$A:$B,2,0)</f>
        <v>0</v>
      </c>
      <c r="I58" s="94">
        <v>0</v>
      </c>
      <c r="J58" s="93">
        <f t="shared" si="17"/>
        <v>0</v>
      </c>
      <c r="K58" s="98" t="s">
        <v>56</v>
      </c>
      <c r="L58" s="99">
        <f t="shared" si="14"/>
        <v>0</v>
      </c>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100"/>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100"/>
      <c r="EJ58" s="100"/>
      <c r="EK58" s="100"/>
      <c r="EL58" s="100"/>
      <c r="EM58" s="100"/>
      <c r="EN58" s="100"/>
      <c r="EO58" s="100"/>
      <c r="EP58" s="87"/>
      <c r="EQ58" s="87"/>
      <c r="ER58" s="87"/>
      <c r="ES58" s="87"/>
      <c r="ET58" s="87"/>
      <c r="EU58" s="87"/>
      <c r="EV58" s="87"/>
      <c r="EW58" s="87"/>
      <c r="EX58" s="87"/>
      <c r="EY58" s="87"/>
      <c r="EZ58" s="87"/>
      <c r="FA58" s="87"/>
      <c r="FB58" s="87"/>
      <c r="FC58" s="87"/>
      <c r="FD58" s="87"/>
      <c r="FE58" s="87"/>
      <c r="FF58" s="87"/>
      <c r="FG58" s="87"/>
      <c r="FH58" s="87"/>
      <c r="FI58" s="87"/>
      <c r="FJ58" s="87"/>
      <c r="FK58" s="87"/>
    </row>
    <row r="59" spans="1:167" hidden="1" outlineLevel="1">
      <c r="A59" s="31" t="str">
        <f t="shared" si="16"/>
        <v>cd_imv_out_prcorigem</v>
      </c>
      <c r="B59" s="76" t="s">
        <v>28</v>
      </c>
      <c r="C59" s="77" t="s">
        <v>54</v>
      </c>
      <c r="D59" s="73" t="s">
        <v>40</v>
      </c>
      <c r="E59" s="75" t="s">
        <v>55</v>
      </c>
      <c r="F59" s="73" t="s">
        <v>72</v>
      </c>
      <c r="G59" s="73" t="str">
        <f>INDEX(Auxiliar!$B$16:$B$23,MATCH(Plano_V1!H59,Auxiliar!$C$16:$C$23,0),1)</f>
        <v>0. Cancelado</v>
      </c>
      <c r="H59" s="73">
        <f>VLOOKUP(A59,'Aux - pivots1'!$A:$B,2,0)</f>
        <v>0</v>
      </c>
      <c r="I59" s="93">
        <f>SUMIFS(Table1[Estimação (horas)],Table1[Tabela],Plano_V1!E59,Table1[Campo],Plano_V1!F59)</f>
        <v>4.0999999999999996</v>
      </c>
      <c r="J59" s="93">
        <f t="shared" si="17"/>
        <v>0.51249999999999996</v>
      </c>
      <c r="K59" s="98" t="s">
        <v>56</v>
      </c>
      <c r="L59" s="99">
        <f t="shared" si="14"/>
        <v>0.51249999999999996</v>
      </c>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100"/>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100"/>
      <c r="EJ59" s="100"/>
      <c r="EK59" s="100"/>
      <c r="EL59" s="100"/>
      <c r="EM59" s="100"/>
      <c r="EN59" s="100"/>
      <c r="EO59" s="100"/>
      <c r="EP59" s="87"/>
      <c r="EQ59" s="87"/>
      <c r="ER59" s="87"/>
      <c r="ES59" s="87"/>
      <c r="ET59" s="87"/>
      <c r="EU59" s="87"/>
      <c r="EV59" s="87"/>
      <c r="EW59" s="87"/>
      <c r="EX59" s="87"/>
      <c r="EY59" s="87"/>
      <c r="EZ59" s="87"/>
      <c r="FA59" s="87"/>
      <c r="FB59" s="87"/>
      <c r="FC59" s="87"/>
      <c r="FD59" s="87"/>
      <c r="FE59" s="87"/>
      <c r="FF59" s="87"/>
      <c r="FG59" s="87"/>
      <c r="FH59" s="87"/>
      <c r="FI59" s="87"/>
      <c r="FJ59" s="87"/>
      <c r="FK59" s="87"/>
    </row>
    <row r="60" spans="1:167" hidden="1" outlineLevel="1">
      <c r="A60" s="31" t="str">
        <f t="shared" si="16"/>
        <v>cd_imv_out_prcref_date</v>
      </c>
      <c r="B60" s="76" t="s">
        <v>28</v>
      </c>
      <c r="C60" s="77" t="s">
        <v>54</v>
      </c>
      <c r="D60" s="73" t="s">
        <v>40</v>
      </c>
      <c r="E60" s="75" t="s">
        <v>55</v>
      </c>
      <c r="F60" s="73" t="s">
        <v>73</v>
      </c>
      <c r="G60" s="73" t="str">
        <f>INDEX(Auxiliar!$B$16:$B$23,MATCH(Plano_V1!H60,Auxiliar!$C$16:$C$23,0),1)</f>
        <v>1. Concluído</v>
      </c>
      <c r="H60" s="73">
        <f>VLOOKUP(A60,'Aux - pivots1'!$A:$B,2,0)</f>
        <v>1</v>
      </c>
      <c r="I60" s="93">
        <f>SUMIFS(Table1[Estimação (horas)],Table1[Tabela],Plano_V1!E60,Table1[Campo],Plano_V1!F60)</f>
        <v>4.0999999999999996</v>
      </c>
      <c r="J60" s="93">
        <f t="shared" si="17"/>
        <v>0.51249999999999996</v>
      </c>
      <c r="K60" s="98" t="s">
        <v>56</v>
      </c>
      <c r="L60" s="99">
        <f t="shared" si="14"/>
        <v>0.51249999999999996</v>
      </c>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100"/>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100"/>
      <c r="EJ60" s="100"/>
      <c r="EK60" s="100"/>
      <c r="EL60" s="100"/>
      <c r="EM60" s="100"/>
      <c r="EN60" s="100"/>
      <c r="EO60" s="100"/>
      <c r="EP60" s="87"/>
      <c r="EQ60" s="87"/>
      <c r="ER60" s="87"/>
      <c r="ES60" s="87"/>
      <c r="ET60" s="87"/>
      <c r="EU60" s="87"/>
      <c r="EV60" s="87"/>
      <c r="EW60" s="87"/>
      <c r="EX60" s="87"/>
      <c r="EY60" s="87"/>
      <c r="EZ60" s="87"/>
      <c r="FA60" s="87"/>
      <c r="FB60" s="87"/>
      <c r="FC60" s="87"/>
      <c r="FD60" s="87"/>
      <c r="FE60" s="87"/>
      <c r="FF60" s="87"/>
      <c r="FG60" s="87"/>
      <c r="FH60" s="87"/>
      <c r="FI60" s="87"/>
      <c r="FJ60" s="87"/>
      <c r="FK60" s="87"/>
    </row>
    <row r="61" spans="1:167" hidden="1" outlineLevel="1">
      <c r="A61" s="31" t="str">
        <f t="shared" si="16"/>
        <v>cd_imv_out_trz_cred_prcn.a.</v>
      </c>
      <c r="B61" s="76" t="s">
        <v>28</v>
      </c>
      <c r="C61" s="77" t="s">
        <v>54</v>
      </c>
      <c r="D61" s="73" t="s">
        <v>36</v>
      </c>
      <c r="E61" s="75" t="s">
        <v>56</v>
      </c>
      <c r="F61" s="73" t="s">
        <v>38</v>
      </c>
      <c r="G61" s="73" t="str">
        <f>INDEX(Auxiliar!$B$16:$B$23,MATCH(Plano_V1!H61,Auxiliar!$C$16:$C$23,0),1)</f>
        <v>1. Concluído</v>
      </c>
      <c r="H61" s="73">
        <f>VLOOKUP(A61,'Aux - pivots1'!$A:$B,2,0)</f>
        <v>1</v>
      </c>
      <c r="I61" s="93">
        <f>SUMIFS(Table1[Estimação (horas)],Table1[Tabela],Plano_V1!E61,Table1[Campo],Plano_V1!F61)</f>
        <v>8</v>
      </c>
      <c r="J61" s="93">
        <f t="shared" si="17"/>
        <v>1</v>
      </c>
      <c r="K61" s="98" t="s">
        <v>39</v>
      </c>
      <c r="L61" s="99">
        <f t="shared" si="14"/>
        <v>1</v>
      </c>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100"/>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100"/>
      <c r="EJ61" s="100"/>
      <c r="EK61" s="100"/>
      <c r="EL61" s="100"/>
      <c r="EM61" s="100"/>
      <c r="EN61" s="100"/>
      <c r="EO61" s="100"/>
      <c r="EP61" s="87"/>
      <c r="EQ61" s="87"/>
      <c r="ER61" s="87"/>
      <c r="ES61" s="87"/>
      <c r="ET61" s="87"/>
      <c r="EU61" s="87"/>
      <c r="EV61" s="87"/>
      <c r="EW61" s="87"/>
      <c r="EX61" s="87"/>
      <c r="EY61" s="87"/>
      <c r="EZ61" s="87"/>
      <c r="FA61" s="87"/>
      <c r="FB61" s="87"/>
      <c r="FC61" s="87"/>
      <c r="FD61" s="87"/>
      <c r="FE61" s="87"/>
      <c r="FF61" s="87"/>
      <c r="FG61" s="87"/>
      <c r="FH61" s="87"/>
      <c r="FI61" s="87"/>
      <c r="FJ61" s="87"/>
      <c r="FK61" s="87"/>
    </row>
    <row r="62" spans="1:167" hidden="1" outlineLevel="1">
      <c r="A62" s="31" t="str">
        <f t="shared" si="16"/>
        <v>cd_imv_out_trz_cred_prccempresa</v>
      </c>
      <c r="B62" s="76" t="s">
        <v>28</v>
      </c>
      <c r="C62" s="77" t="s">
        <v>54</v>
      </c>
      <c r="D62" s="73" t="s">
        <v>40</v>
      </c>
      <c r="E62" s="75" t="s">
        <v>56</v>
      </c>
      <c r="F62" s="73" t="s">
        <v>57</v>
      </c>
      <c r="G62" s="73" t="str">
        <f>INDEX(Auxiliar!$B$16:$B$23,MATCH(Plano_V1!H62,Auxiliar!$C$16:$C$23,0),1)</f>
        <v>1. Concluído</v>
      </c>
      <c r="H62" s="73">
        <f>VLOOKUP(A62,'Aux - pivots1'!$A:$B,2,0)</f>
        <v>1</v>
      </c>
      <c r="I62" s="93">
        <f>SUMIFS(Table1[Estimação (horas)],Table1[Tabela],Plano_V1!E62,Table1[Campo],Plano_V1!F62)</f>
        <v>8.1</v>
      </c>
      <c r="J62" s="93">
        <f t="shared" si="17"/>
        <v>1.0125</v>
      </c>
      <c r="K62" s="98" t="s">
        <v>39</v>
      </c>
      <c r="L62" s="99">
        <f t="shared" si="14"/>
        <v>1.0125</v>
      </c>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100"/>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100"/>
      <c r="EJ62" s="100"/>
      <c r="EK62" s="100"/>
      <c r="EL62" s="100"/>
      <c r="EM62" s="100"/>
      <c r="EN62" s="100"/>
      <c r="EO62" s="100"/>
      <c r="EP62" s="87"/>
      <c r="EQ62" s="87"/>
      <c r="ER62" s="87"/>
      <c r="ES62" s="87"/>
      <c r="ET62" s="87"/>
      <c r="EU62" s="87"/>
      <c r="EV62" s="87"/>
      <c r="EW62" s="87"/>
      <c r="EX62" s="87"/>
      <c r="EY62" s="87"/>
      <c r="EZ62" s="87"/>
      <c r="FA62" s="87"/>
      <c r="FB62" s="87"/>
      <c r="FC62" s="87"/>
      <c r="FD62" s="87"/>
      <c r="FE62" s="87"/>
      <c r="FF62" s="87"/>
      <c r="FG62" s="87"/>
      <c r="FH62" s="87"/>
      <c r="FI62" s="87"/>
      <c r="FJ62" s="87"/>
      <c r="FK62" s="87"/>
    </row>
    <row r="63" spans="1:167" hidden="1" outlineLevel="1">
      <c r="A63" s="31" t="str">
        <f t="shared" si="16"/>
        <v>cd_imv_out_trz_cred_prccempresp</v>
      </c>
      <c r="B63" s="76" t="s">
        <v>28</v>
      </c>
      <c r="C63" s="77" t="s">
        <v>54</v>
      </c>
      <c r="D63" s="73" t="s">
        <v>40</v>
      </c>
      <c r="E63" s="75" t="s">
        <v>56</v>
      </c>
      <c r="F63" s="73" t="s">
        <v>74</v>
      </c>
      <c r="G63" s="73" t="str">
        <f>INDEX(Auxiliar!$B$16:$B$23,MATCH(Plano_V1!H63,Auxiliar!$C$16:$C$23,0),1)</f>
        <v>1. Concluído</v>
      </c>
      <c r="H63" s="73">
        <f>VLOOKUP(A63,'Aux - pivots1'!$A:$B,2,0)</f>
        <v>1</v>
      </c>
      <c r="I63" s="93">
        <f>SUMIFS(Table1[Estimação (horas)],Table1[Tabela],Plano_V1!E63,Table1[Campo],Plano_V1!F63)</f>
        <v>8.1</v>
      </c>
      <c r="J63" s="93">
        <f t="shared" si="17"/>
        <v>1.0125</v>
      </c>
      <c r="K63" s="98" t="s">
        <v>39</v>
      </c>
      <c r="L63" s="99">
        <f t="shared" si="14"/>
        <v>1.0125</v>
      </c>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100"/>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100"/>
      <c r="EJ63" s="100"/>
      <c r="EK63" s="100"/>
      <c r="EL63" s="100"/>
      <c r="EM63" s="100"/>
      <c r="EN63" s="100"/>
      <c r="EO63" s="100"/>
      <c r="EP63" s="87"/>
      <c r="EQ63" s="87"/>
      <c r="ER63" s="87"/>
      <c r="ES63" s="87"/>
      <c r="ET63" s="87"/>
      <c r="EU63" s="87"/>
      <c r="EV63" s="87"/>
      <c r="EW63" s="87"/>
      <c r="EX63" s="87"/>
      <c r="EY63" s="87"/>
      <c r="EZ63" s="87"/>
      <c r="FA63" s="87"/>
      <c r="FB63" s="87"/>
      <c r="FC63" s="87"/>
      <c r="FD63" s="87"/>
      <c r="FE63" s="87"/>
      <c r="FF63" s="87"/>
      <c r="FG63" s="87"/>
      <c r="FH63" s="87"/>
      <c r="FI63" s="87"/>
      <c r="FJ63" s="87"/>
      <c r="FK63" s="87"/>
    </row>
    <row r="64" spans="1:167" hidden="1" outlineLevel="1">
      <c r="A64" s="31" t="str">
        <f t="shared" si="16"/>
        <v>cd_imv_out_trz_cred_prcckbalcao</v>
      </c>
      <c r="B64" s="76" t="s">
        <v>28</v>
      </c>
      <c r="C64" s="77" t="s">
        <v>54</v>
      </c>
      <c r="D64" s="73" t="s">
        <v>40</v>
      </c>
      <c r="E64" s="75" t="s">
        <v>56</v>
      </c>
      <c r="F64" s="73" t="s">
        <v>58</v>
      </c>
      <c r="G64" s="73" t="str">
        <f>INDEX(Auxiliar!$B$16:$B$23,MATCH(Plano_V1!H64,Auxiliar!$C$16:$C$23,0),1)</f>
        <v>1. Concluído</v>
      </c>
      <c r="H64" s="73">
        <f>VLOOKUP(A64,'Aux - pivots1'!$A:$B,2,0)</f>
        <v>1</v>
      </c>
      <c r="I64" s="93">
        <f>SUMIFS(Table1[Estimação (horas)],Table1[Tabela],Plano_V1!E64,Table1[Campo],Plano_V1!F64)</f>
        <v>8.1</v>
      </c>
      <c r="J64" s="93">
        <f t="shared" si="17"/>
        <v>1.0125</v>
      </c>
      <c r="K64" s="98" t="s">
        <v>39</v>
      </c>
      <c r="L64" s="99">
        <f t="shared" si="14"/>
        <v>1.0125</v>
      </c>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100"/>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100"/>
      <c r="EJ64" s="100"/>
      <c r="EK64" s="100"/>
      <c r="EL64" s="100"/>
      <c r="EM64" s="100"/>
      <c r="EN64" s="100"/>
      <c r="EO64" s="100"/>
      <c r="EP64" s="87"/>
      <c r="EQ64" s="87"/>
      <c r="ER64" s="87"/>
      <c r="ES64" s="87"/>
      <c r="ET64" s="87"/>
      <c r="EU64" s="87"/>
      <c r="EV64" s="87"/>
      <c r="EW64" s="87"/>
      <c r="EX64" s="87"/>
      <c r="EY64" s="87"/>
      <c r="EZ64" s="87"/>
      <c r="FA64" s="87"/>
      <c r="FB64" s="87"/>
      <c r="FC64" s="87"/>
      <c r="FD64" s="87"/>
      <c r="FE64" s="87"/>
      <c r="FF64" s="87"/>
      <c r="FG64" s="87"/>
      <c r="FH64" s="87"/>
      <c r="FI64" s="87"/>
      <c r="FJ64" s="87"/>
      <c r="FK64" s="87"/>
    </row>
    <row r="65" spans="1:167" hidden="1" outlineLevel="1">
      <c r="A65" s="31" t="str">
        <f t="shared" si="16"/>
        <v>cd_imv_out_trz_cred_prcckbalres</v>
      </c>
      <c r="B65" s="76" t="s">
        <v>28</v>
      </c>
      <c r="C65" s="77" t="s">
        <v>54</v>
      </c>
      <c r="D65" s="73" t="s">
        <v>40</v>
      </c>
      <c r="E65" s="75" t="s">
        <v>56</v>
      </c>
      <c r="F65" s="73" t="s">
        <v>75</v>
      </c>
      <c r="G65" s="73" t="str">
        <f>INDEX(Auxiliar!$B$16:$B$23,MATCH(Plano_V1!H65,Auxiliar!$C$16:$C$23,0),1)</f>
        <v>1. Concluído</v>
      </c>
      <c r="H65" s="73">
        <f>VLOOKUP(A65,'Aux - pivots1'!$A:$B,2,0)</f>
        <v>1</v>
      </c>
      <c r="I65" s="93">
        <f>SUMIFS(Table1[Estimação (horas)],Table1[Tabela],Plano_V1!E65,Table1[Campo],Plano_V1!F65)</f>
        <v>8.1</v>
      </c>
      <c r="J65" s="93">
        <f t="shared" si="17"/>
        <v>1.0125</v>
      </c>
      <c r="K65" s="98" t="s">
        <v>39</v>
      </c>
      <c r="L65" s="99">
        <f t="shared" si="14"/>
        <v>1.0125</v>
      </c>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100"/>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100"/>
      <c r="EJ65" s="100"/>
      <c r="EK65" s="100"/>
      <c r="EL65" s="100"/>
      <c r="EM65" s="100"/>
      <c r="EN65" s="100"/>
      <c r="EO65" s="100"/>
      <c r="EP65" s="87"/>
      <c r="EQ65" s="87"/>
      <c r="ER65" s="87"/>
      <c r="ES65" s="87"/>
      <c r="ET65" s="87"/>
      <c r="EU65" s="87"/>
      <c r="EV65" s="87"/>
      <c r="EW65" s="87"/>
      <c r="EX65" s="87"/>
      <c r="EY65" s="87"/>
      <c r="EZ65" s="87"/>
      <c r="FA65" s="87"/>
      <c r="FB65" s="87"/>
      <c r="FC65" s="87"/>
      <c r="FD65" s="87"/>
      <c r="FE65" s="87"/>
      <c r="FF65" s="87"/>
      <c r="FG65" s="87"/>
      <c r="FH65" s="87"/>
      <c r="FI65" s="87"/>
      <c r="FJ65" s="87"/>
      <c r="FK65" s="87"/>
    </row>
    <row r="66" spans="1:167" hidden="1" outlineLevel="1">
      <c r="A66" s="31" t="str">
        <f t="shared" si="16"/>
        <v>cd_imv_out_trz_cred_prcckctares</v>
      </c>
      <c r="B66" s="76" t="s">
        <v>28</v>
      </c>
      <c r="C66" s="77" t="s">
        <v>54</v>
      </c>
      <c r="D66" s="73" t="s">
        <v>40</v>
      </c>
      <c r="E66" s="75" t="s">
        <v>56</v>
      </c>
      <c r="F66" s="73" t="s">
        <v>76</v>
      </c>
      <c r="G66" s="73" t="str">
        <f>INDEX(Auxiliar!$B$16:$B$23,MATCH(Plano_V1!H66,Auxiliar!$C$16:$C$23,0),1)</f>
        <v>1. Concluído</v>
      </c>
      <c r="H66" s="73">
        <f>VLOOKUP(A66,'Aux - pivots1'!$A:$B,2,0)</f>
        <v>1</v>
      </c>
      <c r="I66" s="93">
        <f>SUMIFS(Table1[Estimação (horas)],Table1[Tabela],Plano_V1!E66,Table1[Campo],Plano_V1!F66)</f>
        <v>8.1</v>
      </c>
      <c r="J66" s="93">
        <f t="shared" si="17"/>
        <v>1.0125</v>
      </c>
      <c r="K66" s="98" t="s">
        <v>39</v>
      </c>
      <c r="L66" s="99">
        <f t="shared" si="14"/>
        <v>1.0125</v>
      </c>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100"/>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100"/>
      <c r="EJ66" s="100"/>
      <c r="EK66" s="100"/>
      <c r="EL66" s="100"/>
      <c r="EM66" s="100"/>
      <c r="EN66" s="100"/>
      <c r="EO66" s="100"/>
      <c r="EP66" s="87"/>
      <c r="EQ66" s="87"/>
      <c r="ER66" s="87"/>
      <c r="ES66" s="87"/>
      <c r="ET66" s="87"/>
      <c r="EU66" s="87"/>
      <c r="EV66" s="87"/>
      <c r="EW66" s="87"/>
      <c r="EX66" s="87"/>
      <c r="EY66" s="87"/>
      <c r="EZ66" s="87"/>
      <c r="FA66" s="87"/>
      <c r="FB66" s="87"/>
      <c r="FC66" s="87"/>
      <c r="FD66" s="87"/>
      <c r="FE66" s="87"/>
      <c r="FF66" s="87"/>
      <c r="FG66" s="87"/>
      <c r="FH66" s="87"/>
      <c r="FI66" s="87"/>
      <c r="FJ66" s="87"/>
      <c r="FK66" s="87"/>
    </row>
    <row r="67" spans="1:167" hidden="1" outlineLevel="1">
      <c r="A67" s="31" t="str">
        <f t="shared" si="16"/>
        <v>cd_imv_out_trz_cred_prccknumcta</v>
      </c>
      <c r="B67" s="76" t="s">
        <v>28</v>
      </c>
      <c r="C67" s="77" t="s">
        <v>54</v>
      </c>
      <c r="D67" s="73" t="s">
        <v>40</v>
      </c>
      <c r="E67" s="75" t="s">
        <v>56</v>
      </c>
      <c r="F67" s="73" t="s">
        <v>59</v>
      </c>
      <c r="G67" s="73" t="str">
        <f>INDEX(Auxiliar!$B$16:$B$23,MATCH(Plano_V1!H67,Auxiliar!$C$16:$C$23,0),1)</f>
        <v>1. Concluído</v>
      </c>
      <c r="H67" s="73">
        <f>VLOOKUP(A67,'Aux - pivots1'!$A:$B,2,0)</f>
        <v>1</v>
      </c>
      <c r="I67" s="93">
        <f>SUMIFS(Table1[Estimação (horas)],Table1[Tabela],Plano_V1!E67,Table1[Campo],Plano_V1!F67)</f>
        <v>8.1</v>
      </c>
      <c r="J67" s="93">
        <f t="shared" si="17"/>
        <v>1.0125</v>
      </c>
      <c r="K67" s="98" t="s">
        <v>39</v>
      </c>
      <c r="L67" s="99">
        <f t="shared" si="14"/>
        <v>1.0125</v>
      </c>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100"/>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100"/>
      <c r="EJ67" s="100"/>
      <c r="EK67" s="100"/>
      <c r="EL67" s="100"/>
      <c r="EM67" s="100"/>
      <c r="EN67" s="100"/>
      <c r="EO67" s="100"/>
      <c r="EP67" s="87"/>
      <c r="EQ67" s="87"/>
      <c r="ER67" s="87"/>
      <c r="ES67" s="87"/>
      <c r="ET67" s="87"/>
      <c r="EU67" s="87"/>
      <c r="EV67" s="87"/>
      <c r="EW67" s="87"/>
      <c r="EX67" s="87"/>
      <c r="EY67" s="87"/>
      <c r="EZ67" s="87"/>
      <c r="FA67" s="87"/>
      <c r="FB67" s="87"/>
      <c r="FC67" s="87"/>
      <c r="FD67" s="87"/>
      <c r="FE67" s="87"/>
      <c r="FF67" s="87"/>
      <c r="FG67" s="87"/>
      <c r="FH67" s="87"/>
      <c r="FI67" s="87"/>
      <c r="FJ67" s="87"/>
      <c r="FK67" s="87"/>
    </row>
    <row r="68" spans="1:167" hidden="1" outlineLevel="1">
      <c r="A68" s="31" t="str">
        <f t="shared" si="16"/>
        <v>cd_imv_out_trz_cred_prcckrefresp</v>
      </c>
      <c r="B68" s="76" t="s">
        <v>28</v>
      </c>
      <c r="C68" s="77" t="s">
        <v>54</v>
      </c>
      <c r="D68" s="73" t="s">
        <v>40</v>
      </c>
      <c r="E68" s="75" t="s">
        <v>56</v>
      </c>
      <c r="F68" s="73" t="s">
        <v>77</v>
      </c>
      <c r="G68" s="73" t="str">
        <f>INDEX(Auxiliar!$B$16:$B$23,MATCH(Plano_V1!H68,Auxiliar!$C$16:$C$23,0),1)</f>
        <v>1. Concluído</v>
      </c>
      <c r="H68" s="73">
        <f>VLOOKUP(A68,'Aux - pivots1'!$A:$B,2,0)</f>
        <v>1</v>
      </c>
      <c r="I68" s="93">
        <f>SUMIFS(Table1[Estimação (horas)],Table1[Tabela],Plano_V1!E68,Table1[Campo],Plano_V1!F68)</f>
        <v>8.1</v>
      </c>
      <c r="J68" s="93">
        <f t="shared" si="17"/>
        <v>1.0125</v>
      </c>
      <c r="K68" s="98" t="s">
        <v>39</v>
      </c>
      <c r="L68" s="99">
        <f t="shared" si="14"/>
        <v>1.0125</v>
      </c>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100"/>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100"/>
      <c r="EJ68" s="100"/>
      <c r="EK68" s="100"/>
      <c r="EL68" s="100"/>
      <c r="EM68" s="100"/>
      <c r="EN68" s="100"/>
      <c r="EO68" s="100"/>
      <c r="EP68" s="87"/>
      <c r="EQ68" s="87"/>
      <c r="ER68" s="87"/>
      <c r="ES68" s="87"/>
      <c r="ET68" s="87"/>
      <c r="EU68" s="87"/>
      <c r="EV68" s="87"/>
      <c r="EW68" s="87"/>
      <c r="EX68" s="87"/>
      <c r="EY68" s="87"/>
      <c r="EZ68" s="87"/>
      <c r="FA68" s="87"/>
      <c r="FB68" s="87"/>
      <c r="FC68" s="87"/>
      <c r="FD68" s="87"/>
      <c r="FE68" s="87"/>
      <c r="FF68" s="87"/>
      <c r="FG68" s="87"/>
      <c r="FH68" s="87"/>
      <c r="FI68" s="87"/>
      <c r="FJ68" s="87"/>
      <c r="FK68" s="87"/>
    </row>
    <row r="69" spans="1:167" hidden="1" outlineLevel="1">
      <c r="A69" s="31" t="str">
        <f t="shared" si="16"/>
        <v>cd_imv_out_trz_cred_prccod_fnld</v>
      </c>
      <c r="B69" s="76" t="s">
        <v>28</v>
      </c>
      <c r="C69" s="77" t="s">
        <v>54</v>
      </c>
      <c r="D69" s="73" t="s">
        <v>40</v>
      </c>
      <c r="E69" s="75" t="s">
        <v>56</v>
      </c>
      <c r="F69" s="73" t="s">
        <v>78</v>
      </c>
      <c r="G69" s="73" t="str">
        <f>INDEX(Auxiliar!$B$16:$B$23,MATCH(Plano_V1!H69,Auxiliar!$C$16:$C$23,0),1)</f>
        <v>1. Concluído</v>
      </c>
      <c r="H69" s="73">
        <f>VLOOKUP(A69,'Aux - pivots1'!$A:$B,2,0)</f>
        <v>1</v>
      </c>
      <c r="I69" s="93">
        <f>SUMIFS(Table1[Estimação (horas)],Table1[Tabela],Plano_V1!E69,Table1[Campo],Plano_V1!F69)</f>
        <v>8.1</v>
      </c>
      <c r="J69" s="93">
        <f t="shared" si="17"/>
        <v>1.0125</v>
      </c>
      <c r="K69" s="98" t="s">
        <v>39</v>
      </c>
      <c r="L69" s="99">
        <f t="shared" si="14"/>
        <v>1.0125</v>
      </c>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100"/>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100"/>
      <c r="EJ69" s="100"/>
      <c r="EK69" s="100"/>
      <c r="EL69" s="100"/>
      <c r="EM69" s="100"/>
      <c r="EN69" s="100"/>
      <c r="EO69" s="100"/>
      <c r="EP69" s="87"/>
      <c r="EQ69" s="87"/>
      <c r="ER69" s="87"/>
      <c r="ES69" s="87"/>
      <c r="ET69" s="87"/>
      <c r="EU69" s="87"/>
      <c r="EV69" s="87"/>
      <c r="EW69" s="87"/>
      <c r="EX69" s="87"/>
      <c r="EY69" s="87"/>
      <c r="EZ69" s="87"/>
      <c r="FA69" s="87"/>
      <c r="FB69" s="87"/>
      <c r="FC69" s="87"/>
      <c r="FD69" s="87"/>
      <c r="FE69" s="87"/>
      <c r="FF69" s="87"/>
      <c r="FG69" s="87"/>
      <c r="FH69" s="87"/>
      <c r="FI69" s="87"/>
      <c r="FJ69" s="87"/>
      <c r="FK69" s="87"/>
    </row>
    <row r="70" spans="1:167" hidden="1" outlineLevel="1">
      <c r="A70" s="31" t="str">
        <f t="shared" si="16"/>
        <v>cd_imv_out_trz_cred_prccod_ocupacao</v>
      </c>
      <c r="B70" s="76" t="s">
        <v>28</v>
      </c>
      <c r="C70" s="77" t="s">
        <v>54</v>
      </c>
      <c r="D70" s="73" t="s">
        <v>40</v>
      </c>
      <c r="E70" s="75" t="s">
        <v>56</v>
      </c>
      <c r="F70" s="73" t="s">
        <v>79</v>
      </c>
      <c r="G70" s="73" t="str">
        <f>INDEX(Auxiliar!$B$16:$B$23,MATCH(Plano_V1!H70,Auxiliar!$C$16:$C$23,0),1)</f>
        <v>1. Concluído</v>
      </c>
      <c r="H70" s="73">
        <f>VLOOKUP(A70,'Aux - pivots1'!$A:$B,2,0)</f>
        <v>1</v>
      </c>
      <c r="I70" s="93">
        <f>SUMIFS(Table1[Estimação (horas)],Table1[Tabela],Plano_V1!E70,Table1[Campo],Plano_V1!F70)</f>
        <v>8.1</v>
      </c>
      <c r="J70" s="93">
        <f t="shared" si="17"/>
        <v>1.0125</v>
      </c>
      <c r="K70" s="98" t="s">
        <v>39</v>
      </c>
      <c r="L70" s="99">
        <f t="shared" si="14"/>
        <v>1.0125</v>
      </c>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100"/>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100"/>
      <c r="EJ70" s="100"/>
      <c r="EK70" s="100"/>
      <c r="EL70" s="100"/>
      <c r="EM70" s="100"/>
      <c r="EN70" s="100"/>
      <c r="EO70" s="100"/>
      <c r="EP70" s="87"/>
      <c r="EQ70" s="87"/>
      <c r="ER70" s="87"/>
      <c r="ES70" s="87"/>
      <c r="ET70" s="87"/>
      <c r="EU70" s="87"/>
      <c r="EV70" s="87"/>
      <c r="EW70" s="87"/>
      <c r="EX70" s="87"/>
      <c r="EY70" s="87"/>
      <c r="EZ70" s="87"/>
      <c r="FA70" s="87"/>
      <c r="FB70" s="87"/>
      <c r="FC70" s="87"/>
      <c r="FD70" s="87"/>
      <c r="FE70" s="87"/>
      <c r="FF70" s="87"/>
      <c r="FG70" s="87"/>
      <c r="FH70" s="87"/>
      <c r="FI70" s="87"/>
      <c r="FJ70" s="87"/>
      <c r="FK70" s="87"/>
    </row>
    <row r="71" spans="1:167" hidden="1" outlineLevel="1">
      <c r="A71" s="31" t="str">
        <f t="shared" si="16"/>
        <v>cd_imv_out_trz_cred_prccod_prd_resp</v>
      </c>
      <c r="B71" s="76" t="s">
        <v>28</v>
      </c>
      <c r="C71" s="77" t="s">
        <v>54</v>
      </c>
      <c r="D71" s="73" t="s">
        <v>40</v>
      </c>
      <c r="E71" s="75" t="s">
        <v>56</v>
      </c>
      <c r="F71" s="73" t="s">
        <v>80</v>
      </c>
      <c r="G71" s="73" t="str">
        <f>INDEX(Auxiliar!$B$16:$B$23,MATCH(Plano_V1!H71,Auxiliar!$C$16:$C$23,0),1)</f>
        <v>1. Concluído</v>
      </c>
      <c r="H71" s="73">
        <f>VLOOKUP(A71,'Aux - pivots1'!$A:$B,2,0)</f>
        <v>1</v>
      </c>
      <c r="I71" s="93">
        <f>SUMIFS(Table1[Estimação (horas)],Table1[Tabela],Plano_V1!E71,Table1[Campo],Plano_V1!F71)</f>
        <v>8.1</v>
      </c>
      <c r="J71" s="93">
        <f t="shared" si="17"/>
        <v>1.0125</v>
      </c>
      <c r="K71" s="98" t="s">
        <v>39</v>
      </c>
      <c r="L71" s="99">
        <f t="shared" si="14"/>
        <v>1.0125</v>
      </c>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100"/>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100"/>
      <c r="EJ71" s="100"/>
      <c r="EK71" s="100"/>
      <c r="EL71" s="100"/>
      <c r="EM71" s="100"/>
      <c r="EN71" s="100"/>
      <c r="EO71" s="100"/>
      <c r="EP71" s="87"/>
      <c r="EQ71" s="87"/>
      <c r="ER71" s="87"/>
      <c r="ES71" s="87"/>
      <c r="ET71" s="87"/>
      <c r="EU71" s="87"/>
      <c r="EV71" s="87"/>
      <c r="EW71" s="87"/>
      <c r="EX71" s="87"/>
      <c r="EY71" s="87"/>
      <c r="EZ71" s="87"/>
      <c r="FA71" s="87"/>
      <c r="FB71" s="87"/>
      <c r="FC71" s="87"/>
      <c r="FD71" s="87"/>
      <c r="FE71" s="87"/>
      <c r="FF71" s="87"/>
      <c r="FG71" s="87"/>
      <c r="FH71" s="87"/>
      <c r="FI71" s="87"/>
      <c r="FJ71" s="87"/>
      <c r="FK71" s="87"/>
    </row>
    <row r="72" spans="1:167" hidden="1" outlineLevel="1">
      <c r="A72" s="31" t="str">
        <f t="shared" si="16"/>
        <v>cd_imv_out_trz_cred_prccod_sit</v>
      </c>
      <c r="B72" s="76" t="s">
        <v>28</v>
      </c>
      <c r="C72" s="77" t="s">
        <v>54</v>
      </c>
      <c r="D72" s="73" t="s">
        <v>40</v>
      </c>
      <c r="E72" s="75" t="s">
        <v>56</v>
      </c>
      <c r="F72" s="73" t="s">
        <v>81</v>
      </c>
      <c r="G72" s="73" t="str">
        <f>INDEX(Auxiliar!$B$16:$B$23,MATCH(Plano_V1!H72,Auxiliar!$C$16:$C$23,0),1)</f>
        <v>0. Cancelado</v>
      </c>
      <c r="H72" s="73">
        <f>VLOOKUP(A72,'Aux - pivots1'!$A:$B,2,0)</f>
        <v>0</v>
      </c>
      <c r="I72" s="94">
        <v>0</v>
      </c>
      <c r="J72" s="93">
        <f t="shared" si="17"/>
        <v>0</v>
      </c>
      <c r="K72" s="98" t="s">
        <v>39</v>
      </c>
      <c r="L72" s="99">
        <f t="shared" si="14"/>
        <v>0</v>
      </c>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100"/>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100"/>
      <c r="EJ72" s="100"/>
      <c r="EK72" s="100"/>
      <c r="EL72" s="100"/>
      <c r="EM72" s="100"/>
      <c r="EN72" s="100"/>
      <c r="EO72" s="100"/>
      <c r="EP72" s="87"/>
      <c r="EQ72" s="87"/>
      <c r="ER72" s="87"/>
      <c r="ES72" s="87"/>
      <c r="ET72" s="87"/>
      <c r="EU72" s="87"/>
      <c r="EV72" s="87"/>
      <c r="EW72" s="87"/>
      <c r="EX72" s="87"/>
      <c r="EY72" s="87"/>
      <c r="EZ72" s="87"/>
      <c r="FA72" s="87"/>
      <c r="FB72" s="87"/>
      <c r="FC72" s="87"/>
      <c r="FD72" s="87"/>
      <c r="FE72" s="87"/>
      <c r="FF72" s="87"/>
      <c r="FG72" s="87"/>
      <c r="FH72" s="87"/>
      <c r="FI72" s="87"/>
      <c r="FJ72" s="87"/>
      <c r="FK72" s="87"/>
    </row>
    <row r="73" spans="1:167" hidden="1" outlineLevel="1">
      <c r="A73" s="31" t="str">
        <f t="shared" si="16"/>
        <v>cd_imv_out_trz_cred_prccod_sprd_resp</v>
      </c>
      <c r="B73" s="76" t="s">
        <v>28</v>
      </c>
      <c r="C73" s="77" t="s">
        <v>54</v>
      </c>
      <c r="D73" s="73" t="s">
        <v>40</v>
      </c>
      <c r="E73" s="75" t="s">
        <v>56</v>
      </c>
      <c r="F73" s="73" t="s">
        <v>82</v>
      </c>
      <c r="G73" s="73" t="str">
        <f>INDEX(Auxiliar!$B$16:$B$23,MATCH(Plano_V1!H73,Auxiliar!$C$16:$C$23,0),1)</f>
        <v>1. Concluído</v>
      </c>
      <c r="H73" s="73">
        <f>VLOOKUP(A73,'Aux - pivots1'!$A:$B,2,0)</f>
        <v>1</v>
      </c>
      <c r="I73" s="93">
        <f>SUMIFS(Table1[Estimação (horas)],Table1[Tabela],Plano_V1!E73,Table1[Campo],Plano_V1!F73)</f>
        <v>8.1</v>
      </c>
      <c r="J73" s="93">
        <f t="shared" si="17"/>
        <v>1.0125</v>
      </c>
      <c r="K73" s="98" t="s">
        <v>39</v>
      </c>
      <c r="L73" s="99">
        <f t="shared" si="14"/>
        <v>1.0125</v>
      </c>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100"/>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100"/>
      <c r="EJ73" s="100"/>
      <c r="EK73" s="100"/>
      <c r="EL73" s="100"/>
      <c r="EM73" s="100"/>
      <c r="EN73" s="100"/>
      <c r="EO73" s="100"/>
      <c r="EP73" s="87"/>
      <c r="EQ73" s="87"/>
      <c r="ER73" s="87"/>
      <c r="ES73" s="87"/>
      <c r="ET73" s="87"/>
      <c r="EU73" s="87"/>
      <c r="EV73" s="87"/>
      <c r="EW73" s="87"/>
      <c r="EX73" s="87"/>
      <c r="EY73" s="87"/>
      <c r="EZ73" s="87"/>
      <c r="FA73" s="87"/>
      <c r="FB73" s="87"/>
      <c r="FC73" s="87"/>
      <c r="FD73" s="87"/>
      <c r="FE73" s="87"/>
      <c r="FF73" s="87"/>
      <c r="FG73" s="87"/>
      <c r="FH73" s="87"/>
      <c r="FI73" s="87"/>
      <c r="FJ73" s="87"/>
      <c r="FK73" s="87"/>
    </row>
    <row r="74" spans="1:167" hidden="1" outlineLevel="1">
      <c r="A74" s="31" t="str">
        <f t="shared" si="16"/>
        <v>cd_imv_out_trz_cred_prccomp_id_gar</v>
      </c>
      <c r="B74" s="76" t="s">
        <v>28</v>
      </c>
      <c r="C74" s="77" t="s">
        <v>54</v>
      </c>
      <c r="D74" s="73" t="s">
        <v>40</v>
      </c>
      <c r="E74" s="75" t="s">
        <v>56</v>
      </c>
      <c r="F74" s="73" t="s">
        <v>67</v>
      </c>
      <c r="G74" s="73" t="str">
        <f>INDEX(Auxiliar!$B$16:$B$23,MATCH(Plano_V1!H74,Auxiliar!$C$16:$C$23,0),1)</f>
        <v>1. Concluído</v>
      </c>
      <c r="H74" s="73">
        <f>VLOOKUP(A74,'Aux - pivots1'!$A:$B,2,0)</f>
        <v>1</v>
      </c>
      <c r="I74" s="93">
        <f>SUMIFS(Table1[Estimação (horas)],Table1[Tabela],Plano_V1!E74,Table1[Campo],Plano_V1!F74)</f>
        <v>8.1</v>
      </c>
      <c r="J74" s="93">
        <f t="shared" si="17"/>
        <v>1.0125</v>
      </c>
      <c r="K74" s="98" t="s">
        <v>39</v>
      </c>
      <c r="L74" s="99">
        <f t="shared" si="14"/>
        <v>1.0125</v>
      </c>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100"/>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100"/>
      <c r="EJ74" s="100"/>
      <c r="EK74" s="100"/>
      <c r="EL74" s="100"/>
      <c r="EM74" s="100"/>
      <c r="EN74" s="100"/>
      <c r="EO74" s="100"/>
      <c r="EP74" s="87"/>
      <c r="EQ74" s="87"/>
      <c r="ER74" s="87"/>
      <c r="ES74" s="87"/>
      <c r="ET74" s="87"/>
      <c r="EU74" s="87"/>
      <c r="EV74" s="87"/>
      <c r="EW74" s="87"/>
      <c r="EX74" s="87"/>
      <c r="EY74" s="87"/>
      <c r="EZ74" s="87"/>
      <c r="FA74" s="87"/>
      <c r="FB74" s="87"/>
      <c r="FC74" s="87"/>
      <c r="FD74" s="87"/>
      <c r="FE74" s="87"/>
      <c r="FF74" s="87"/>
      <c r="FG74" s="87"/>
      <c r="FH74" s="87"/>
      <c r="FI74" s="87"/>
      <c r="FJ74" s="87"/>
      <c r="FK74" s="87"/>
    </row>
    <row r="75" spans="1:167" hidden="1" outlineLevel="1">
      <c r="A75" s="31" t="str">
        <f t="shared" si="16"/>
        <v>cd_imv_out_trz_cred_prcdata_fim</v>
      </c>
      <c r="B75" s="76" t="s">
        <v>28</v>
      </c>
      <c r="C75" s="77" t="s">
        <v>54</v>
      </c>
      <c r="D75" s="73" t="s">
        <v>40</v>
      </c>
      <c r="E75" s="75" t="s">
        <v>56</v>
      </c>
      <c r="F75" s="73" t="s">
        <v>83</v>
      </c>
      <c r="G75" s="73" t="str">
        <f>INDEX(Auxiliar!$B$16:$B$23,MATCH(Plano_V1!H75,Auxiliar!$C$16:$C$23,0),1)</f>
        <v>1. Concluído</v>
      </c>
      <c r="H75" s="73">
        <f>VLOOKUP(A75,'Aux - pivots1'!$A:$B,2,0)</f>
        <v>1</v>
      </c>
      <c r="I75" s="93">
        <f>SUMIFS(Table1[Estimação (horas)],Table1[Tabela],Plano_V1!E75,Table1[Campo],Plano_V1!F75)</f>
        <v>8.1</v>
      </c>
      <c r="J75" s="93">
        <f t="shared" si="17"/>
        <v>1.0125</v>
      </c>
      <c r="K75" s="98" t="s">
        <v>39</v>
      </c>
      <c r="L75" s="99">
        <f t="shared" si="14"/>
        <v>1.0125</v>
      </c>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100"/>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100"/>
      <c r="EJ75" s="100"/>
      <c r="EK75" s="100"/>
      <c r="EL75" s="100"/>
      <c r="EM75" s="100"/>
      <c r="EN75" s="100"/>
      <c r="EO75" s="100"/>
      <c r="EP75" s="87"/>
      <c r="EQ75" s="87"/>
      <c r="ER75" s="87"/>
      <c r="ES75" s="87"/>
      <c r="ET75" s="87"/>
      <c r="EU75" s="87"/>
      <c r="EV75" s="87"/>
      <c r="EW75" s="87"/>
      <c r="EX75" s="87"/>
      <c r="EY75" s="87"/>
      <c r="EZ75" s="87"/>
      <c r="FA75" s="87"/>
      <c r="FB75" s="87"/>
      <c r="FC75" s="87"/>
      <c r="FD75" s="87"/>
      <c r="FE75" s="87"/>
      <c r="FF75" s="87"/>
      <c r="FG75" s="87"/>
      <c r="FH75" s="87"/>
      <c r="FI75" s="87"/>
      <c r="FJ75" s="87"/>
      <c r="FK75" s="87"/>
    </row>
    <row r="76" spans="1:167" hidden="1" outlineLevel="1">
      <c r="A76" s="31" t="str">
        <f t="shared" si="16"/>
        <v>cd_imv_out_trz_cred_prcdata_inicio</v>
      </c>
      <c r="B76" s="76" t="s">
        <v>28</v>
      </c>
      <c r="C76" s="77" t="s">
        <v>54</v>
      </c>
      <c r="D76" s="73" t="s">
        <v>40</v>
      </c>
      <c r="E76" s="75" t="s">
        <v>56</v>
      </c>
      <c r="F76" s="73" t="s">
        <v>68</v>
      </c>
      <c r="G76" s="73" t="str">
        <f>INDEX(Auxiliar!$B$16:$B$23,MATCH(Plano_V1!H76,Auxiliar!$C$16:$C$23,0),1)</f>
        <v>1. Concluído</v>
      </c>
      <c r="H76" s="73">
        <f>VLOOKUP(A76,'Aux - pivots1'!$A:$B,2,0)</f>
        <v>1</v>
      </c>
      <c r="I76" s="93">
        <f>SUMIFS(Table1[Estimação (horas)],Table1[Tabela],Plano_V1!E76,Table1[Campo],Plano_V1!F76)</f>
        <v>8.1</v>
      </c>
      <c r="J76" s="93">
        <f t="shared" si="17"/>
        <v>1.0125</v>
      </c>
      <c r="K76" s="98" t="s">
        <v>39</v>
      </c>
      <c r="L76" s="99">
        <f t="shared" si="14"/>
        <v>1.0125</v>
      </c>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100"/>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100"/>
      <c r="EJ76" s="100"/>
      <c r="EK76" s="100"/>
      <c r="EL76" s="100"/>
      <c r="EM76" s="100"/>
      <c r="EN76" s="100"/>
      <c r="EO76" s="100"/>
      <c r="EP76" s="87"/>
      <c r="EQ76" s="87"/>
      <c r="ER76" s="87"/>
      <c r="ES76" s="87"/>
      <c r="ET76" s="87"/>
      <c r="EU76" s="87"/>
      <c r="EV76" s="87"/>
      <c r="EW76" s="87"/>
      <c r="EX76" s="87"/>
      <c r="EY76" s="87"/>
      <c r="EZ76" s="87"/>
      <c r="FA76" s="87"/>
      <c r="FB76" s="87"/>
      <c r="FC76" s="87"/>
      <c r="FD76" s="87"/>
      <c r="FE76" s="87"/>
      <c r="FF76" s="87"/>
      <c r="FG76" s="87"/>
      <c r="FH76" s="87"/>
      <c r="FI76" s="87"/>
      <c r="FJ76" s="87"/>
      <c r="FK76" s="87"/>
    </row>
    <row r="77" spans="1:167" hidden="1" outlineLevel="1">
      <c r="A77" s="31" t="str">
        <f t="shared" si="16"/>
        <v>cd_imv_out_trz_cred_prcdata_vcmt</v>
      </c>
      <c r="B77" s="76" t="s">
        <v>28</v>
      </c>
      <c r="C77" s="77" t="s">
        <v>54</v>
      </c>
      <c r="D77" s="73" t="s">
        <v>40</v>
      </c>
      <c r="E77" s="75" t="s">
        <v>56</v>
      </c>
      <c r="F77" s="73" t="s">
        <v>69</v>
      </c>
      <c r="G77" s="73" t="str">
        <f>INDEX(Auxiliar!$B$16:$B$23,MATCH(Plano_V1!H77,Auxiliar!$C$16:$C$23,0),1)</f>
        <v>1. Concluído</v>
      </c>
      <c r="H77" s="73">
        <f>VLOOKUP(A77,'Aux - pivots1'!$A:$B,2,0)</f>
        <v>1</v>
      </c>
      <c r="I77" s="93">
        <f>SUMIFS(Table1[Estimação (horas)],Table1[Tabela],Plano_V1!E77,Table1[Campo],Plano_V1!F77)</f>
        <v>8.1</v>
      </c>
      <c r="J77" s="93">
        <f t="shared" si="17"/>
        <v>1.0125</v>
      </c>
      <c r="K77" s="98" t="s">
        <v>39</v>
      </c>
      <c r="L77" s="99">
        <f t="shared" si="14"/>
        <v>1.0125</v>
      </c>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100"/>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100"/>
      <c r="EJ77" s="100"/>
      <c r="EK77" s="100"/>
      <c r="EL77" s="100"/>
      <c r="EM77" s="100"/>
      <c r="EN77" s="100"/>
      <c r="EO77" s="100"/>
      <c r="EP77" s="87"/>
      <c r="EQ77" s="87"/>
      <c r="ER77" s="87"/>
      <c r="ES77" s="87"/>
      <c r="ET77" s="87"/>
      <c r="EU77" s="87"/>
      <c r="EV77" s="87"/>
      <c r="EW77" s="87"/>
      <c r="EX77" s="87"/>
      <c r="EY77" s="87"/>
      <c r="EZ77" s="87"/>
      <c r="FA77" s="87"/>
      <c r="FB77" s="87"/>
      <c r="FC77" s="87"/>
      <c r="FD77" s="87"/>
      <c r="FE77" s="87"/>
      <c r="FF77" s="87"/>
      <c r="FG77" s="87"/>
      <c r="FH77" s="87"/>
      <c r="FI77" s="87"/>
      <c r="FJ77" s="87"/>
      <c r="FK77" s="87"/>
    </row>
    <row r="78" spans="1:167" hidden="1" outlineLevel="1">
      <c r="A78" s="31" t="str">
        <f t="shared" si="16"/>
        <v>cd_imv_out_trz_cred_prcidetgar</v>
      </c>
      <c r="B78" s="76" t="s">
        <v>28</v>
      </c>
      <c r="C78" s="77" t="s">
        <v>54</v>
      </c>
      <c r="D78" s="73" t="s">
        <v>40</v>
      </c>
      <c r="E78" s="75" t="s">
        <v>56</v>
      </c>
      <c r="F78" s="73" t="s">
        <v>84</v>
      </c>
      <c r="G78" s="73" t="str">
        <f>INDEX(Auxiliar!$B$16:$B$23,MATCH(Plano_V1!H78,Auxiliar!$C$16:$C$23,0),1)</f>
        <v>0. Cancelado</v>
      </c>
      <c r="H78" s="73">
        <f>VLOOKUP(A78,'Aux - pivots1'!$A:$B,2,0)</f>
        <v>0</v>
      </c>
      <c r="I78" s="94">
        <v>0</v>
      </c>
      <c r="J78" s="93">
        <f t="shared" si="17"/>
        <v>0</v>
      </c>
      <c r="K78" s="98" t="s">
        <v>39</v>
      </c>
      <c r="L78" s="99">
        <f t="shared" si="14"/>
        <v>0</v>
      </c>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100"/>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100"/>
      <c r="EJ78" s="100"/>
      <c r="EK78" s="100"/>
      <c r="EL78" s="100"/>
      <c r="EM78" s="100"/>
      <c r="EN78" s="100"/>
      <c r="EO78" s="100"/>
      <c r="EP78" s="87"/>
      <c r="EQ78" s="87"/>
      <c r="ER78" s="87"/>
      <c r="ES78" s="87"/>
      <c r="ET78" s="87"/>
      <c r="EU78" s="87"/>
      <c r="EV78" s="87"/>
      <c r="EW78" s="87"/>
      <c r="EX78" s="87"/>
      <c r="EY78" s="87"/>
      <c r="EZ78" s="87"/>
      <c r="FA78" s="87"/>
      <c r="FB78" s="87"/>
      <c r="FC78" s="87"/>
      <c r="FD78" s="87"/>
      <c r="FE78" s="87"/>
      <c r="FF78" s="87"/>
      <c r="FG78" s="87"/>
      <c r="FH78" s="87"/>
      <c r="FI78" s="87"/>
      <c r="FJ78" s="87"/>
      <c r="FK78" s="87"/>
    </row>
    <row r="79" spans="1:167" hidden="1" outlineLevel="1">
      <c r="A79" s="31" t="str">
        <f t="shared" si="16"/>
        <v>cd_imv_out_trz_cred_prcnum_prop</v>
      </c>
      <c r="B79" s="76" t="s">
        <v>28</v>
      </c>
      <c r="C79" s="77" t="s">
        <v>54</v>
      </c>
      <c r="D79" s="73" t="s">
        <v>40</v>
      </c>
      <c r="E79" s="75" t="s">
        <v>56</v>
      </c>
      <c r="F79" s="73" t="s">
        <v>85</v>
      </c>
      <c r="G79" s="73" t="str">
        <f>INDEX(Auxiliar!$B$16:$B$23,MATCH(Plano_V1!H79,Auxiliar!$C$16:$C$23,0),1)</f>
        <v>0. Cancelado</v>
      </c>
      <c r="H79" s="73">
        <f>VLOOKUP(A79,'Aux - pivots1'!$A:$B,2,0)</f>
        <v>0</v>
      </c>
      <c r="I79" s="94">
        <v>0</v>
      </c>
      <c r="J79" s="93">
        <f t="shared" si="17"/>
        <v>0</v>
      </c>
      <c r="K79" s="98" t="s">
        <v>39</v>
      </c>
      <c r="L79" s="99">
        <f t="shared" si="14"/>
        <v>0</v>
      </c>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100"/>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100"/>
      <c r="EJ79" s="100"/>
      <c r="EK79" s="100"/>
      <c r="EL79" s="100"/>
      <c r="EM79" s="100"/>
      <c r="EN79" s="100"/>
      <c r="EO79" s="100"/>
      <c r="EP79" s="87"/>
      <c r="EQ79" s="87"/>
      <c r="ER79" s="87"/>
      <c r="ES79" s="87"/>
      <c r="ET79" s="87"/>
      <c r="EU79" s="87"/>
      <c r="EV79" s="87"/>
      <c r="EW79" s="87"/>
      <c r="EX79" s="87"/>
      <c r="EY79" s="87"/>
      <c r="EZ79" s="87"/>
      <c r="FA79" s="87"/>
      <c r="FB79" s="87"/>
      <c r="FC79" s="87"/>
      <c r="FD79" s="87"/>
      <c r="FE79" s="87"/>
      <c r="FF79" s="87"/>
      <c r="FG79" s="87"/>
      <c r="FH79" s="87"/>
      <c r="FI79" s="87"/>
      <c r="FJ79" s="87"/>
      <c r="FK79" s="87"/>
    </row>
    <row r="80" spans="1:167" hidden="1" outlineLevel="1">
      <c r="A80" s="31" t="str">
        <f t="shared" si="16"/>
        <v>cd_imv_out_trz_cred_prcorigem</v>
      </c>
      <c r="B80" s="76" t="s">
        <v>28</v>
      </c>
      <c r="C80" s="77" t="s">
        <v>54</v>
      </c>
      <c r="D80" s="73" t="s">
        <v>40</v>
      </c>
      <c r="E80" s="75" t="s">
        <v>56</v>
      </c>
      <c r="F80" s="73" t="s">
        <v>72</v>
      </c>
      <c r="G80" s="73" t="str">
        <f>INDEX(Auxiliar!$B$16:$B$23,MATCH(Plano_V1!H80,Auxiliar!$C$16:$C$23,0),1)</f>
        <v>1. Concluído</v>
      </c>
      <c r="H80" s="73">
        <f>VLOOKUP(A80,'Aux - pivots1'!$A:$B,2,0)</f>
        <v>1</v>
      </c>
      <c r="I80" s="93">
        <f>SUMIFS(Table1[Estimação (horas)],Table1[Tabela],Plano_V1!E80,Table1[Campo],Plano_V1!F80)</f>
        <v>4.0999999999999996</v>
      </c>
      <c r="J80" s="93">
        <f t="shared" si="17"/>
        <v>0.51249999999999996</v>
      </c>
      <c r="K80" s="98" t="s">
        <v>39</v>
      </c>
      <c r="L80" s="99">
        <f t="shared" si="14"/>
        <v>0.51249999999999996</v>
      </c>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100"/>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100"/>
      <c r="EJ80" s="100"/>
      <c r="EK80" s="100"/>
      <c r="EL80" s="100"/>
      <c r="EM80" s="100"/>
      <c r="EN80" s="100"/>
      <c r="EO80" s="100"/>
      <c r="EP80" s="87"/>
      <c r="EQ80" s="87"/>
      <c r="ER80" s="87"/>
      <c r="ES80" s="87"/>
      <c r="ET80" s="87"/>
      <c r="EU80" s="87"/>
      <c r="EV80" s="87"/>
      <c r="EW80" s="87"/>
      <c r="EX80" s="87"/>
      <c r="EY80" s="87"/>
      <c r="EZ80" s="87"/>
      <c r="FA80" s="87"/>
      <c r="FB80" s="87"/>
      <c r="FC80" s="87"/>
      <c r="FD80" s="87"/>
      <c r="FE80" s="87"/>
      <c r="FF80" s="87"/>
      <c r="FG80" s="87"/>
      <c r="FH80" s="87"/>
      <c r="FI80" s="87"/>
      <c r="FJ80" s="87"/>
      <c r="FK80" s="87"/>
    </row>
    <row r="81" spans="1:167" hidden="1" outlineLevel="1">
      <c r="A81" s="31" t="str">
        <f t="shared" si="16"/>
        <v>cd_imv_out_trz_cred_prcref_date</v>
      </c>
      <c r="B81" s="76" t="s">
        <v>28</v>
      </c>
      <c r="C81" s="77" t="s">
        <v>54</v>
      </c>
      <c r="D81" s="73" t="s">
        <v>40</v>
      </c>
      <c r="E81" s="75" t="s">
        <v>56</v>
      </c>
      <c r="F81" s="73" t="s">
        <v>73</v>
      </c>
      <c r="G81" s="73" t="str">
        <f>INDEX(Auxiliar!$B$16:$B$23,MATCH(Plano_V1!H81,Auxiliar!$C$16:$C$23,0),1)</f>
        <v>1. Concluído</v>
      </c>
      <c r="H81" s="73">
        <f>VLOOKUP(A81,'Aux - pivots1'!$A:$B,2,0)</f>
        <v>1</v>
      </c>
      <c r="I81" s="93">
        <f>SUMIFS(Table1[Estimação (horas)],Table1[Tabela],Plano_V1!E81,Table1[Campo],Plano_V1!F81)</f>
        <v>4.0999999999999996</v>
      </c>
      <c r="J81" s="93">
        <f t="shared" si="17"/>
        <v>0.51249999999999996</v>
      </c>
      <c r="K81" s="98" t="s">
        <v>39</v>
      </c>
      <c r="L81" s="99">
        <f t="shared" si="14"/>
        <v>0.51249999999999996</v>
      </c>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100"/>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100"/>
      <c r="EJ81" s="100"/>
      <c r="EK81" s="100"/>
      <c r="EL81" s="100"/>
      <c r="EM81" s="100"/>
      <c r="EN81" s="100"/>
      <c r="EO81" s="100"/>
      <c r="EP81" s="87"/>
      <c r="EQ81" s="87"/>
      <c r="ER81" s="87"/>
      <c r="ES81" s="87"/>
      <c r="ET81" s="87"/>
      <c r="EU81" s="87"/>
      <c r="EV81" s="87"/>
      <c r="EW81" s="87"/>
      <c r="EX81" s="87"/>
      <c r="EY81" s="87"/>
      <c r="EZ81" s="87"/>
      <c r="FA81" s="87"/>
      <c r="FB81" s="87"/>
      <c r="FC81" s="87"/>
      <c r="FD81" s="87"/>
      <c r="FE81" s="87"/>
      <c r="FF81" s="87"/>
      <c r="FG81" s="87"/>
      <c r="FH81" s="87"/>
      <c r="FI81" s="87"/>
      <c r="FJ81" s="87"/>
      <c r="FK81" s="87"/>
    </row>
    <row r="82" spans="1:167" hidden="1" outlineLevel="1">
      <c r="A82" s="31" t="str">
        <f t="shared" si="16"/>
        <v>cd_imv_out_trz_prc_bens_imvn.a.</v>
      </c>
      <c r="B82" s="76" t="s">
        <v>28</v>
      </c>
      <c r="C82" s="77" t="s">
        <v>54</v>
      </c>
      <c r="D82" s="73" t="s">
        <v>36</v>
      </c>
      <c r="E82" s="75" t="s">
        <v>86</v>
      </c>
      <c r="F82" s="73" t="s">
        <v>38</v>
      </c>
      <c r="G82" s="73" t="str">
        <f>INDEX(Auxiliar!$B$16:$B$23,MATCH(Plano_V1!H82,Auxiliar!$C$16:$C$23,0),1)</f>
        <v>1. Concluído</v>
      </c>
      <c r="H82" s="73">
        <f>VLOOKUP(A82,'Aux - pivots1'!$A:$B,2,0)</f>
        <v>1</v>
      </c>
      <c r="I82" s="93">
        <f>SUMIFS(Table1[Estimação (horas)],Table1[Tabela],Plano_V1!E82,Table1[Campo],Plano_V1!F82)</f>
        <v>8</v>
      </c>
      <c r="J82" s="93">
        <f t="shared" si="17"/>
        <v>1</v>
      </c>
      <c r="K82" s="98" t="s">
        <v>56</v>
      </c>
      <c r="L82" s="99">
        <f t="shared" si="14"/>
        <v>1</v>
      </c>
      <c r="M82" s="87"/>
      <c r="N82" s="87"/>
      <c r="O82" s="87"/>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100"/>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100"/>
      <c r="EJ82" s="100"/>
      <c r="EK82" s="100"/>
      <c r="EL82" s="100"/>
      <c r="EM82" s="100"/>
      <c r="EN82" s="100"/>
      <c r="EO82" s="100"/>
      <c r="EP82" s="87"/>
      <c r="EQ82" s="87"/>
      <c r="ER82" s="87"/>
      <c r="ES82" s="87"/>
      <c r="ET82" s="87"/>
      <c r="EU82" s="87"/>
      <c r="EV82" s="87"/>
      <c r="EW82" s="87"/>
      <c r="EX82" s="87"/>
      <c r="EY82" s="87"/>
      <c r="EZ82" s="87"/>
      <c r="FA82" s="87"/>
      <c r="FB82" s="87"/>
      <c r="FC82" s="87"/>
      <c r="FD82" s="87"/>
      <c r="FE82" s="87"/>
      <c r="FF82" s="87"/>
      <c r="FG82" s="87"/>
      <c r="FH82" s="87"/>
      <c r="FI82" s="87"/>
      <c r="FJ82" s="87"/>
      <c r="FK82" s="87"/>
    </row>
    <row r="83" spans="1:167" hidden="1" outlineLevel="1">
      <c r="A83" s="31" t="str">
        <f t="shared" si="16"/>
        <v>cd_imv_out_trz_prc_bens_imvcempbem</v>
      </c>
      <c r="B83" s="76" t="s">
        <v>28</v>
      </c>
      <c r="C83" s="77" t="s">
        <v>54</v>
      </c>
      <c r="D83" s="73" t="s">
        <v>40</v>
      </c>
      <c r="E83" s="75" t="s">
        <v>86</v>
      </c>
      <c r="F83" s="73" t="s">
        <v>41</v>
      </c>
      <c r="G83" s="73" t="str">
        <f>INDEX(Auxiliar!$B$16:$B$23,MATCH(Plano_V1!H83,Auxiliar!$C$16:$C$23,0),1)</f>
        <v>1. Concluído</v>
      </c>
      <c r="H83" s="73">
        <f>VLOOKUP(A83,'Aux - pivots1'!$A:$B,2,0)</f>
        <v>1</v>
      </c>
      <c r="I83" s="93">
        <f>SUMIFS(Table1[Estimação (horas)],Table1[Tabela],Plano_V1!E83,Table1[Campo],Plano_V1!F83)</f>
        <v>4.0999999999999996</v>
      </c>
      <c r="J83" s="93">
        <f t="shared" si="17"/>
        <v>0.51249999999999996</v>
      </c>
      <c r="K83" s="98" t="s">
        <v>56</v>
      </c>
      <c r="L83" s="99">
        <f t="shared" si="14"/>
        <v>0.51249999999999996</v>
      </c>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100"/>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100"/>
      <c r="EJ83" s="100"/>
      <c r="EK83" s="100"/>
      <c r="EL83" s="100"/>
      <c r="EM83" s="100"/>
      <c r="EN83" s="100"/>
      <c r="EO83" s="100"/>
      <c r="EP83" s="87"/>
      <c r="EQ83" s="87"/>
      <c r="ER83" s="87"/>
      <c r="ES83" s="87"/>
      <c r="ET83" s="87"/>
      <c r="EU83" s="87"/>
      <c r="EV83" s="87"/>
      <c r="EW83" s="87"/>
      <c r="EX83" s="87"/>
      <c r="EY83" s="87"/>
      <c r="EZ83" s="87"/>
      <c r="FA83" s="87"/>
      <c r="FB83" s="87"/>
      <c r="FC83" s="87"/>
      <c r="FD83" s="87"/>
      <c r="FE83" s="87"/>
      <c r="FF83" s="87"/>
      <c r="FG83" s="87"/>
      <c r="FH83" s="87"/>
      <c r="FI83" s="87"/>
      <c r="FJ83" s="87"/>
      <c r="FK83" s="87"/>
    </row>
    <row r="84" spans="1:167" hidden="1" outlineLevel="1">
      <c r="A84" s="31" t="str">
        <f t="shared" si="16"/>
        <v>cd_imv_out_trz_prc_bens_imvcempresa</v>
      </c>
      <c r="B84" s="76" t="s">
        <v>28</v>
      </c>
      <c r="C84" s="77" t="s">
        <v>54</v>
      </c>
      <c r="D84" s="73" t="s">
        <v>40</v>
      </c>
      <c r="E84" s="75" t="s">
        <v>86</v>
      </c>
      <c r="F84" s="73" t="s">
        <v>57</v>
      </c>
      <c r="G84" s="73" t="str">
        <f>INDEX(Auxiliar!$B$16:$B$23,MATCH(Plano_V1!H84,Auxiliar!$C$16:$C$23,0),1)</f>
        <v>1. Concluído</v>
      </c>
      <c r="H84" s="73">
        <f>VLOOKUP(A84,'Aux - pivots1'!$A:$B,2,0)</f>
        <v>1</v>
      </c>
      <c r="I84" s="93">
        <f>SUMIFS(Table1[Estimação (horas)],Table1[Tabela],Plano_V1!E84,Table1[Campo],Plano_V1!F84)</f>
        <v>8.1</v>
      </c>
      <c r="J84" s="93">
        <f t="shared" si="17"/>
        <v>1.0125</v>
      </c>
      <c r="K84" s="98" t="s">
        <v>56</v>
      </c>
      <c r="L84" s="99">
        <f t="shared" si="14"/>
        <v>1.0125</v>
      </c>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100"/>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100"/>
      <c r="EJ84" s="100"/>
      <c r="EK84" s="100"/>
      <c r="EL84" s="100"/>
      <c r="EM84" s="100"/>
      <c r="EN84" s="100"/>
      <c r="EO84" s="100"/>
      <c r="EP84" s="87"/>
      <c r="EQ84" s="87"/>
      <c r="ER84" s="87"/>
      <c r="ES84" s="87"/>
      <c r="ET84" s="87"/>
      <c r="EU84" s="87"/>
      <c r="EV84" s="87"/>
      <c r="EW84" s="87"/>
      <c r="EX84" s="87"/>
      <c r="EY84" s="87"/>
      <c r="EZ84" s="87"/>
      <c r="FA84" s="87"/>
      <c r="FB84" s="87"/>
      <c r="FC84" s="87"/>
      <c r="FD84" s="87"/>
      <c r="FE84" s="87"/>
      <c r="FF84" s="87"/>
      <c r="FG84" s="87"/>
      <c r="FH84" s="87"/>
      <c r="FI84" s="87"/>
      <c r="FJ84" s="87"/>
      <c r="FK84" s="87"/>
    </row>
    <row r="85" spans="1:167" hidden="1" outlineLevel="1">
      <c r="A85" s="31" t="str">
        <f t="shared" si="16"/>
        <v>cd_imv_out_trz_prc_bens_imvckbalbem</v>
      </c>
      <c r="B85" s="76" t="s">
        <v>28</v>
      </c>
      <c r="C85" s="77" t="s">
        <v>54</v>
      </c>
      <c r="D85" s="73" t="s">
        <v>40</v>
      </c>
      <c r="E85" s="75" t="s">
        <v>86</v>
      </c>
      <c r="F85" s="73" t="s">
        <v>43</v>
      </c>
      <c r="G85" s="73" t="str">
        <f>INDEX(Auxiliar!$B$16:$B$23,MATCH(Plano_V1!H85,Auxiliar!$C$16:$C$23,0),1)</f>
        <v>1. Concluído</v>
      </c>
      <c r="H85" s="73">
        <f>VLOOKUP(A85,'Aux - pivots1'!$A:$B,2,0)</f>
        <v>1</v>
      </c>
      <c r="I85" s="93">
        <f>SUMIFS(Table1[Estimação (horas)],Table1[Tabela],Plano_V1!E85,Table1[Campo],Plano_V1!F85)</f>
        <v>8.1</v>
      </c>
      <c r="J85" s="93">
        <f t="shared" si="17"/>
        <v>1.0125</v>
      </c>
      <c r="K85" s="98" t="s">
        <v>56</v>
      </c>
      <c r="L85" s="99">
        <f t="shared" si="14"/>
        <v>1.0125</v>
      </c>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100"/>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100"/>
      <c r="EJ85" s="100"/>
      <c r="EK85" s="100"/>
      <c r="EL85" s="100"/>
      <c r="EM85" s="100"/>
      <c r="EN85" s="100"/>
      <c r="EO85" s="100"/>
      <c r="EP85" s="87"/>
      <c r="EQ85" s="87"/>
      <c r="ER85" s="87"/>
      <c r="ES85" s="87"/>
      <c r="ET85" s="87"/>
      <c r="EU85" s="87"/>
      <c r="EV85" s="87"/>
      <c r="EW85" s="87"/>
      <c r="EX85" s="87"/>
      <c r="EY85" s="87"/>
      <c r="EZ85" s="87"/>
      <c r="FA85" s="87"/>
      <c r="FB85" s="87"/>
      <c r="FC85" s="87"/>
      <c r="FD85" s="87"/>
      <c r="FE85" s="87"/>
      <c r="FF85" s="87"/>
      <c r="FG85" s="87"/>
      <c r="FH85" s="87"/>
      <c r="FI85" s="87"/>
      <c r="FJ85" s="87"/>
      <c r="FK85" s="87"/>
    </row>
    <row r="86" spans="1:167" hidden="1" outlineLevel="1">
      <c r="A86" s="31" t="str">
        <f t="shared" si="16"/>
        <v>cd_imv_out_trz_prc_bens_imvckbalcao</v>
      </c>
      <c r="B86" s="76" t="s">
        <v>28</v>
      </c>
      <c r="C86" s="77" t="s">
        <v>54</v>
      </c>
      <c r="D86" s="73" t="s">
        <v>40</v>
      </c>
      <c r="E86" s="75" t="s">
        <v>86</v>
      </c>
      <c r="F86" s="73" t="s">
        <v>58</v>
      </c>
      <c r="G86" s="73" t="str">
        <f>INDEX(Auxiliar!$B$16:$B$23,MATCH(Plano_V1!H86,Auxiliar!$C$16:$C$23,0),1)</f>
        <v>1. Concluído</v>
      </c>
      <c r="H86" s="73">
        <f>VLOOKUP(A86,'Aux - pivots1'!$A:$B,2,0)</f>
        <v>1</v>
      </c>
      <c r="I86" s="93">
        <f>SUMIFS(Table1[Estimação (horas)],Table1[Tabela],Plano_V1!E86,Table1[Campo],Plano_V1!F86)</f>
        <v>8.1</v>
      </c>
      <c r="J86" s="93">
        <f t="shared" si="17"/>
        <v>1.0125</v>
      </c>
      <c r="K86" s="98" t="s">
        <v>56</v>
      </c>
      <c r="L86" s="99">
        <f t="shared" si="14"/>
        <v>1.0125</v>
      </c>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100"/>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100"/>
      <c r="EJ86" s="100"/>
      <c r="EK86" s="100"/>
      <c r="EL86" s="100"/>
      <c r="EM86" s="100"/>
      <c r="EN86" s="100"/>
      <c r="EO86" s="100"/>
      <c r="EP86" s="87"/>
      <c r="EQ86" s="87"/>
      <c r="ER86" s="87"/>
      <c r="ES86" s="87"/>
      <c r="ET86" s="87"/>
      <c r="EU86" s="87"/>
      <c r="EV86" s="87"/>
      <c r="EW86" s="87"/>
      <c r="EX86" s="87"/>
      <c r="EY86" s="87"/>
      <c r="EZ86" s="87"/>
      <c r="FA86" s="87"/>
      <c r="FB86" s="87"/>
      <c r="FC86" s="87"/>
      <c r="FD86" s="87"/>
      <c r="FE86" s="87"/>
      <c r="FF86" s="87"/>
      <c r="FG86" s="87"/>
      <c r="FH86" s="87"/>
      <c r="FI86" s="87"/>
      <c r="FJ86" s="87"/>
      <c r="FK86" s="87"/>
    </row>
    <row r="87" spans="1:167" hidden="1" outlineLevel="1">
      <c r="A87" s="31" t="str">
        <f t="shared" si="16"/>
        <v>cd_imv_out_trz_prc_bens_imvckctabem</v>
      </c>
      <c r="B87" s="76" t="s">
        <v>28</v>
      </c>
      <c r="C87" s="77" t="s">
        <v>54</v>
      </c>
      <c r="D87" s="73" t="s">
        <v>40</v>
      </c>
      <c r="E87" s="75" t="s">
        <v>86</v>
      </c>
      <c r="F87" s="73" t="s">
        <v>44</v>
      </c>
      <c r="G87" s="73" t="str">
        <f>INDEX(Auxiliar!$B$16:$B$23,MATCH(Plano_V1!H87,Auxiliar!$C$16:$C$23,0),1)</f>
        <v>1. Concluído</v>
      </c>
      <c r="H87" s="73">
        <f>VLOOKUP(A87,'Aux - pivots1'!$A:$B,2,0)</f>
        <v>1</v>
      </c>
      <c r="I87" s="93">
        <f>SUMIFS(Table1[Estimação (horas)],Table1[Tabela],Plano_V1!E87,Table1[Campo],Plano_V1!F87)</f>
        <v>8.1</v>
      </c>
      <c r="J87" s="93">
        <f t="shared" si="17"/>
        <v>1.0125</v>
      </c>
      <c r="K87" s="98" t="s">
        <v>56</v>
      </c>
      <c r="L87" s="99">
        <f t="shared" si="14"/>
        <v>1.0125</v>
      </c>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100"/>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100"/>
      <c r="EJ87" s="100"/>
      <c r="EK87" s="100"/>
      <c r="EL87" s="100"/>
      <c r="EM87" s="100"/>
      <c r="EN87" s="100"/>
      <c r="EO87" s="100"/>
      <c r="EP87" s="87"/>
      <c r="EQ87" s="87"/>
      <c r="ER87" s="87"/>
      <c r="ES87" s="87"/>
      <c r="ET87" s="87"/>
      <c r="EU87" s="87"/>
      <c r="EV87" s="87"/>
      <c r="EW87" s="87"/>
      <c r="EX87" s="87"/>
      <c r="EY87" s="87"/>
      <c r="EZ87" s="87"/>
      <c r="FA87" s="87"/>
      <c r="FB87" s="87"/>
      <c r="FC87" s="87"/>
      <c r="FD87" s="87"/>
      <c r="FE87" s="87"/>
      <c r="FF87" s="87"/>
      <c r="FG87" s="87"/>
      <c r="FH87" s="87"/>
      <c r="FI87" s="87"/>
      <c r="FJ87" s="87"/>
      <c r="FK87" s="87"/>
    </row>
    <row r="88" spans="1:167" hidden="1" outlineLevel="1">
      <c r="A88" s="31" t="str">
        <f t="shared" si="16"/>
        <v>cd_imv_out_trz_prc_bens_imvcknumcta</v>
      </c>
      <c r="B88" s="76" t="s">
        <v>28</v>
      </c>
      <c r="C88" s="77" t="s">
        <v>54</v>
      </c>
      <c r="D88" s="73" t="s">
        <v>40</v>
      </c>
      <c r="E88" s="75" t="s">
        <v>86</v>
      </c>
      <c r="F88" s="73" t="s">
        <v>59</v>
      </c>
      <c r="G88" s="73" t="str">
        <f>INDEX(Auxiliar!$B$16:$B$23,MATCH(Plano_V1!H88,Auxiliar!$C$16:$C$23,0),1)</f>
        <v>1. Concluído</v>
      </c>
      <c r="H88" s="73">
        <f>VLOOKUP(A88,'Aux - pivots1'!$A:$B,2,0)</f>
        <v>1</v>
      </c>
      <c r="I88" s="93">
        <f>SUMIFS(Table1[Estimação (horas)],Table1[Tabela],Plano_V1!E88,Table1[Campo],Plano_V1!F88)</f>
        <v>8.1</v>
      </c>
      <c r="J88" s="93">
        <f t="shared" si="17"/>
        <v>1.0125</v>
      </c>
      <c r="K88" s="98" t="s">
        <v>56</v>
      </c>
      <c r="L88" s="99">
        <f t="shared" si="14"/>
        <v>1.0125</v>
      </c>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100"/>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100"/>
      <c r="EJ88" s="100"/>
      <c r="EK88" s="100"/>
      <c r="EL88" s="100"/>
      <c r="EM88" s="100"/>
      <c r="EN88" s="100"/>
      <c r="EO88" s="100"/>
      <c r="EP88" s="87"/>
      <c r="EQ88" s="87"/>
      <c r="ER88" s="87"/>
      <c r="ES88" s="87"/>
      <c r="ET88" s="87"/>
      <c r="EU88" s="87"/>
      <c r="EV88" s="87"/>
      <c r="EW88" s="87"/>
      <c r="EX88" s="87"/>
      <c r="EY88" s="87"/>
      <c r="EZ88" s="87"/>
      <c r="FA88" s="87"/>
      <c r="FB88" s="87"/>
      <c r="FC88" s="87"/>
      <c r="FD88" s="87"/>
      <c r="FE88" s="87"/>
      <c r="FF88" s="87"/>
      <c r="FG88" s="87"/>
      <c r="FH88" s="87"/>
      <c r="FI88" s="87"/>
      <c r="FJ88" s="87"/>
      <c r="FK88" s="87"/>
    </row>
    <row r="89" spans="1:167" hidden="1" outlineLevel="1">
      <c r="A89" s="31" t="str">
        <f t="shared" si="16"/>
        <v>cd_imv_out_trz_prc_bens_imvckrefbem</v>
      </c>
      <c r="B89" s="76" t="s">
        <v>28</v>
      </c>
      <c r="C89" s="77" t="s">
        <v>54</v>
      </c>
      <c r="D89" s="73" t="s">
        <v>40</v>
      </c>
      <c r="E89" s="75" t="s">
        <v>86</v>
      </c>
      <c r="F89" s="73" t="s">
        <v>45</v>
      </c>
      <c r="G89" s="73" t="str">
        <f>INDEX(Auxiliar!$B$16:$B$23,MATCH(Plano_V1!H89,Auxiliar!$C$16:$C$23,0),1)</f>
        <v>1. Concluído</v>
      </c>
      <c r="H89" s="73">
        <f>VLOOKUP(A89,'Aux - pivots1'!$A:$B,2,0)</f>
        <v>1</v>
      </c>
      <c r="I89" s="93">
        <f>SUMIFS(Table1[Estimação (horas)],Table1[Tabela],Plano_V1!E89,Table1[Campo],Plano_V1!F89)</f>
        <v>4.0999999999999996</v>
      </c>
      <c r="J89" s="93">
        <f t="shared" si="17"/>
        <v>0.51249999999999996</v>
      </c>
      <c r="K89" s="98" t="s">
        <v>56</v>
      </c>
      <c r="L89" s="99">
        <f t="shared" si="14"/>
        <v>0.51249999999999996</v>
      </c>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100"/>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100"/>
      <c r="EJ89" s="100"/>
      <c r="EK89" s="100"/>
      <c r="EL89" s="100"/>
      <c r="EM89" s="100"/>
      <c r="EN89" s="100"/>
      <c r="EO89" s="100"/>
      <c r="EP89" s="87"/>
      <c r="EQ89" s="87"/>
      <c r="ER89" s="87"/>
      <c r="ES89" s="87"/>
      <c r="ET89" s="87"/>
      <c r="EU89" s="87"/>
      <c r="EV89" s="87"/>
      <c r="EW89" s="87"/>
      <c r="EX89" s="87"/>
      <c r="EY89" s="87"/>
      <c r="EZ89" s="87"/>
      <c r="FA89" s="87"/>
      <c r="FB89" s="87"/>
      <c r="FC89" s="87"/>
      <c r="FD89" s="87"/>
      <c r="FE89" s="87"/>
      <c r="FF89" s="87"/>
      <c r="FG89" s="87"/>
      <c r="FH89" s="87"/>
      <c r="FI89" s="87"/>
      <c r="FJ89" s="87"/>
      <c r="FK89" s="87"/>
    </row>
    <row r="90" spans="1:167" hidden="1" outlineLevel="1">
      <c r="A90" s="31" t="str">
        <f t="shared" si="16"/>
        <v>cd_imv_out_trz_prc_bens_imvcomp_id_gar</v>
      </c>
      <c r="B90" s="76" t="s">
        <v>28</v>
      </c>
      <c r="C90" s="77" t="s">
        <v>54</v>
      </c>
      <c r="D90" s="73" t="s">
        <v>40</v>
      </c>
      <c r="E90" s="75" t="s">
        <v>86</v>
      </c>
      <c r="F90" s="73" t="s">
        <v>67</v>
      </c>
      <c r="G90" s="73" t="str">
        <f>INDEX(Auxiliar!$B$16:$B$23,MATCH(Plano_V1!H90,Auxiliar!$C$16:$C$23,0),1)</f>
        <v>1. Concluído</v>
      </c>
      <c r="H90" s="73">
        <f>VLOOKUP(A90,'Aux - pivots1'!$A:$B,2,0)</f>
        <v>1</v>
      </c>
      <c r="I90" s="93">
        <f>SUMIFS(Table1[Estimação (horas)],Table1[Tabela],Plano_V1!E90,Table1[Campo],Plano_V1!F90)</f>
        <v>8.1</v>
      </c>
      <c r="J90" s="93">
        <f t="shared" si="17"/>
        <v>1.0125</v>
      </c>
      <c r="K90" s="98" t="s">
        <v>56</v>
      </c>
      <c r="L90" s="99">
        <f t="shared" ref="L90:L153" si="18">J90-SUM(M90:FK90)</f>
        <v>1.0125</v>
      </c>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100"/>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100"/>
      <c r="EJ90" s="100"/>
      <c r="EK90" s="100"/>
      <c r="EL90" s="100"/>
      <c r="EM90" s="100"/>
      <c r="EN90" s="100"/>
      <c r="EO90" s="100"/>
      <c r="EP90" s="87"/>
      <c r="EQ90" s="87"/>
      <c r="ER90" s="87"/>
      <c r="ES90" s="87"/>
      <c r="ET90" s="87"/>
      <c r="EU90" s="87"/>
      <c r="EV90" s="87"/>
      <c r="EW90" s="87"/>
      <c r="EX90" s="87"/>
      <c r="EY90" s="87"/>
      <c r="EZ90" s="87"/>
      <c r="FA90" s="87"/>
      <c r="FB90" s="87"/>
      <c r="FC90" s="87"/>
      <c r="FD90" s="87"/>
      <c r="FE90" s="87"/>
      <c r="FF90" s="87"/>
      <c r="FG90" s="87"/>
      <c r="FH90" s="87"/>
      <c r="FI90" s="87"/>
      <c r="FJ90" s="87"/>
      <c r="FK90" s="87"/>
    </row>
    <row r="91" spans="1:167" hidden="1" outlineLevel="1">
      <c r="A91" s="31" t="str">
        <f t="shared" si="16"/>
        <v>cd_imv_out_trz_prc_bens_imvdata_assc</v>
      </c>
      <c r="B91" s="76" t="s">
        <v>28</v>
      </c>
      <c r="C91" s="77" t="s">
        <v>54</v>
      </c>
      <c r="D91" s="73" t="s">
        <v>40</v>
      </c>
      <c r="E91" s="75" t="s">
        <v>86</v>
      </c>
      <c r="F91" s="73" t="s">
        <v>87</v>
      </c>
      <c r="G91" s="73" t="str">
        <f>INDEX(Auxiliar!$B$16:$B$23,MATCH(Plano_V1!H91,Auxiliar!$C$16:$C$23,0),1)</f>
        <v>0. Cancelado</v>
      </c>
      <c r="H91" s="73">
        <f>VLOOKUP(A91,'Aux - pivots1'!$A:$B,2,0)</f>
        <v>0</v>
      </c>
      <c r="I91" s="94">
        <v>0</v>
      </c>
      <c r="J91" s="93">
        <f t="shared" si="17"/>
        <v>0</v>
      </c>
      <c r="K91" s="98" t="s">
        <v>56</v>
      </c>
      <c r="L91" s="99">
        <f t="shared" si="18"/>
        <v>0</v>
      </c>
      <c r="M91" s="87"/>
      <c r="N91" s="87"/>
      <c r="O91" s="87"/>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100"/>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100"/>
      <c r="EJ91" s="100"/>
      <c r="EK91" s="100"/>
      <c r="EL91" s="100"/>
      <c r="EM91" s="100"/>
      <c r="EN91" s="100"/>
      <c r="EO91" s="100"/>
      <c r="EP91" s="87"/>
      <c r="EQ91" s="87"/>
      <c r="ER91" s="87"/>
      <c r="ES91" s="87"/>
      <c r="ET91" s="87"/>
      <c r="EU91" s="87"/>
      <c r="EV91" s="87"/>
      <c r="EW91" s="87"/>
      <c r="EX91" s="87"/>
      <c r="EY91" s="87"/>
      <c r="EZ91" s="87"/>
      <c r="FA91" s="87"/>
      <c r="FB91" s="87"/>
      <c r="FC91" s="87"/>
      <c r="FD91" s="87"/>
      <c r="FE91" s="87"/>
      <c r="FF91" s="87"/>
      <c r="FG91" s="87"/>
      <c r="FH91" s="87"/>
      <c r="FI91" s="87"/>
      <c r="FJ91" s="87"/>
      <c r="FK91" s="87"/>
    </row>
    <row r="92" spans="1:167" hidden="1" outlineLevel="1">
      <c r="A92" s="31" t="str">
        <f t="shared" si="16"/>
        <v>cd_imv_out_trz_prc_bens_imvflg_adj</v>
      </c>
      <c r="B92" s="76" t="s">
        <v>28</v>
      </c>
      <c r="C92" s="77" t="s">
        <v>54</v>
      </c>
      <c r="D92" s="73" t="s">
        <v>40</v>
      </c>
      <c r="E92" s="75" t="s">
        <v>86</v>
      </c>
      <c r="F92" s="73" t="s">
        <v>88</v>
      </c>
      <c r="G92" s="73" t="str">
        <f>INDEX(Auxiliar!$B$16:$B$23,MATCH(Plano_V1!H92,Auxiliar!$C$16:$C$23,0),1)</f>
        <v>1. Concluído</v>
      </c>
      <c r="H92" s="73">
        <f>VLOOKUP(A92,'Aux - pivots1'!$A:$B,2,0)</f>
        <v>1</v>
      </c>
      <c r="I92" s="93">
        <f>SUMIFS(Table1[Estimação (horas)],Table1[Tabela],Plano_V1!E92,Table1[Campo],Plano_V1!F92)</f>
        <v>4.0999999999999996</v>
      </c>
      <c r="J92" s="93">
        <f t="shared" si="17"/>
        <v>0.51249999999999996</v>
      </c>
      <c r="K92" s="98" t="s">
        <v>56</v>
      </c>
      <c r="L92" s="99">
        <f t="shared" si="18"/>
        <v>0.51249999999999996</v>
      </c>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100"/>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100"/>
      <c r="EJ92" s="100"/>
      <c r="EK92" s="100"/>
      <c r="EL92" s="100"/>
      <c r="EM92" s="100"/>
      <c r="EN92" s="100"/>
      <c r="EO92" s="100"/>
      <c r="EP92" s="87"/>
      <c r="EQ92" s="87"/>
      <c r="ER92" s="87"/>
      <c r="ES92" s="87"/>
      <c r="ET92" s="87"/>
      <c r="EU92" s="87"/>
      <c r="EV92" s="87"/>
      <c r="EW92" s="87"/>
      <c r="EX92" s="87"/>
      <c r="EY92" s="87"/>
      <c r="EZ92" s="87"/>
      <c r="FA92" s="87"/>
      <c r="FB92" s="87"/>
      <c r="FC92" s="87"/>
      <c r="FD92" s="87"/>
      <c r="FE92" s="87"/>
      <c r="FF92" s="87"/>
      <c r="FG92" s="87"/>
      <c r="FH92" s="87"/>
      <c r="FI92" s="87"/>
      <c r="FJ92" s="87"/>
      <c r="FK92" s="87"/>
    </row>
    <row r="93" spans="1:167" hidden="1" outlineLevel="1">
      <c r="A93" s="31" t="str">
        <f t="shared" ref="A93:A156" si="19">E93&amp;F93</f>
        <v>cd_imv_out_trz_prc_bens_imvflg_col</v>
      </c>
      <c r="B93" s="76" t="s">
        <v>28</v>
      </c>
      <c r="C93" s="77" t="s">
        <v>54</v>
      </c>
      <c r="D93" s="73" t="s">
        <v>40</v>
      </c>
      <c r="E93" s="75" t="s">
        <v>86</v>
      </c>
      <c r="F93" s="73" t="s">
        <v>89</v>
      </c>
      <c r="G93" s="73" t="str">
        <f>INDEX(Auxiliar!$B$16:$B$23,MATCH(Plano_V1!H93,Auxiliar!$C$16:$C$23,0),1)</f>
        <v>1. Concluído</v>
      </c>
      <c r="H93" s="73">
        <f>VLOOKUP(A93,'Aux - pivots1'!$A:$B,2,0)</f>
        <v>1</v>
      </c>
      <c r="I93" s="93">
        <f>SUMIFS(Table1[Estimação (horas)],Table1[Tabela],Plano_V1!E93,Table1[Campo],Plano_V1!F93)</f>
        <v>4.0999999999999996</v>
      </c>
      <c r="J93" s="93">
        <f t="shared" si="17"/>
        <v>0.51249999999999996</v>
      </c>
      <c r="K93" s="98" t="s">
        <v>56</v>
      </c>
      <c r="L93" s="99">
        <f t="shared" si="18"/>
        <v>0.51249999999999996</v>
      </c>
      <c r="M93" s="87"/>
      <c r="N93" s="87"/>
      <c r="O93" s="87"/>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100"/>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100"/>
      <c r="EJ93" s="100"/>
      <c r="EK93" s="100"/>
      <c r="EL93" s="100"/>
      <c r="EM93" s="100"/>
      <c r="EN93" s="100"/>
      <c r="EO93" s="100"/>
      <c r="EP93" s="87"/>
      <c r="EQ93" s="87"/>
      <c r="ER93" s="87"/>
      <c r="ES93" s="87"/>
      <c r="ET93" s="87"/>
      <c r="EU93" s="87"/>
      <c r="EV93" s="87"/>
      <c r="EW93" s="87"/>
      <c r="EX93" s="87"/>
      <c r="EY93" s="87"/>
      <c r="EZ93" s="87"/>
      <c r="FA93" s="87"/>
      <c r="FB93" s="87"/>
      <c r="FC93" s="87"/>
      <c r="FD93" s="87"/>
      <c r="FE93" s="87"/>
      <c r="FF93" s="87"/>
      <c r="FG93" s="87"/>
      <c r="FH93" s="87"/>
      <c r="FI93" s="87"/>
      <c r="FJ93" s="87"/>
      <c r="FK93" s="87"/>
    </row>
    <row r="94" spans="1:167" hidden="1" outlineLevel="1">
      <c r="A94" s="31" t="str">
        <f t="shared" si="19"/>
        <v>cd_imv_out_trz_prc_bens_imvflg_fin</v>
      </c>
      <c r="B94" s="76" t="s">
        <v>28</v>
      </c>
      <c r="C94" s="77" t="s">
        <v>54</v>
      </c>
      <c r="D94" s="73" t="s">
        <v>40</v>
      </c>
      <c r="E94" s="75" t="s">
        <v>86</v>
      </c>
      <c r="F94" s="73" t="s">
        <v>90</v>
      </c>
      <c r="G94" s="73" t="str">
        <f>INDEX(Auxiliar!$B$16:$B$23,MATCH(Plano_V1!H94,Auxiliar!$C$16:$C$23,0),1)</f>
        <v>1. Concluído</v>
      </c>
      <c r="H94" s="73">
        <f>VLOOKUP(A94,'Aux - pivots1'!$A:$B,2,0)</f>
        <v>1</v>
      </c>
      <c r="I94" s="93">
        <f>SUMIFS(Table1[Estimação (horas)],Table1[Tabela],Plano_V1!E94,Table1[Campo],Plano_V1!F94)</f>
        <v>4.0999999999999996</v>
      </c>
      <c r="J94" s="93">
        <f t="shared" si="17"/>
        <v>0.51249999999999996</v>
      </c>
      <c r="K94" s="98" t="s">
        <v>56</v>
      </c>
      <c r="L94" s="99">
        <f t="shared" si="18"/>
        <v>0.51249999999999996</v>
      </c>
      <c r="M94" s="87"/>
      <c r="N94" s="87"/>
      <c r="O94" s="87"/>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100"/>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100"/>
      <c r="EJ94" s="100"/>
      <c r="EK94" s="100"/>
      <c r="EL94" s="100"/>
      <c r="EM94" s="100"/>
      <c r="EN94" s="100"/>
      <c r="EO94" s="100"/>
      <c r="EP94" s="87"/>
      <c r="EQ94" s="87"/>
      <c r="ER94" s="87"/>
      <c r="ES94" s="87"/>
      <c r="ET94" s="87"/>
      <c r="EU94" s="87"/>
      <c r="EV94" s="87"/>
      <c r="EW94" s="87"/>
      <c r="EX94" s="87"/>
      <c r="EY94" s="87"/>
      <c r="EZ94" s="87"/>
      <c r="FA94" s="87"/>
      <c r="FB94" s="87"/>
      <c r="FC94" s="87"/>
      <c r="FD94" s="87"/>
      <c r="FE94" s="87"/>
      <c r="FF94" s="87"/>
      <c r="FG94" s="87"/>
      <c r="FH94" s="87"/>
      <c r="FI94" s="87"/>
      <c r="FJ94" s="87"/>
      <c r="FK94" s="87"/>
    </row>
    <row r="95" spans="1:167" hidden="1" outlineLevel="1">
      <c r="A95" s="31" t="str">
        <f t="shared" si="19"/>
        <v>cd_imv_out_trz_prc_bens_imvflg_pro</v>
      </c>
      <c r="B95" s="76" t="s">
        <v>28</v>
      </c>
      <c r="C95" s="77" t="s">
        <v>54</v>
      </c>
      <c r="D95" s="73" t="s">
        <v>40</v>
      </c>
      <c r="E95" s="75" t="s">
        <v>86</v>
      </c>
      <c r="F95" s="73" t="s">
        <v>91</v>
      </c>
      <c r="G95" s="73" t="str">
        <f>INDEX(Auxiliar!$B$16:$B$23,MATCH(Plano_V1!H95,Auxiliar!$C$16:$C$23,0),1)</f>
        <v>1. Concluído</v>
      </c>
      <c r="H95" s="73">
        <f>VLOOKUP(A95,'Aux - pivots1'!$A:$B,2,0)</f>
        <v>1</v>
      </c>
      <c r="I95" s="93">
        <f>SUMIFS(Table1[Estimação (horas)],Table1[Tabela],Plano_V1!E95,Table1[Campo],Plano_V1!F95)</f>
        <v>4.0999999999999996</v>
      </c>
      <c r="J95" s="93">
        <f t="shared" si="17"/>
        <v>0.51249999999999996</v>
      </c>
      <c r="K95" s="98" t="s">
        <v>56</v>
      </c>
      <c r="L95" s="99">
        <f t="shared" si="18"/>
        <v>0.51249999999999996</v>
      </c>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100"/>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100"/>
      <c r="EJ95" s="100"/>
      <c r="EK95" s="100"/>
      <c r="EL95" s="100"/>
      <c r="EM95" s="100"/>
      <c r="EN95" s="100"/>
      <c r="EO95" s="100"/>
      <c r="EP95" s="87"/>
      <c r="EQ95" s="87"/>
      <c r="ER95" s="87"/>
      <c r="ES95" s="87"/>
      <c r="ET95" s="87"/>
      <c r="EU95" s="87"/>
      <c r="EV95" s="87"/>
      <c r="EW95" s="87"/>
      <c r="EX95" s="87"/>
      <c r="EY95" s="87"/>
      <c r="EZ95" s="87"/>
      <c r="FA95" s="87"/>
      <c r="FB95" s="87"/>
      <c r="FC95" s="87"/>
      <c r="FD95" s="87"/>
      <c r="FE95" s="87"/>
      <c r="FF95" s="87"/>
      <c r="FG95" s="87"/>
      <c r="FH95" s="87"/>
      <c r="FI95" s="87"/>
      <c r="FJ95" s="87"/>
      <c r="FK95" s="87"/>
    </row>
    <row r="96" spans="1:167" hidden="1" outlineLevel="1">
      <c r="A96" s="31" t="str">
        <f t="shared" si="19"/>
        <v>cd_imv_out_trz_prc_bens_imvorigem</v>
      </c>
      <c r="B96" s="76" t="s">
        <v>28</v>
      </c>
      <c r="C96" s="77" t="s">
        <v>54</v>
      </c>
      <c r="D96" s="73" t="s">
        <v>40</v>
      </c>
      <c r="E96" s="75" t="s">
        <v>86</v>
      </c>
      <c r="F96" s="73" t="s">
        <v>72</v>
      </c>
      <c r="G96" s="73" t="str">
        <f>INDEX(Auxiliar!$B$16:$B$23,MATCH(Plano_V1!H96,Auxiliar!$C$16:$C$23,0),1)</f>
        <v>1. Concluído</v>
      </c>
      <c r="H96" s="73">
        <f>VLOOKUP(A96,'Aux - pivots1'!$A:$B,2,0)</f>
        <v>1</v>
      </c>
      <c r="I96" s="93">
        <f>SUMIFS(Table1[Estimação (horas)],Table1[Tabela],Plano_V1!E96,Table1[Campo],Plano_V1!F96)</f>
        <v>4.0999999999999996</v>
      </c>
      <c r="J96" s="93">
        <f t="shared" si="17"/>
        <v>0.51249999999999996</v>
      </c>
      <c r="K96" s="98" t="s">
        <v>56</v>
      </c>
      <c r="L96" s="99">
        <f t="shared" si="18"/>
        <v>0.51249999999999996</v>
      </c>
      <c r="M96" s="87"/>
      <c r="N96" s="87"/>
      <c r="O96" s="87"/>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100"/>
      <c r="AU96" s="87"/>
      <c r="AV96" s="87"/>
      <c r="AW96" s="87"/>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100"/>
      <c r="EJ96" s="100"/>
      <c r="EK96" s="100"/>
      <c r="EL96" s="100"/>
      <c r="EM96" s="100"/>
      <c r="EN96" s="100"/>
      <c r="EO96" s="100"/>
      <c r="EP96" s="87"/>
      <c r="EQ96" s="87"/>
      <c r="ER96" s="87"/>
      <c r="ES96" s="87"/>
      <c r="ET96" s="87"/>
      <c r="EU96" s="87"/>
      <c r="EV96" s="87"/>
      <c r="EW96" s="87"/>
      <c r="EX96" s="87"/>
      <c r="EY96" s="87"/>
      <c r="EZ96" s="87"/>
      <c r="FA96" s="87"/>
      <c r="FB96" s="87"/>
      <c r="FC96" s="87"/>
      <c r="FD96" s="87"/>
      <c r="FE96" s="87"/>
      <c r="FF96" s="87"/>
      <c r="FG96" s="87"/>
      <c r="FH96" s="87"/>
      <c r="FI96" s="87"/>
      <c r="FJ96" s="87"/>
      <c r="FK96" s="87"/>
    </row>
    <row r="97" spans="1:167" hidden="1" outlineLevel="1">
      <c r="A97" s="31" t="str">
        <f t="shared" si="19"/>
        <v>cd_imv_out_trz_prc_bens_imvref_date</v>
      </c>
      <c r="B97" s="76" t="s">
        <v>28</v>
      </c>
      <c r="C97" s="77" t="s">
        <v>54</v>
      </c>
      <c r="D97" s="73" t="s">
        <v>40</v>
      </c>
      <c r="E97" s="75" t="s">
        <v>86</v>
      </c>
      <c r="F97" s="73" t="s">
        <v>73</v>
      </c>
      <c r="G97" s="73" t="str">
        <f>INDEX(Auxiliar!$B$16:$B$23,MATCH(Plano_V1!H97,Auxiliar!$C$16:$C$23,0),1)</f>
        <v>1. Concluído</v>
      </c>
      <c r="H97" s="73">
        <f>VLOOKUP(A97,'Aux - pivots1'!$A:$B,2,0)</f>
        <v>1</v>
      </c>
      <c r="I97" s="93">
        <f>SUMIFS(Table1[Estimação (horas)],Table1[Tabela],Plano_V1!E97,Table1[Campo],Plano_V1!F97)</f>
        <v>4.0999999999999996</v>
      </c>
      <c r="J97" s="93">
        <f t="shared" si="17"/>
        <v>0.51249999999999996</v>
      </c>
      <c r="K97" s="98" t="s">
        <v>56</v>
      </c>
      <c r="L97" s="99">
        <f t="shared" si="18"/>
        <v>0.51249999999999996</v>
      </c>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100"/>
      <c r="AU97" s="87"/>
      <c r="AV97" s="87"/>
      <c r="AW97" s="87"/>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100"/>
      <c r="EJ97" s="100"/>
      <c r="EK97" s="100"/>
      <c r="EL97" s="100"/>
      <c r="EM97" s="100"/>
      <c r="EN97" s="100"/>
      <c r="EO97" s="100"/>
      <c r="EP97" s="87"/>
      <c r="EQ97" s="87"/>
      <c r="ER97" s="87"/>
      <c r="ES97" s="87"/>
      <c r="ET97" s="87"/>
      <c r="EU97" s="87"/>
      <c r="EV97" s="87"/>
      <c r="EW97" s="87"/>
      <c r="EX97" s="87"/>
      <c r="EY97" s="87"/>
      <c r="EZ97" s="87"/>
      <c r="FA97" s="87"/>
      <c r="FB97" s="87"/>
      <c r="FC97" s="87"/>
      <c r="FD97" s="87"/>
      <c r="FE97" s="87"/>
      <c r="FF97" s="87"/>
      <c r="FG97" s="87"/>
      <c r="FH97" s="87"/>
      <c r="FI97" s="87"/>
      <c r="FJ97" s="87"/>
      <c r="FK97" s="87"/>
    </row>
    <row r="98" spans="1:167" hidden="1" outlineLevel="1">
      <c r="A98" s="31" t="str">
        <f t="shared" si="19"/>
        <v>cd_imv_out_bensn.a.</v>
      </c>
      <c r="B98" s="76" t="s">
        <v>28</v>
      </c>
      <c r="C98" s="77" t="s">
        <v>54</v>
      </c>
      <c r="D98" s="73" t="s">
        <v>36</v>
      </c>
      <c r="E98" s="75" t="s">
        <v>92</v>
      </c>
      <c r="F98" s="73" t="s">
        <v>38</v>
      </c>
      <c r="G98" s="73" t="str">
        <f>INDEX(Auxiliar!$B$16:$B$23,MATCH(Plano_V1!H98,Auxiliar!$C$16:$C$23,0),1)</f>
        <v>1. Concluído</v>
      </c>
      <c r="H98" s="73">
        <f>VLOOKUP(A98,'Aux - pivots1'!$A:$B,2,0)</f>
        <v>1</v>
      </c>
      <c r="I98" s="93">
        <f>SUMIFS(Table1[Estimação (horas)],Table1[Tabela],Plano_V1!E98,Table1[Campo],Plano_V1!F98)</f>
        <v>8</v>
      </c>
      <c r="J98" s="93">
        <f t="shared" si="17"/>
        <v>1</v>
      </c>
      <c r="K98" s="96" t="s">
        <v>93</v>
      </c>
      <c r="L98" s="99">
        <f t="shared" si="18"/>
        <v>1</v>
      </c>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100"/>
      <c r="AU98" s="87"/>
      <c r="AV98" s="87"/>
      <c r="AW98" s="87"/>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100"/>
      <c r="EJ98" s="100"/>
      <c r="EK98" s="100"/>
      <c r="EL98" s="100"/>
      <c r="EM98" s="100"/>
      <c r="EN98" s="100"/>
      <c r="EO98" s="100"/>
      <c r="EP98" s="87"/>
      <c r="EQ98" s="87"/>
      <c r="ER98" s="87"/>
      <c r="ES98" s="87"/>
      <c r="ET98" s="87"/>
      <c r="EU98" s="87"/>
      <c r="EV98" s="87"/>
      <c r="EW98" s="87"/>
      <c r="EX98" s="87"/>
      <c r="EY98" s="87"/>
      <c r="EZ98" s="87"/>
      <c r="FA98" s="87"/>
      <c r="FB98" s="87"/>
      <c r="FC98" s="87"/>
      <c r="FD98" s="87"/>
      <c r="FE98" s="87"/>
      <c r="FF98" s="87"/>
      <c r="FG98" s="87"/>
      <c r="FH98" s="87"/>
      <c r="FI98" s="87"/>
      <c r="FJ98" s="87"/>
      <c r="FK98" s="87"/>
    </row>
    <row r="99" spans="1:167" hidden="1" outlineLevel="1">
      <c r="A99" s="31" t="str">
        <f t="shared" si="19"/>
        <v>cd_imv_out_bensano_construcao</v>
      </c>
      <c r="B99" s="76" t="s">
        <v>28</v>
      </c>
      <c r="C99" s="77" t="s">
        <v>54</v>
      </c>
      <c r="D99" s="73" t="s">
        <v>40</v>
      </c>
      <c r="E99" s="75" t="s">
        <v>92</v>
      </c>
      <c r="F99" s="73" t="s">
        <v>94</v>
      </c>
      <c r="G99" s="73" t="str">
        <f>INDEX(Auxiliar!$B$16:$B$23,MATCH(Plano_V1!H99,Auxiliar!$C$16:$C$23,0),1)</f>
        <v>1. Concluído</v>
      </c>
      <c r="H99" s="73">
        <f>VLOOKUP(A99,'Aux - pivots1'!$A:$B,2,0)</f>
        <v>1</v>
      </c>
      <c r="I99" s="94">
        <v>0</v>
      </c>
      <c r="J99" s="93">
        <f t="shared" si="17"/>
        <v>0</v>
      </c>
      <c r="K99" s="96" t="s">
        <v>93</v>
      </c>
      <c r="L99" s="99">
        <f t="shared" si="18"/>
        <v>0</v>
      </c>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100"/>
      <c r="AU99" s="87"/>
      <c r="AV99" s="87"/>
      <c r="AW99" s="87"/>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100"/>
      <c r="EJ99" s="100"/>
      <c r="EK99" s="100"/>
      <c r="EL99" s="100"/>
      <c r="EM99" s="100"/>
      <c r="EN99" s="100"/>
      <c r="EO99" s="100"/>
      <c r="EP99" s="87"/>
      <c r="EQ99" s="87"/>
      <c r="ER99" s="87"/>
      <c r="ES99" s="87"/>
      <c r="ET99" s="87"/>
      <c r="EU99" s="87"/>
      <c r="EV99" s="87"/>
      <c r="EW99" s="87"/>
      <c r="EX99" s="87"/>
      <c r="EY99" s="87"/>
      <c r="EZ99" s="87"/>
      <c r="FA99" s="87"/>
      <c r="FB99" s="87"/>
      <c r="FC99" s="87"/>
      <c r="FD99" s="87"/>
      <c r="FE99" s="87"/>
      <c r="FF99" s="87"/>
      <c r="FG99" s="87"/>
      <c r="FH99" s="87"/>
      <c r="FI99" s="87"/>
      <c r="FJ99" s="87"/>
      <c r="FK99" s="87"/>
    </row>
    <row r="100" spans="1:167" hidden="1" outlineLevel="1">
      <c r="A100" s="31" t="str">
        <f t="shared" si="19"/>
        <v>cd_imv_out_bensarea_util</v>
      </c>
      <c r="B100" s="76" t="s">
        <v>28</v>
      </c>
      <c r="C100" s="77" t="s">
        <v>54</v>
      </c>
      <c r="D100" s="73" t="s">
        <v>40</v>
      </c>
      <c r="E100" s="75" t="s">
        <v>92</v>
      </c>
      <c r="F100" s="73" t="s">
        <v>95</v>
      </c>
      <c r="G100" s="73" t="str">
        <f>INDEX(Auxiliar!$B$16:$B$23,MATCH(Plano_V1!H100,Auxiliar!$C$16:$C$23,0),1)</f>
        <v>1. Concluído</v>
      </c>
      <c r="H100" s="73">
        <f>VLOOKUP(A100,'Aux - pivots1'!$A:$B,2,0)</f>
        <v>1</v>
      </c>
      <c r="I100" s="93">
        <f>SUMIFS(Table1[Estimação (horas)],Table1[Tabela],Plano_V1!E100,Table1[Campo],Plano_V1!F100)</f>
        <v>8.1</v>
      </c>
      <c r="J100" s="93">
        <f t="shared" si="17"/>
        <v>1.0125</v>
      </c>
      <c r="K100" s="96" t="s">
        <v>93</v>
      </c>
      <c r="L100" s="99">
        <f t="shared" si="18"/>
        <v>1.0125</v>
      </c>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100"/>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100"/>
      <c r="EJ100" s="100"/>
      <c r="EK100" s="100"/>
      <c r="EL100" s="100"/>
      <c r="EM100" s="100"/>
      <c r="EN100" s="100"/>
      <c r="EO100" s="100"/>
      <c r="EP100" s="87"/>
      <c r="EQ100" s="87"/>
      <c r="ER100" s="87"/>
      <c r="ES100" s="87"/>
      <c r="ET100" s="87"/>
      <c r="EU100" s="87"/>
      <c r="EV100" s="87"/>
      <c r="EW100" s="87"/>
      <c r="EX100" s="87"/>
      <c r="EY100" s="87"/>
      <c r="EZ100" s="87"/>
      <c r="FA100" s="87"/>
      <c r="FB100" s="87"/>
      <c r="FC100" s="87"/>
      <c r="FD100" s="87"/>
      <c r="FE100" s="87"/>
      <c r="FF100" s="87"/>
      <c r="FG100" s="87"/>
      <c r="FH100" s="87"/>
      <c r="FI100" s="87"/>
      <c r="FJ100" s="87"/>
      <c r="FK100" s="87"/>
    </row>
    <row r="101" spans="1:167" hidden="1" outlineLevel="1">
      <c r="A101" s="31" t="str">
        <f t="shared" si="19"/>
        <v>cd_imv_out_benscempbem</v>
      </c>
      <c r="B101" s="76" t="s">
        <v>28</v>
      </c>
      <c r="C101" s="77" t="s">
        <v>54</v>
      </c>
      <c r="D101" s="73" t="s">
        <v>40</v>
      </c>
      <c r="E101" s="75" t="s">
        <v>92</v>
      </c>
      <c r="F101" s="73" t="s">
        <v>41</v>
      </c>
      <c r="G101" s="73" t="str">
        <f>INDEX(Auxiliar!$B$16:$B$23,MATCH(Plano_V1!H101,Auxiliar!$C$16:$C$23,0),1)</f>
        <v>1. Concluído</v>
      </c>
      <c r="H101" s="73">
        <f>VLOOKUP(A101,'Aux - pivots1'!$A:$B,2,0)</f>
        <v>1</v>
      </c>
      <c r="I101" s="93">
        <f>SUMIFS(Table1[Estimação (horas)],Table1[Tabela],Plano_V1!E101,Table1[Campo],Plano_V1!F101)</f>
        <v>4.0999999999999996</v>
      </c>
      <c r="J101" s="93">
        <f t="shared" si="17"/>
        <v>0.51249999999999996</v>
      </c>
      <c r="K101" s="96" t="s">
        <v>93</v>
      </c>
      <c r="L101" s="99">
        <f t="shared" si="18"/>
        <v>0.51249999999999996</v>
      </c>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100"/>
      <c r="AU101" s="87"/>
      <c r="AV101" s="87"/>
      <c r="AW101" s="87"/>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100"/>
      <c r="EJ101" s="100"/>
      <c r="EK101" s="100"/>
      <c r="EL101" s="100"/>
      <c r="EM101" s="100"/>
      <c r="EN101" s="100"/>
      <c r="EO101" s="100"/>
      <c r="EP101" s="87"/>
      <c r="EQ101" s="87"/>
      <c r="ER101" s="87"/>
      <c r="ES101" s="87"/>
      <c r="ET101" s="87"/>
      <c r="EU101" s="87"/>
      <c r="EV101" s="87"/>
      <c r="EW101" s="87"/>
      <c r="EX101" s="87"/>
      <c r="EY101" s="87"/>
      <c r="EZ101" s="87"/>
      <c r="FA101" s="87"/>
      <c r="FB101" s="87"/>
      <c r="FC101" s="87"/>
      <c r="FD101" s="87"/>
      <c r="FE101" s="87"/>
      <c r="FF101" s="87"/>
      <c r="FG101" s="87"/>
      <c r="FH101" s="87"/>
      <c r="FI101" s="87"/>
      <c r="FJ101" s="87"/>
      <c r="FK101" s="87"/>
    </row>
    <row r="102" spans="1:167" hidden="1" outlineLevel="1">
      <c r="A102" s="31" t="str">
        <f t="shared" si="19"/>
        <v>cd_imv_out_bensckbalbem</v>
      </c>
      <c r="B102" s="76" t="s">
        <v>28</v>
      </c>
      <c r="C102" s="77" t="s">
        <v>54</v>
      </c>
      <c r="D102" s="73" t="s">
        <v>40</v>
      </c>
      <c r="E102" s="75" t="s">
        <v>92</v>
      </c>
      <c r="F102" s="73" t="s">
        <v>43</v>
      </c>
      <c r="G102" s="73" t="str">
        <f>INDEX(Auxiliar!$B$16:$B$23,MATCH(Plano_V1!H102,Auxiliar!$C$16:$C$23,0),1)</f>
        <v>1. Concluído</v>
      </c>
      <c r="H102" s="73">
        <f>VLOOKUP(A102,'Aux - pivots1'!$A:$B,2,0)</f>
        <v>1</v>
      </c>
      <c r="I102" s="93">
        <f>SUMIFS(Table1[Estimação (horas)],Table1[Tabela],Plano_V1!E102,Table1[Campo],Plano_V1!F102)</f>
        <v>4.0999999999999996</v>
      </c>
      <c r="J102" s="93">
        <f t="shared" si="17"/>
        <v>0.51249999999999996</v>
      </c>
      <c r="K102" s="96" t="s">
        <v>93</v>
      </c>
      <c r="L102" s="99">
        <f t="shared" si="18"/>
        <v>0.51249999999999996</v>
      </c>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100"/>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100"/>
      <c r="EJ102" s="100"/>
      <c r="EK102" s="100"/>
      <c r="EL102" s="100"/>
      <c r="EM102" s="100"/>
      <c r="EN102" s="100"/>
      <c r="EO102" s="100"/>
      <c r="EP102" s="87"/>
      <c r="EQ102" s="87"/>
      <c r="ER102" s="87"/>
      <c r="ES102" s="87"/>
      <c r="ET102" s="87"/>
      <c r="EU102" s="87"/>
      <c r="EV102" s="87"/>
      <c r="EW102" s="87"/>
      <c r="EX102" s="87"/>
      <c r="EY102" s="87"/>
      <c r="EZ102" s="87"/>
      <c r="FA102" s="87"/>
      <c r="FB102" s="87"/>
      <c r="FC102" s="87"/>
      <c r="FD102" s="87"/>
      <c r="FE102" s="87"/>
      <c r="FF102" s="87"/>
      <c r="FG102" s="87"/>
      <c r="FH102" s="87"/>
      <c r="FI102" s="87"/>
      <c r="FJ102" s="87"/>
      <c r="FK102" s="87"/>
    </row>
    <row r="103" spans="1:167" hidden="1" outlineLevel="1">
      <c r="A103" s="31" t="str">
        <f t="shared" si="19"/>
        <v>cd_imv_out_bensckctabem</v>
      </c>
      <c r="B103" s="76" t="s">
        <v>28</v>
      </c>
      <c r="C103" s="77" t="s">
        <v>54</v>
      </c>
      <c r="D103" s="73" t="s">
        <v>40</v>
      </c>
      <c r="E103" s="75" t="s">
        <v>92</v>
      </c>
      <c r="F103" s="73" t="s">
        <v>44</v>
      </c>
      <c r="G103" s="73" t="str">
        <f>INDEX(Auxiliar!$B$16:$B$23,MATCH(Plano_V1!H103,Auxiliar!$C$16:$C$23,0),1)</f>
        <v>1. Concluído</v>
      </c>
      <c r="H103" s="73">
        <f>VLOOKUP(A103,'Aux - pivots1'!$A:$B,2,0)</f>
        <v>1</v>
      </c>
      <c r="I103" s="93">
        <f>SUMIFS(Table1[Estimação (horas)],Table1[Tabela],Plano_V1!E103,Table1[Campo],Plano_V1!F103)</f>
        <v>4.0999999999999996</v>
      </c>
      <c r="J103" s="93">
        <f t="shared" si="17"/>
        <v>0.51249999999999996</v>
      </c>
      <c r="K103" s="96" t="s">
        <v>93</v>
      </c>
      <c r="L103" s="99">
        <f t="shared" si="18"/>
        <v>0.51249999999999996</v>
      </c>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100"/>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100"/>
      <c r="EJ103" s="100"/>
      <c r="EK103" s="100"/>
      <c r="EL103" s="100"/>
      <c r="EM103" s="100"/>
      <c r="EN103" s="100"/>
      <c r="EO103" s="100"/>
      <c r="EP103" s="87"/>
      <c r="EQ103" s="87"/>
      <c r="ER103" s="87"/>
      <c r="ES103" s="87"/>
      <c r="ET103" s="87"/>
      <c r="EU103" s="87"/>
      <c r="EV103" s="87"/>
      <c r="EW103" s="87"/>
      <c r="EX103" s="87"/>
      <c r="EY103" s="87"/>
      <c r="EZ103" s="87"/>
      <c r="FA103" s="87"/>
      <c r="FB103" s="87"/>
      <c r="FC103" s="87"/>
      <c r="FD103" s="87"/>
      <c r="FE103" s="87"/>
      <c r="FF103" s="87"/>
      <c r="FG103" s="87"/>
      <c r="FH103" s="87"/>
      <c r="FI103" s="87"/>
      <c r="FJ103" s="87"/>
      <c r="FK103" s="87"/>
    </row>
    <row r="104" spans="1:167" hidden="1" outlineLevel="1">
      <c r="A104" s="31" t="str">
        <f t="shared" si="19"/>
        <v>cd_imv_out_bensckrefbem</v>
      </c>
      <c r="B104" s="76" t="s">
        <v>28</v>
      </c>
      <c r="C104" s="77" t="s">
        <v>54</v>
      </c>
      <c r="D104" s="73" t="s">
        <v>40</v>
      </c>
      <c r="E104" s="75" t="s">
        <v>92</v>
      </c>
      <c r="F104" s="73" t="s">
        <v>45</v>
      </c>
      <c r="G104" s="73" t="str">
        <f>INDEX(Auxiliar!$B$16:$B$23,MATCH(Plano_V1!H104,Auxiliar!$C$16:$C$23,0),1)</f>
        <v>1. Concluído</v>
      </c>
      <c r="H104" s="73">
        <f>VLOOKUP(A104,'Aux - pivots1'!$A:$B,2,0)</f>
        <v>1</v>
      </c>
      <c r="I104" s="93">
        <f>SUMIFS(Table1[Estimação (horas)],Table1[Tabela],Plano_V1!E104,Table1[Campo],Plano_V1!F104)</f>
        <v>4.0999999999999996</v>
      </c>
      <c r="J104" s="93">
        <f t="shared" si="17"/>
        <v>0.51249999999999996</v>
      </c>
      <c r="K104" s="96" t="s">
        <v>93</v>
      </c>
      <c r="L104" s="99">
        <f t="shared" si="18"/>
        <v>0.51249999999999996</v>
      </c>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100"/>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100"/>
      <c r="EJ104" s="100"/>
      <c r="EK104" s="100"/>
      <c r="EL104" s="100"/>
      <c r="EM104" s="100"/>
      <c r="EN104" s="100"/>
      <c r="EO104" s="100"/>
      <c r="EP104" s="87"/>
      <c r="EQ104" s="87"/>
      <c r="ER104" s="87"/>
      <c r="ES104" s="87"/>
      <c r="ET104" s="87"/>
      <c r="EU104" s="87"/>
      <c r="EV104" s="87"/>
      <c r="EW104" s="87"/>
      <c r="EX104" s="87"/>
      <c r="EY104" s="87"/>
      <c r="EZ104" s="87"/>
      <c r="FA104" s="87"/>
      <c r="FB104" s="87"/>
      <c r="FC104" s="87"/>
      <c r="FD104" s="87"/>
      <c r="FE104" s="87"/>
      <c r="FF104" s="87"/>
      <c r="FG104" s="87"/>
      <c r="FH104" s="87"/>
      <c r="FI104" s="87"/>
      <c r="FJ104" s="87"/>
      <c r="FK104" s="87"/>
    </row>
    <row r="105" spans="1:167" hidden="1" outlineLevel="1">
      <c r="A105" s="31" t="str">
        <f t="shared" si="19"/>
        <v>cd_imv_out_benscod_art_matr</v>
      </c>
      <c r="B105" s="76" t="s">
        <v>28</v>
      </c>
      <c r="C105" s="77" t="s">
        <v>54</v>
      </c>
      <c r="D105" s="73" t="s">
        <v>40</v>
      </c>
      <c r="E105" s="75" t="s">
        <v>92</v>
      </c>
      <c r="F105" s="73" t="s">
        <v>96</v>
      </c>
      <c r="G105" s="73" t="str">
        <f>INDEX(Auxiliar!$B$16:$B$23,MATCH(Plano_V1!H105,Auxiliar!$C$16:$C$23,0),1)</f>
        <v>1. Concluído</v>
      </c>
      <c r="H105" s="73">
        <f>VLOOKUP(A105,'Aux - pivots1'!$A:$B,2,0)</f>
        <v>1</v>
      </c>
      <c r="I105" s="93">
        <f>SUMIFS(Table1[Estimação (horas)],Table1[Tabela],Plano_V1!E105,Table1[Campo],Plano_V1!F105)</f>
        <v>4.0999999999999996</v>
      </c>
      <c r="J105" s="93">
        <f t="shared" si="17"/>
        <v>0.51249999999999996</v>
      </c>
      <c r="K105" s="96" t="s">
        <v>93</v>
      </c>
      <c r="L105" s="99">
        <f t="shared" si="18"/>
        <v>0.51249999999999996</v>
      </c>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100"/>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100"/>
      <c r="EJ105" s="100"/>
      <c r="EK105" s="100"/>
      <c r="EL105" s="100"/>
      <c r="EM105" s="100"/>
      <c r="EN105" s="100"/>
      <c r="EO105" s="100"/>
      <c r="EP105" s="87"/>
      <c r="EQ105" s="87"/>
      <c r="ER105" s="87"/>
      <c r="ES105" s="87"/>
      <c r="ET105" s="87"/>
      <c r="EU105" s="87"/>
      <c r="EV105" s="87"/>
      <c r="EW105" s="87"/>
      <c r="EX105" s="87"/>
      <c r="EY105" s="87"/>
      <c r="EZ105" s="87"/>
      <c r="FA105" s="87"/>
      <c r="FB105" s="87"/>
      <c r="FC105" s="87"/>
      <c r="FD105" s="87"/>
      <c r="FE105" s="87"/>
      <c r="FF105" s="87"/>
      <c r="FG105" s="87"/>
      <c r="FH105" s="87"/>
      <c r="FI105" s="87"/>
      <c r="FJ105" s="87"/>
      <c r="FK105" s="87"/>
    </row>
    <row r="106" spans="1:167" hidden="1" outlineLevel="1">
      <c r="A106" s="31" t="str">
        <f t="shared" si="19"/>
        <v>cd_imv_out_benscod_avl</v>
      </c>
      <c r="B106" s="76" t="s">
        <v>28</v>
      </c>
      <c r="C106" s="77" t="s">
        <v>54</v>
      </c>
      <c r="D106" s="73" t="s">
        <v>40</v>
      </c>
      <c r="E106" s="75" t="s">
        <v>92</v>
      </c>
      <c r="F106" s="73" t="s">
        <v>97</v>
      </c>
      <c r="G106" s="73" t="str">
        <f>INDEX(Auxiliar!$B$16:$B$23,MATCH(Plano_V1!H106,Auxiliar!$C$16:$C$23,0),1)</f>
        <v>1. Concluído</v>
      </c>
      <c r="H106" s="73">
        <f>VLOOKUP(A106,'Aux - pivots1'!$A:$B,2,0)</f>
        <v>1</v>
      </c>
      <c r="I106" s="93">
        <f>SUMIFS(Table1[Estimação (horas)],Table1[Tabela],Plano_V1!E106,Table1[Campo],Plano_V1!F106)</f>
        <v>4.0999999999999996</v>
      </c>
      <c r="J106" s="93">
        <f t="shared" si="17"/>
        <v>0.51249999999999996</v>
      </c>
      <c r="K106" s="96" t="s">
        <v>93</v>
      </c>
      <c r="L106" s="99">
        <f t="shared" si="18"/>
        <v>0.51249999999999996</v>
      </c>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100"/>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100"/>
      <c r="EJ106" s="100"/>
      <c r="EK106" s="100"/>
      <c r="EL106" s="100"/>
      <c r="EM106" s="100"/>
      <c r="EN106" s="100"/>
      <c r="EO106" s="100"/>
      <c r="EP106" s="87"/>
      <c r="EQ106" s="87"/>
      <c r="ER106" s="87"/>
      <c r="ES106" s="87"/>
      <c r="ET106" s="87"/>
      <c r="EU106" s="87"/>
      <c r="EV106" s="87"/>
      <c r="EW106" s="87"/>
      <c r="EX106" s="87"/>
      <c r="EY106" s="87"/>
      <c r="EZ106" s="87"/>
      <c r="FA106" s="87"/>
      <c r="FB106" s="87"/>
      <c r="FC106" s="87"/>
      <c r="FD106" s="87"/>
      <c r="FE106" s="87"/>
      <c r="FF106" s="87"/>
      <c r="FG106" s="87"/>
      <c r="FH106" s="87"/>
      <c r="FI106" s="87"/>
      <c r="FJ106" s="87"/>
      <c r="FK106" s="87"/>
    </row>
    <row r="107" spans="1:167" hidden="1" outlineLevel="1">
      <c r="A107" s="31" t="str">
        <f t="shared" si="19"/>
        <v>cd_imv_out_benscod_bem</v>
      </c>
      <c r="B107" s="76" t="s">
        <v>28</v>
      </c>
      <c r="C107" s="77" t="s">
        <v>54</v>
      </c>
      <c r="D107" s="73" t="s">
        <v>40</v>
      </c>
      <c r="E107" s="75" t="s">
        <v>92</v>
      </c>
      <c r="F107" s="73" t="s">
        <v>98</v>
      </c>
      <c r="G107" s="73" t="str">
        <f>INDEX(Auxiliar!$B$16:$B$23,MATCH(Plano_V1!H107,Auxiliar!$C$16:$C$23,0),1)</f>
        <v>0. Cancelado</v>
      </c>
      <c r="H107" s="73">
        <f>VLOOKUP(A107,'Aux - pivots1'!$A:$B,2,0)</f>
        <v>0</v>
      </c>
      <c r="I107" s="94">
        <v>0</v>
      </c>
      <c r="J107" s="93">
        <f t="shared" ref="J107:J170" si="20">I107/8</f>
        <v>0</v>
      </c>
      <c r="K107" s="96" t="s">
        <v>93</v>
      </c>
      <c r="L107" s="99">
        <f t="shared" si="18"/>
        <v>0</v>
      </c>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100"/>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100"/>
      <c r="EJ107" s="100"/>
      <c r="EK107" s="100"/>
      <c r="EL107" s="100"/>
      <c r="EM107" s="100"/>
      <c r="EN107" s="100"/>
      <c r="EO107" s="100"/>
      <c r="EP107" s="87"/>
      <c r="EQ107" s="87"/>
      <c r="ER107" s="87"/>
      <c r="ES107" s="87"/>
      <c r="ET107" s="87"/>
      <c r="EU107" s="87"/>
      <c r="EV107" s="87"/>
      <c r="EW107" s="87"/>
      <c r="EX107" s="87"/>
      <c r="EY107" s="87"/>
      <c r="EZ107" s="87"/>
      <c r="FA107" s="87"/>
      <c r="FB107" s="87"/>
      <c r="FC107" s="87"/>
      <c r="FD107" s="87"/>
      <c r="FE107" s="87"/>
      <c r="FF107" s="87"/>
      <c r="FG107" s="87"/>
      <c r="FH107" s="87"/>
      <c r="FI107" s="87"/>
      <c r="FJ107" s="87"/>
      <c r="FK107" s="87"/>
    </row>
    <row r="108" spans="1:167" hidden="1" outlineLevel="1">
      <c r="A108" s="31" t="str">
        <f t="shared" si="19"/>
        <v>cd_imv_out_benscod_disconf</v>
      </c>
      <c r="B108" s="76" t="s">
        <v>28</v>
      </c>
      <c r="C108" s="77" t="s">
        <v>54</v>
      </c>
      <c r="D108" s="73" t="s">
        <v>40</v>
      </c>
      <c r="E108" s="75" t="s">
        <v>92</v>
      </c>
      <c r="F108" s="73" t="s">
        <v>99</v>
      </c>
      <c r="G108" s="73" t="str">
        <f>INDEX(Auxiliar!$B$16:$B$23,MATCH(Plano_V1!H108,Auxiliar!$C$16:$C$23,0),1)</f>
        <v>1. Concluído</v>
      </c>
      <c r="H108" s="73">
        <f>VLOOKUP(A108,'Aux - pivots1'!$A:$B,2,0)</f>
        <v>1</v>
      </c>
      <c r="I108" s="93">
        <f>SUMIFS(Table1[Estimação (horas)],Table1[Tabela],Plano_V1!E108,Table1[Campo],Plano_V1!F108)</f>
        <v>4.0999999999999996</v>
      </c>
      <c r="J108" s="93">
        <f t="shared" si="20"/>
        <v>0.51249999999999996</v>
      </c>
      <c r="K108" s="96" t="s">
        <v>93</v>
      </c>
      <c r="L108" s="99">
        <f t="shared" si="18"/>
        <v>0.51249999999999996</v>
      </c>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100"/>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100"/>
      <c r="EJ108" s="100"/>
      <c r="EK108" s="100"/>
      <c r="EL108" s="100"/>
      <c r="EM108" s="100"/>
      <c r="EN108" s="100"/>
      <c r="EO108" s="100"/>
      <c r="EP108" s="87"/>
      <c r="EQ108" s="87"/>
      <c r="ER108" s="87"/>
      <c r="ES108" s="87"/>
      <c r="ET108" s="87"/>
      <c r="EU108" s="87"/>
      <c r="EV108" s="87"/>
      <c r="EW108" s="87"/>
      <c r="EX108" s="87"/>
      <c r="EY108" s="87"/>
      <c r="EZ108" s="87"/>
      <c r="FA108" s="87"/>
      <c r="FB108" s="87"/>
      <c r="FC108" s="87"/>
      <c r="FD108" s="87"/>
      <c r="FE108" s="87"/>
      <c r="FF108" s="87"/>
      <c r="FG108" s="87"/>
      <c r="FH108" s="87"/>
      <c r="FI108" s="87"/>
      <c r="FJ108" s="87"/>
      <c r="FK108" s="87"/>
    </row>
    <row r="109" spans="1:167" hidden="1" outlineLevel="1">
      <c r="A109" s="31" t="str">
        <f t="shared" si="19"/>
        <v>cd_imv_out_benscod_fin_bem</v>
      </c>
      <c r="B109" s="76" t="s">
        <v>28</v>
      </c>
      <c r="C109" s="77" t="s">
        <v>54</v>
      </c>
      <c r="D109" s="73" t="s">
        <v>40</v>
      </c>
      <c r="E109" s="75" t="s">
        <v>92</v>
      </c>
      <c r="F109" s="73" t="s">
        <v>100</v>
      </c>
      <c r="G109" s="73" t="str">
        <f>INDEX(Auxiliar!$B$16:$B$23,MATCH(Plano_V1!H109,Auxiliar!$C$16:$C$23,0),1)</f>
        <v>1. Concluído</v>
      </c>
      <c r="H109" s="73">
        <f>VLOOKUP(A109,'Aux - pivots1'!$A:$B,2,0)</f>
        <v>1</v>
      </c>
      <c r="I109" s="93">
        <f>SUMIFS(Table1[Estimação (horas)],Table1[Tabela],Plano_V1!E109,Table1[Campo],Plano_V1!F109)</f>
        <v>4.0999999999999996</v>
      </c>
      <c r="J109" s="93">
        <f t="shared" si="20"/>
        <v>0.51249999999999996</v>
      </c>
      <c r="K109" s="96" t="s">
        <v>93</v>
      </c>
      <c r="L109" s="99">
        <f t="shared" si="18"/>
        <v>0.51249999999999996</v>
      </c>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100"/>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100"/>
      <c r="EJ109" s="100"/>
      <c r="EK109" s="100"/>
      <c r="EL109" s="100"/>
      <c r="EM109" s="100"/>
      <c r="EN109" s="100"/>
      <c r="EO109" s="100"/>
      <c r="EP109" s="87"/>
      <c r="EQ109" s="87"/>
      <c r="ER109" s="87"/>
      <c r="ES109" s="87"/>
      <c r="ET109" s="87"/>
      <c r="EU109" s="87"/>
      <c r="EV109" s="87"/>
      <c r="EW109" s="87"/>
      <c r="EX109" s="87"/>
      <c r="EY109" s="87"/>
      <c r="EZ109" s="87"/>
      <c r="FA109" s="87"/>
      <c r="FB109" s="87"/>
      <c r="FC109" s="87"/>
      <c r="FD109" s="87"/>
      <c r="FE109" s="87"/>
      <c r="FF109" s="87"/>
      <c r="FG109" s="87"/>
      <c r="FH109" s="87"/>
      <c r="FI109" s="87"/>
      <c r="FJ109" s="87"/>
      <c r="FK109" s="87"/>
    </row>
    <row r="110" spans="1:167" hidden="1" outlineLevel="1">
      <c r="A110" s="31" t="str">
        <f t="shared" si="19"/>
        <v>cd_imv_out_benscod_idd_pred</v>
      </c>
      <c r="B110" s="76" t="s">
        <v>28</v>
      </c>
      <c r="C110" s="77" t="s">
        <v>54</v>
      </c>
      <c r="D110" s="73" t="s">
        <v>40</v>
      </c>
      <c r="E110" s="75" t="s">
        <v>92</v>
      </c>
      <c r="F110" s="73" t="s">
        <v>101</v>
      </c>
      <c r="G110" s="73" t="str">
        <f>INDEX(Auxiliar!$B$16:$B$23,MATCH(Plano_V1!H110,Auxiliar!$C$16:$C$23,0),1)</f>
        <v>1. Concluído</v>
      </c>
      <c r="H110" s="73">
        <f>VLOOKUP(A110,'Aux - pivots1'!$A:$B,2,0)</f>
        <v>1</v>
      </c>
      <c r="I110" s="93">
        <f>SUMIFS(Table1[Estimação (horas)],Table1[Tabela],Plano_V1!E110,Table1[Campo],Plano_V1!F110)</f>
        <v>4.0999999999999996</v>
      </c>
      <c r="J110" s="93">
        <f t="shared" si="20"/>
        <v>0.51249999999999996</v>
      </c>
      <c r="K110" s="96" t="s">
        <v>93</v>
      </c>
      <c r="L110" s="99">
        <f t="shared" si="18"/>
        <v>0.51249999999999996</v>
      </c>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100"/>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100"/>
      <c r="EJ110" s="100"/>
      <c r="EK110" s="100"/>
      <c r="EL110" s="100"/>
      <c r="EM110" s="100"/>
      <c r="EN110" s="100"/>
      <c r="EO110" s="100"/>
      <c r="EP110" s="87"/>
      <c r="EQ110" s="87"/>
      <c r="ER110" s="87"/>
      <c r="ES110" s="87"/>
      <c r="ET110" s="87"/>
      <c r="EU110" s="87"/>
      <c r="EV110" s="87"/>
      <c r="EW110" s="87"/>
      <c r="EX110" s="87"/>
      <c r="EY110" s="87"/>
      <c r="EZ110" s="87"/>
      <c r="FA110" s="87"/>
      <c r="FB110" s="87"/>
      <c r="FC110" s="87"/>
      <c r="FD110" s="87"/>
      <c r="FE110" s="87"/>
      <c r="FF110" s="87"/>
      <c r="FG110" s="87"/>
      <c r="FH110" s="87"/>
      <c r="FI110" s="87"/>
      <c r="FJ110" s="87"/>
      <c r="FK110" s="87"/>
    </row>
    <row r="111" spans="1:167" hidden="1" outlineLevel="1">
      <c r="A111" s="31" t="str">
        <f t="shared" si="19"/>
        <v>cd_imv_out_benscod_morada</v>
      </c>
      <c r="B111" s="76" t="s">
        <v>28</v>
      </c>
      <c r="C111" s="77" t="s">
        <v>54</v>
      </c>
      <c r="D111" s="73" t="s">
        <v>40</v>
      </c>
      <c r="E111" s="75" t="s">
        <v>92</v>
      </c>
      <c r="F111" s="73" t="s">
        <v>102</v>
      </c>
      <c r="G111" s="73" t="str">
        <f>INDEX(Auxiliar!$B$16:$B$23,MATCH(Plano_V1!H111,Auxiliar!$C$16:$C$23,0),1)</f>
        <v>1. Concluído</v>
      </c>
      <c r="H111" s="73">
        <f>VLOOKUP(A111,'Aux - pivots1'!$A:$B,2,0)</f>
        <v>1</v>
      </c>
      <c r="I111" s="93">
        <f>SUMIFS(Table1[Estimação (horas)],Table1[Tabela],Plano_V1!E111,Table1[Campo],Plano_V1!F111)</f>
        <v>4.0999999999999996</v>
      </c>
      <c r="J111" s="93">
        <f t="shared" si="20"/>
        <v>0.51249999999999996</v>
      </c>
      <c r="K111" s="96" t="s">
        <v>93</v>
      </c>
      <c r="L111" s="99">
        <f t="shared" si="18"/>
        <v>0.51249999999999996</v>
      </c>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100"/>
      <c r="AU111" s="87"/>
      <c r="AV111" s="87"/>
      <c r="AW111" s="87"/>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100"/>
      <c r="EJ111" s="100"/>
      <c r="EK111" s="100"/>
      <c r="EL111" s="100"/>
      <c r="EM111" s="100"/>
      <c r="EN111" s="100"/>
      <c r="EO111" s="100"/>
      <c r="EP111" s="87"/>
      <c r="EQ111" s="87"/>
      <c r="ER111" s="87"/>
      <c r="ES111" s="87"/>
      <c r="ET111" s="87"/>
      <c r="EU111" s="87"/>
      <c r="EV111" s="87"/>
      <c r="EW111" s="87"/>
      <c r="EX111" s="87"/>
      <c r="EY111" s="87"/>
      <c r="EZ111" s="87"/>
      <c r="FA111" s="87"/>
      <c r="FB111" s="87"/>
      <c r="FC111" s="87"/>
      <c r="FD111" s="87"/>
      <c r="FE111" s="87"/>
      <c r="FF111" s="87"/>
      <c r="FG111" s="87"/>
      <c r="FH111" s="87"/>
      <c r="FI111" s="87"/>
      <c r="FJ111" s="87"/>
      <c r="FK111" s="87"/>
    </row>
    <row r="112" spans="1:167" hidden="1" outlineLevel="1">
      <c r="A112" s="31" t="str">
        <f t="shared" si="19"/>
        <v>cd_imv_out_benscod_pais</v>
      </c>
      <c r="B112" s="76" t="s">
        <v>28</v>
      </c>
      <c r="C112" s="77" t="s">
        <v>54</v>
      </c>
      <c r="D112" s="73" t="s">
        <v>40</v>
      </c>
      <c r="E112" s="75" t="s">
        <v>92</v>
      </c>
      <c r="F112" s="73" t="s">
        <v>103</v>
      </c>
      <c r="G112" s="73" t="str">
        <f>INDEX(Auxiliar!$B$16:$B$23,MATCH(Plano_V1!H112,Auxiliar!$C$16:$C$23,0),1)</f>
        <v>1. Concluído</v>
      </c>
      <c r="H112" s="73">
        <f>VLOOKUP(A112,'Aux - pivots1'!$A:$B,2,0)</f>
        <v>1</v>
      </c>
      <c r="I112" s="93">
        <f>SUMIFS(Table1[Estimação (horas)],Table1[Tabela],Plano_V1!E112,Table1[Campo],Plano_V1!F112)</f>
        <v>4.0999999999999996</v>
      </c>
      <c r="J112" s="93">
        <f t="shared" si="20"/>
        <v>0.51249999999999996</v>
      </c>
      <c r="K112" s="96" t="s">
        <v>93</v>
      </c>
      <c r="L112" s="99">
        <f t="shared" si="18"/>
        <v>0.51249999999999996</v>
      </c>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100"/>
      <c r="AU112" s="87"/>
      <c r="AV112" s="87"/>
      <c r="AW112" s="87"/>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100"/>
      <c r="EJ112" s="100"/>
      <c r="EK112" s="100"/>
      <c r="EL112" s="100"/>
      <c r="EM112" s="100"/>
      <c r="EN112" s="100"/>
      <c r="EO112" s="100"/>
      <c r="EP112" s="87"/>
      <c r="EQ112" s="87"/>
      <c r="ER112" s="87"/>
      <c r="ES112" s="87"/>
      <c r="ET112" s="87"/>
      <c r="EU112" s="87"/>
      <c r="EV112" s="87"/>
      <c r="EW112" s="87"/>
      <c r="EX112" s="87"/>
      <c r="EY112" s="87"/>
      <c r="EZ112" s="87"/>
      <c r="FA112" s="87"/>
      <c r="FB112" s="87"/>
      <c r="FC112" s="87"/>
      <c r="FD112" s="87"/>
      <c r="FE112" s="87"/>
      <c r="FF112" s="87"/>
      <c r="FG112" s="87"/>
      <c r="FH112" s="87"/>
      <c r="FI112" s="87"/>
      <c r="FJ112" s="87"/>
      <c r="FK112" s="87"/>
    </row>
    <row r="113" spans="1:167" hidden="1" outlineLevel="1">
      <c r="A113" s="31" t="str">
        <f t="shared" si="19"/>
        <v>cd_imv_out_benscod_post</v>
      </c>
      <c r="B113" s="76" t="s">
        <v>28</v>
      </c>
      <c r="C113" s="77" t="s">
        <v>54</v>
      </c>
      <c r="D113" s="73" t="s">
        <v>40</v>
      </c>
      <c r="E113" s="75" t="s">
        <v>92</v>
      </c>
      <c r="F113" s="73" t="s">
        <v>104</v>
      </c>
      <c r="G113" s="73" t="str">
        <f>INDEX(Auxiliar!$B$16:$B$23,MATCH(Plano_V1!H113,Auxiliar!$C$16:$C$23,0),1)</f>
        <v>1. Concluído</v>
      </c>
      <c r="H113" s="73">
        <f>VLOOKUP(A113,'Aux - pivots1'!$A:$B,2,0)</f>
        <v>1</v>
      </c>
      <c r="I113" s="93">
        <f>SUMIFS(Table1[Estimação (horas)],Table1[Tabela],Plano_V1!E113,Table1[Campo],Plano_V1!F113)</f>
        <v>4.0999999999999996</v>
      </c>
      <c r="J113" s="93">
        <f t="shared" si="20"/>
        <v>0.51249999999999996</v>
      </c>
      <c r="K113" s="96" t="s">
        <v>93</v>
      </c>
      <c r="L113" s="99">
        <f t="shared" si="18"/>
        <v>0.51249999999999996</v>
      </c>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100"/>
      <c r="AU113" s="87"/>
      <c r="AV113" s="87"/>
      <c r="AW113" s="87"/>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100"/>
      <c r="EJ113" s="100"/>
      <c r="EK113" s="100"/>
      <c r="EL113" s="100"/>
      <c r="EM113" s="100"/>
      <c r="EN113" s="100"/>
      <c r="EO113" s="100"/>
      <c r="EP113" s="87"/>
      <c r="EQ113" s="87"/>
      <c r="ER113" s="87"/>
      <c r="ES113" s="87"/>
      <c r="ET113" s="87"/>
      <c r="EU113" s="87"/>
      <c r="EV113" s="87"/>
      <c r="EW113" s="87"/>
      <c r="EX113" s="87"/>
      <c r="EY113" s="87"/>
      <c r="EZ113" s="87"/>
      <c r="FA113" s="87"/>
      <c r="FB113" s="87"/>
      <c r="FC113" s="87"/>
      <c r="FD113" s="87"/>
      <c r="FE113" s="87"/>
      <c r="FF113" s="87"/>
      <c r="FG113" s="87"/>
      <c r="FH113" s="87"/>
      <c r="FI113" s="87"/>
      <c r="FJ113" s="87"/>
      <c r="FK113" s="87"/>
    </row>
    <row r="114" spans="1:167" hidden="1" outlineLevel="1">
      <c r="A114" s="31" t="str">
        <f t="shared" si="19"/>
        <v>cd_imv_out_benscod_tp_bem</v>
      </c>
      <c r="B114" s="76" t="s">
        <v>28</v>
      </c>
      <c r="C114" s="77" t="s">
        <v>54</v>
      </c>
      <c r="D114" s="73" t="s">
        <v>40</v>
      </c>
      <c r="E114" s="75" t="s">
        <v>92</v>
      </c>
      <c r="F114" s="73" t="s">
        <v>105</v>
      </c>
      <c r="G114" s="73" t="str">
        <f>INDEX(Auxiliar!$B$16:$B$23,MATCH(Plano_V1!H114,Auxiliar!$C$16:$C$23,0),1)</f>
        <v>1. Concluído</v>
      </c>
      <c r="H114" s="73">
        <f>VLOOKUP(A114,'Aux - pivots1'!$A:$B,2,0)</f>
        <v>1</v>
      </c>
      <c r="I114" s="93">
        <f>SUMIFS(Table1[Estimação (horas)],Table1[Tabela],Plano_V1!E114,Table1[Campo],Plano_V1!F114)</f>
        <v>4.0999999999999996</v>
      </c>
      <c r="J114" s="93">
        <f t="shared" si="20"/>
        <v>0.51249999999999996</v>
      </c>
      <c r="K114" s="96" t="s">
        <v>93</v>
      </c>
      <c r="L114" s="99">
        <f t="shared" si="18"/>
        <v>0.51249999999999996</v>
      </c>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100"/>
      <c r="AU114" s="87"/>
      <c r="AV114" s="87"/>
      <c r="AW114" s="87"/>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100"/>
      <c r="EJ114" s="100"/>
      <c r="EK114" s="100"/>
      <c r="EL114" s="100"/>
      <c r="EM114" s="100"/>
      <c r="EN114" s="100"/>
      <c r="EO114" s="100"/>
      <c r="EP114" s="87"/>
      <c r="EQ114" s="87"/>
      <c r="ER114" s="87"/>
      <c r="ES114" s="87"/>
      <c r="ET114" s="87"/>
      <c r="EU114" s="87"/>
      <c r="EV114" s="87"/>
      <c r="EW114" s="87"/>
      <c r="EX114" s="87"/>
      <c r="EY114" s="87"/>
      <c r="EZ114" s="87"/>
      <c r="FA114" s="87"/>
      <c r="FB114" s="87"/>
      <c r="FC114" s="87"/>
      <c r="FD114" s="87"/>
      <c r="FE114" s="87"/>
      <c r="FF114" s="87"/>
      <c r="FG114" s="87"/>
      <c r="FH114" s="87"/>
      <c r="FI114" s="87"/>
      <c r="FJ114" s="87"/>
      <c r="FK114" s="87"/>
    </row>
    <row r="115" spans="1:167" hidden="1" outlineLevel="1">
      <c r="A115" s="31" t="str">
        <f t="shared" si="19"/>
        <v>cd_imv_out_bensdata_avl</v>
      </c>
      <c r="B115" s="76" t="s">
        <v>28</v>
      </c>
      <c r="C115" s="77" t="s">
        <v>54</v>
      </c>
      <c r="D115" s="73" t="s">
        <v>40</v>
      </c>
      <c r="E115" s="75" t="s">
        <v>92</v>
      </c>
      <c r="F115" s="73" t="s">
        <v>106</v>
      </c>
      <c r="G115" s="73" t="str">
        <f>INDEX(Auxiliar!$B$16:$B$23,MATCH(Plano_V1!H115,Auxiliar!$C$16:$C$23,0),1)</f>
        <v>1. Concluído</v>
      </c>
      <c r="H115" s="73">
        <f>VLOOKUP(A115,'Aux - pivots1'!$A:$B,2,0)</f>
        <v>1</v>
      </c>
      <c r="I115" s="93">
        <f>SUMIFS(Table1[Estimação (horas)],Table1[Tabela],Plano_V1!E115,Table1[Campo],Plano_V1!F115)</f>
        <v>4.0999999999999996</v>
      </c>
      <c r="J115" s="93">
        <f t="shared" si="20"/>
        <v>0.51249999999999996</v>
      </c>
      <c r="K115" s="96" t="s">
        <v>93</v>
      </c>
      <c r="L115" s="99">
        <f t="shared" si="18"/>
        <v>0.51249999999999996</v>
      </c>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100"/>
      <c r="AU115" s="87"/>
      <c r="AV115" s="87"/>
      <c r="AW115" s="87"/>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100"/>
      <c r="EJ115" s="100"/>
      <c r="EK115" s="100"/>
      <c r="EL115" s="100"/>
      <c r="EM115" s="100"/>
      <c r="EN115" s="100"/>
      <c r="EO115" s="100"/>
      <c r="EP115" s="87"/>
      <c r="EQ115" s="87"/>
      <c r="ER115" s="87"/>
      <c r="ES115" s="87"/>
      <c r="ET115" s="87"/>
      <c r="EU115" s="87"/>
      <c r="EV115" s="87"/>
      <c r="EW115" s="87"/>
      <c r="EX115" s="87"/>
      <c r="EY115" s="87"/>
      <c r="EZ115" s="87"/>
      <c r="FA115" s="87"/>
      <c r="FB115" s="87"/>
      <c r="FC115" s="87"/>
      <c r="FD115" s="87"/>
      <c r="FE115" s="87"/>
      <c r="FF115" s="87"/>
      <c r="FG115" s="87"/>
      <c r="FH115" s="87"/>
      <c r="FI115" s="87"/>
      <c r="FJ115" s="87"/>
      <c r="FK115" s="87"/>
    </row>
    <row r="116" spans="1:167" hidden="1" outlineLevel="1">
      <c r="A116" s="31" t="str">
        <f t="shared" si="19"/>
        <v>cd_imv_out_bensdata_lic_util</v>
      </c>
      <c r="B116" s="76" t="s">
        <v>28</v>
      </c>
      <c r="C116" s="77" t="s">
        <v>54</v>
      </c>
      <c r="D116" s="73" t="s">
        <v>40</v>
      </c>
      <c r="E116" s="75" t="s">
        <v>92</v>
      </c>
      <c r="F116" s="73" t="s">
        <v>107</v>
      </c>
      <c r="G116" s="73" t="str">
        <f>INDEX(Auxiliar!$B$16:$B$23,MATCH(Plano_V1!H116,Auxiliar!$C$16:$C$23,0),1)</f>
        <v>1. Concluído</v>
      </c>
      <c r="H116" s="73">
        <f>VLOOKUP(A116,'Aux - pivots1'!$A:$B,2,0)</f>
        <v>1</v>
      </c>
      <c r="I116" s="93">
        <f>SUMIFS(Table1[Estimação (horas)],Table1[Tabela],Plano_V1!E116,Table1[Campo],Plano_V1!F116)</f>
        <v>4.0999999999999996</v>
      </c>
      <c r="J116" s="93">
        <f t="shared" si="20"/>
        <v>0.51249999999999996</v>
      </c>
      <c r="K116" s="96" t="s">
        <v>93</v>
      </c>
      <c r="L116" s="99">
        <f t="shared" si="18"/>
        <v>0.51249999999999996</v>
      </c>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100"/>
      <c r="AU116" s="87"/>
      <c r="AV116" s="87"/>
      <c r="AW116" s="87"/>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100"/>
      <c r="EJ116" s="100"/>
      <c r="EK116" s="100"/>
      <c r="EL116" s="100"/>
      <c r="EM116" s="100"/>
      <c r="EN116" s="100"/>
      <c r="EO116" s="100"/>
      <c r="EP116" s="87"/>
      <c r="EQ116" s="87"/>
      <c r="ER116" s="87"/>
      <c r="ES116" s="87"/>
      <c r="ET116" s="87"/>
      <c r="EU116" s="87"/>
      <c r="EV116" s="87"/>
      <c r="EW116" s="87"/>
      <c r="EX116" s="87"/>
      <c r="EY116" s="87"/>
      <c r="EZ116" s="87"/>
      <c r="FA116" s="87"/>
      <c r="FB116" s="87"/>
      <c r="FC116" s="87"/>
      <c r="FD116" s="87"/>
      <c r="FE116" s="87"/>
      <c r="FF116" s="87"/>
      <c r="FG116" s="87"/>
      <c r="FH116" s="87"/>
      <c r="FI116" s="87"/>
      <c r="FJ116" s="87"/>
      <c r="FK116" s="87"/>
    </row>
    <row r="117" spans="1:167" hidden="1" outlineLevel="1">
      <c r="A117" s="31" t="str">
        <f t="shared" si="19"/>
        <v>cd_imv_out_bensficha</v>
      </c>
      <c r="B117" s="76" t="s">
        <v>28</v>
      </c>
      <c r="C117" s="77" t="s">
        <v>54</v>
      </c>
      <c r="D117" s="73" t="s">
        <v>40</v>
      </c>
      <c r="E117" s="75" t="s">
        <v>92</v>
      </c>
      <c r="F117" s="73" t="s">
        <v>108</v>
      </c>
      <c r="G117" s="73" t="str">
        <f>INDEX(Auxiliar!$B$16:$B$23,MATCH(Plano_V1!H117,Auxiliar!$C$16:$C$23,0),1)</f>
        <v>1. Concluído</v>
      </c>
      <c r="H117" s="73">
        <f>VLOOKUP(A117,'Aux - pivots1'!$A:$B,2,0)</f>
        <v>1</v>
      </c>
      <c r="I117" s="93">
        <f>SUMIFS(Table1[Estimação (horas)],Table1[Tabela],Plano_V1!E117,Table1[Campo],Plano_V1!F117)</f>
        <v>4.0999999999999996</v>
      </c>
      <c r="J117" s="93">
        <f t="shared" si="20"/>
        <v>0.51249999999999996</v>
      </c>
      <c r="K117" s="96" t="s">
        <v>93</v>
      </c>
      <c r="L117" s="99">
        <f t="shared" si="18"/>
        <v>0.51249999999999996</v>
      </c>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100"/>
      <c r="AU117" s="87"/>
      <c r="AV117" s="87"/>
      <c r="AW117" s="87"/>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100"/>
      <c r="EJ117" s="100"/>
      <c r="EK117" s="100"/>
      <c r="EL117" s="100"/>
      <c r="EM117" s="100"/>
      <c r="EN117" s="100"/>
      <c r="EO117" s="100"/>
      <c r="EP117" s="87"/>
      <c r="EQ117" s="87"/>
      <c r="ER117" s="87"/>
      <c r="ES117" s="87"/>
      <c r="ET117" s="87"/>
      <c r="EU117" s="87"/>
      <c r="EV117" s="87"/>
      <c r="EW117" s="87"/>
      <c r="EX117" s="87"/>
      <c r="EY117" s="87"/>
      <c r="EZ117" s="87"/>
      <c r="FA117" s="87"/>
      <c r="FB117" s="87"/>
      <c r="FC117" s="87"/>
      <c r="FD117" s="87"/>
      <c r="FE117" s="87"/>
      <c r="FF117" s="87"/>
      <c r="FG117" s="87"/>
      <c r="FH117" s="87"/>
      <c r="FI117" s="87"/>
      <c r="FJ117" s="87"/>
      <c r="FK117" s="87"/>
    </row>
    <row r="118" spans="1:167" hidden="1" outlineLevel="1">
      <c r="A118" s="31" t="str">
        <f t="shared" si="19"/>
        <v>cd_imv_out_bensid_frac</v>
      </c>
      <c r="B118" s="76" t="s">
        <v>28</v>
      </c>
      <c r="C118" s="77" t="s">
        <v>54</v>
      </c>
      <c r="D118" s="73" t="s">
        <v>40</v>
      </c>
      <c r="E118" s="75" t="s">
        <v>92</v>
      </c>
      <c r="F118" s="73" t="s">
        <v>109</v>
      </c>
      <c r="G118" s="73" t="str">
        <f>INDEX(Auxiliar!$B$16:$B$23,MATCH(Plano_V1!H118,Auxiliar!$C$16:$C$23,0),1)</f>
        <v>1. Concluído</v>
      </c>
      <c r="H118" s="73">
        <f>VLOOKUP(A118,'Aux - pivots1'!$A:$B,2,0)</f>
        <v>1</v>
      </c>
      <c r="I118" s="93">
        <f>SUMIFS(Table1[Estimação (horas)],Table1[Tabela],Plano_V1!E118,Table1[Campo],Plano_V1!F118)</f>
        <v>4.0999999999999996</v>
      </c>
      <c r="J118" s="93">
        <f t="shared" si="20"/>
        <v>0.51249999999999996</v>
      </c>
      <c r="K118" s="96" t="s">
        <v>93</v>
      </c>
      <c r="L118" s="99">
        <f t="shared" si="18"/>
        <v>0.51249999999999996</v>
      </c>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100"/>
      <c r="AU118" s="87"/>
      <c r="AV118" s="87"/>
      <c r="AW118" s="87"/>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100"/>
      <c r="EJ118" s="100"/>
      <c r="EK118" s="100"/>
      <c r="EL118" s="100"/>
      <c r="EM118" s="100"/>
      <c r="EN118" s="100"/>
      <c r="EO118" s="100"/>
      <c r="EP118" s="87"/>
      <c r="EQ118" s="87"/>
      <c r="ER118" s="87"/>
      <c r="ES118" s="87"/>
      <c r="ET118" s="87"/>
      <c r="EU118" s="87"/>
      <c r="EV118" s="87"/>
      <c r="EW118" s="87"/>
      <c r="EX118" s="87"/>
      <c r="EY118" s="87"/>
      <c r="EZ118" s="87"/>
      <c r="FA118" s="87"/>
      <c r="FB118" s="87"/>
      <c r="FC118" s="87"/>
      <c r="FD118" s="87"/>
      <c r="FE118" s="87"/>
      <c r="FF118" s="87"/>
      <c r="FG118" s="87"/>
      <c r="FH118" s="87"/>
      <c r="FI118" s="87"/>
      <c r="FJ118" s="87"/>
      <c r="FK118" s="87"/>
    </row>
    <row r="119" spans="1:167" hidden="1" outlineLevel="1">
      <c r="A119" s="31" t="str">
        <f t="shared" si="19"/>
        <v>cd_imv_out_benslocalid</v>
      </c>
      <c r="B119" s="76" t="s">
        <v>28</v>
      </c>
      <c r="C119" s="77" t="s">
        <v>54</v>
      </c>
      <c r="D119" s="73" t="s">
        <v>40</v>
      </c>
      <c r="E119" s="75" t="s">
        <v>92</v>
      </c>
      <c r="F119" s="73" t="s">
        <v>110</v>
      </c>
      <c r="G119" s="73" t="str">
        <f>INDEX(Auxiliar!$B$16:$B$23,MATCH(Plano_V1!H119,Auxiliar!$C$16:$C$23,0),1)</f>
        <v>1. Concluído</v>
      </c>
      <c r="H119" s="73">
        <f>VLOOKUP(A119,'Aux - pivots1'!$A:$B,2,0)</f>
        <v>1</v>
      </c>
      <c r="I119" s="93">
        <f>SUMIFS(Table1[Estimação (horas)],Table1[Tabela],Plano_V1!E119,Table1[Campo],Plano_V1!F119)</f>
        <v>4.0999999999999996</v>
      </c>
      <c r="J119" s="93">
        <f t="shared" si="20"/>
        <v>0.51249999999999996</v>
      </c>
      <c r="K119" s="96" t="s">
        <v>93</v>
      </c>
      <c r="L119" s="99">
        <f t="shared" si="18"/>
        <v>0.51249999999999996</v>
      </c>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100"/>
      <c r="AU119" s="87"/>
      <c r="AV119" s="87"/>
      <c r="AW119" s="87"/>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100"/>
      <c r="EJ119" s="100"/>
      <c r="EK119" s="100"/>
      <c r="EL119" s="100"/>
      <c r="EM119" s="100"/>
      <c r="EN119" s="100"/>
      <c r="EO119" s="100"/>
      <c r="EP119" s="87"/>
      <c r="EQ119" s="87"/>
      <c r="ER119" s="87"/>
      <c r="ES119" s="87"/>
      <c r="ET119" s="87"/>
      <c r="EU119" s="87"/>
      <c r="EV119" s="87"/>
      <c r="EW119" s="87"/>
      <c r="EX119" s="87"/>
      <c r="EY119" s="87"/>
      <c r="EZ119" s="87"/>
      <c r="FA119" s="87"/>
      <c r="FB119" s="87"/>
      <c r="FC119" s="87"/>
      <c r="FD119" s="87"/>
      <c r="FE119" s="87"/>
      <c r="FF119" s="87"/>
      <c r="FG119" s="87"/>
      <c r="FH119" s="87"/>
      <c r="FI119" s="87"/>
      <c r="FJ119" s="87"/>
      <c r="FK119" s="87"/>
    </row>
    <row r="120" spans="1:167" hidden="1" outlineLevel="1">
      <c r="A120" s="31" t="str">
        <f t="shared" si="19"/>
        <v>cd_imv_out_benslote</v>
      </c>
      <c r="B120" s="76" t="s">
        <v>28</v>
      </c>
      <c r="C120" s="77" t="s">
        <v>54</v>
      </c>
      <c r="D120" s="73" t="s">
        <v>40</v>
      </c>
      <c r="E120" s="75" t="s">
        <v>92</v>
      </c>
      <c r="F120" s="73" t="s">
        <v>111</v>
      </c>
      <c r="G120" s="73" t="str">
        <f>INDEX(Auxiliar!$B$16:$B$23,MATCH(Plano_V1!H120,Auxiliar!$C$16:$C$23,0),1)</f>
        <v>1. Concluído</v>
      </c>
      <c r="H120" s="73">
        <f>VLOOKUP(A120,'Aux - pivots1'!$A:$B,2,0)</f>
        <v>1</v>
      </c>
      <c r="I120" s="93">
        <f>SUMIFS(Table1[Estimação (horas)],Table1[Tabela],Plano_V1!E120,Table1[Campo],Plano_V1!F120)</f>
        <v>4.0999999999999996</v>
      </c>
      <c r="J120" s="93">
        <f t="shared" si="20"/>
        <v>0.51249999999999996</v>
      </c>
      <c r="K120" s="96" t="s">
        <v>93</v>
      </c>
      <c r="L120" s="99">
        <f t="shared" si="18"/>
        <v>0.51249999999999996</v>
      </c>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100"/>
      <c r="AU120" s="87"/>
      <c r="AV120" s="87"/>
      <c r="AW120" s="87"/>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100"/>
      <c r="EJ120" s="100"/>
      <c r="EK120" s="100"/>
      <c r="EL120" s="100"/>
      <c r="EM120" s="100"/>
      <c r="EN120" s="100"/>
      <c r="EO120" s="100"/>
      <c r="EP120" s="87"/>
      <c r="EQ120" s="87"/>
      <c r="ER120" s="87"/>
      <c r="ES120" s="87"/>
      <c r="ET120" s="87"/>
      <c r="EU120" s="87"/>
      <c r="EV120" s="87"/>
      <c r="EW120" s="87"/>
      <c r="EX120" s="87"/>
      <c r="EY120" s="87"/>
      <c r="EZ120" s="87"/>
      <c r="FA120" s="87"/>
      <c r="FB120" s="87"/>
      <c r="FC120" s="87"/>
      <c r="FD120" s="87"/>
      <c r="FE120" s="87"/>
      <c r="FF120" s="87"/>
      <c r="FG120" s="87"/>
      <c r="FH120" s="87"/>
      <c r="FI120" s="87"/>
      <c r="FJ120" s="87"/>
      <c r="FK120" s="87"/>
    </row>
    <row r="121" spans="1:167" hidden="1" outlineLevel="1">
      <c r="A121" s="31" t="str">
        <f t="shared" si="19"/>
        <v>cd_imv_out_bensmontante_avl</v>
      </c>
      <c r="B121" s="76" t="s">
        <v>28</v>
      </c>
      <c r="C121" s="77" t="s">
        <v>54</v>
      </c>
      <c r="D121" s="73" t="s">
        <v>40</v>
      </c>
      <c r="E121" s="75" t="s">
        <v>92</v>
      </c>
      <c r="F121" s="73" t="s">
        <v>112</v>
      </c>
      <c r="G121" s="73" t="str">
        <f>INDEX(Auxiliar!$B$16:$B$23,MATCH(Plano_V1!H121,Auxiliar!$C$16:$C$23,0),1)</f>
        <v>1. Concluído</v>
      </c>
      <c r="H121" s="73">
        <f>VLOOKUP(A121,'Aux - pivots1'!$A:$B,2,0)</f>
        <v>1</v>
      </c>
      <c r="I121" s="93">
        <f>SUMIFS(Table1[Estimação (horas)],Table1[Tabela],Plano_V1!E121,Table1[Campo],Plano_V1!F121)</f>
        <v>4.0999999999999996</v>
      </c>
      <c r="J121" s="93">
        <f t="shared" si="20"/>
        <v>0.51249999999999996</v>
      </c>
      <c r="K121" s="96" t="s">
        <v>93</v>
      </c>
      <c r="L121" s="99">
        <f t="shared" si="18"/>
        <v>0.51249999999999996</v>
      </c>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100"/>
      <c r="AU121" s="87"/>
      <c r="AV121" s="87"/>
      <c r="AW121" s="87"/>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100"/>
      <c r="EJ121" s="100"/>
      <c r="EK121" s="100"/>
      <c r="EL121" s="100"/>
      <c r="EM121" s="100"/>
      <c r="EN121" s="100"/>
      <c r="EO121" s="100"/>
      <c r="EP121" s="87"/>
      <c r="EQ121" s="87"/>
      <c r="ER121" s="87"/>
      <c r="ES121" s="87"/>
      <c r="ET121" s="87"/>
      <c r="EU121" s="87"/>
      <c r="EV121" s="87"/>
      <c r="EW121" s="87"/>
      <c r="EX121" s="87"/>
      <c r="EY121" s="87"/>
      <c r="EZ121" s="87"/>
      <c r="FA121" s="87"/>
      <c r="FB121" s="87"/>
      <c r="FC121" s="87"/>
      <c r="FD121" s="87"/>
      <c r="FE121" s="87"/>
      <c r="FF121" s="87"/>
      <c r="FG121" s="87"/>
      <c r="FH121" s="87"/>
      <c r="FI121" s="87"/>
      <c r="FJ121" s="87"/>
      <c r="FK121" s="87"/>
    </row>
    <row r="122" spans="1:167" hidden="1" outlineLevel="1">
      <c r="A122" s="31" t="str">
        <f t="shared" si="19"/>
        <v>cd_imv_out_bensmontante_avl_dist</v>
      </c>
      <c r="B122" s="76" t="s">
        <v>28</v>
      </c>
      <c r="C122" s="77" t="s">
        <v>54</v>
      </c>
      <c r="D122" s="73" t="s">
        <v>40</v>
      </c>
      <c r="E122" s="75" t="s">
        <v>92</v>
      </c>
      <c r="F122" s="73" t="s">
        <v>113</v>
      </c>
      <c r="G122" s="73" t="str">
        <f>INDEX(Auxiliar!$B$16:$B$23,MATCH(Plano_V1!H122,Auxiliar!$C$16:$C$23,0),1)</f>
        <v>1. Concluído</v>
      </c>
      <c r="H122" s="73">
        <f>VLOOKUP(A122,'Aux - pivots1'!$A:$B,2,0)</f>
        <v>1</v>
      </c>
      <c r="I122" s="93">
        <f>SUMIFS(Table1[Estimação (horas)],Table1[Tabela],Plano_V1!E122,Table1[Campo],Plano_V1!F122)</f>
        <v>4.0999999999999996</v>
      </c>
      <c r="J122" s="93">
        <f t="shared" si="20"/>
        <v>0.51249999999999996</v>
      </c>
      <c r="K122" s="96" t="s">
        <v>93</v>
      </c>
      <c r="L122" s="99">
        <f t="shared" si="18"/>
        <v>0.51249999999999996</v>
      </c>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100"/>
      <c r="AU122" s="87"/>
      <c r="AV122" s="87"/>
      <c r="AW122" s="87"/>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100"/>
      <c r="EJ122" s="100"/>
      <c r="EK122" s="100"/>
      <c r="EL122" s="100"/>
      <c r="EM122" s="100"/>
      <c r="EN122" s="100"/>
      <c r="EO122" s="100"/>
      <c r="EP122" s="87"/>
      <c r="EQ122" s="87"/>
      <c r="ER122" s="87"/>
      <c r="ES122" s="87"/>
      <c r="ET122" s="87"/>
      <c r="EU122" s="87"/>
      <c r="EV122" s="87"/>
      <c r="EW122" s="87"/>
      <c r="EX122" s="87"/>
      <c r="EY122" s="87"/>
      <c r="EZ122" s="87"/>
      <c r="FA122" s="87"/>
      <c r="FB122" s="87"/>
      <c r="FC122" s="87"/>
      <c r="FD122" s="87"/>
      <c r="FE122" s="87"/>
      <c r="FF122" s="87"/>
      <c r="FG122" s="87"/>
      <c r="FH122" s="87"/>
      <c r="FI122" s="87"/>
      <c r="FJ122" s="87"/>
      <c r="FK122" s="87"/>
    </row>
    <row r="123" spans="1:167" hidden="1" outlineLevel="1">
      <c r="A123" s="31" t="str">
        <f t="shared" si="19"/>
        <v>cd_imv_out_bensmontante_vnd_rap</v>
      </c>
      <c r="B123" s="76" t="s">
        <v>28</v>
      </c>
      <c r="C123" s="77" t="s">
        <v>54</v>
      </c>
      <c r="D123" s="73" t="s">
        <v>40</v>
      </c>
      <c r="E123" s="75" t="s">
        <v>92</v>
      </c>
      <c r="F123" s="73" t="s">
        <v>114</v>
      </c>
      <c r="G123" s="73" t="str">
        <f>INDEX(Auxiliar!$B$16:$B$23,MATCH(Plano_V1!H123,Auxiliar!$C$16:$C$23,0),1)</f>
        <v>1. Concluído</v>
      </c>
      <c r="H123" s="73">
        <f>VLOOKUP(A123,'Aux - pivots1'!$A:$B,2,0)</f>
        <v>1</v>
      </c>
      <c r="I123" s="93">
        <f>SUMIFS(Table1[Estimação (horas)],Table1[Tabela],Plano_V1!E123,Table1[Campo],Plano_V1!F123)</f>
        <v>4.0999999999999996</v>
      </c>
      <c r="J123" s="93">
        <f t="shared" si="20"/>
        <v>0.51249999999999996</v>
      </c>
      <c r="K123" s="96" t="s">
        <v>93</v>
      </c>
      <c r="L123" s="99">
        <f t="shared" si="18"/>
        <v>0.51249999999999996</v>
      </c>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100"/>
      <c r="AU123" s="87"/>
      <c r="AV123" s="87"/>
      <c r="AW123" s="87"/>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100"/>
      <c r="EJ123" s="100"/>
      <c r="EK123" s="100"/>
      <c r="EL123" s="100"/>
      <c r="EM123" s="100"/>
      <c r="EN123" s="100"/>
      <c r="EO123" s="100"/>
      <c r="EP123" s="87"/>
      <c r="EQ123" s="87"/>
      <c r="ER123" s="87"/>
      <c r="ES123" s="87"/>
      <c r="ET123" s="87"/>
      <c r="EU123" s="87"/>
      <c r="EV123" s="87"/>
      <c r="EW123" s="87"/>
      <c r="EX123" s="87"/>
      <c r="EY123" s="87"/>
      <c r="EZ123" s="87"/>
      <c r="FA123" s="87"/>
      <c r="FB123" s="87"/>
      <c r="FC123" s="87"/>
      <c r="FD123" s="87"/>
      <c r="FE123" s="87"/>
      <c r="FF123" s="87"/>
      <c r="FG123" s="87"/>
      <c r="FH123" s="87"/>
      <c r="FI123" s="87"/>
      <c r="FJ123" s="87"/>
      <c r="FK123" s="87"/>
    </row>
    <row r="124" spans="1:167" hidden="1" outlineLevel="1">
      <c r="A124" s="31" t="str">
        <f t="shared" si="19"/>
        <v>cd_imv_out_bensmorada</v>
      </c>
      <c r="B124" s="76" t="s">
        <v>28</v>
      </c>
      <c r="C124" s="77" t="s">
        <v>54</v>
      </c>
      <c r="D124" s="73" t="s">
        <v>40</v>
      </c>
      <c r="E124" s="75" t="s">
        <v>92</v>
      </c>
      <c r="F124" s="73" t="s">
        <v>115</v>
      </c>
      <c r="G124" s="73" t="str">
        <f>INDEX(Auxiliar!$B$16:$B$23,MATCH(Plano_V1!H124,Auxiliar!$C$16:$C$23,0),1)</f>
        <v>1. Concluído</v>
      </c>
      <c r="H124" s="73">
        <f>VLOOKUP(A124,'Aux - pivots1'!$A:$B,2,0)</f>
        <v>1</v>
      </c>
      <c r="I124" s="93">
        <f>SUMIFS(Table1[Estimação (horas)],Table1[Tabela],Plano_V1!E124,Table1[Campo],Plano_V1!F124)</f>
        <v>4.0999999999999996</v>
      </c>
      <c r="J124" s="93">
        <f t="shared" si="20"/>
        <v>0.51249999999999996</v>
      </c>
      <c r="K124" s="96" t="s">
        <v>93</v>
      </c>
      <c r="L124" s="99">
        <f t="shared" si="18"/>
        <v>0.51249999999999996</v>
      </c>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100"/>
      <c r="AU124" s="87"/>
      <c r="AV124" s="87"/>
      <c r="AW124" s="87"/>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100"/>
      <c r="EJ124" s="100"/>
      <c r="EK124" s="100"/>
      <c r="EL124" s="100"/>
      <c r="EM124" s="100"/>
      <c r="EN124" s="100"/>
      <c r="EO124" s="100"/>
      <c r="EP124" s="87"/>
      <c r="EQ124" s="87"/>
      <c r="ER124" s="87"/>
      <c r="ES124" s="87"/>
      <c r="ET124" s="87"/>
      <c r="EU124" s="87"/>
      <c r="EV124" s="87"/>
      <c r="EW124" s="87"/>
      <c r="EX124" s="87"/>
      <c r="EY124" s="87"/>
      <c r="EZ124" s="87"/>
      <c r="FA124" s="87"/>
      <c r="FB124" s="87"/>
      <c r="FC124" s="87"/>
      <c r="FD124" s="87"/>
      <c r="FE124" s="87"/>
      <c r="FF124" s="87"/>
      <c r="FG124" s="87"/>
      <c r="FH124" s="87"/>
      <c r="FI124" s="87"/>
      <c r="FJ124" s="87"/>
      <c r="FK124" s="87"/>
    </row>
    <row r="125" spans="1:167" hidden="1" outlineLevel="1">
      <c r="A125" s="31" t="str">
        <f t="shared" si="19"/>
        <v>cd_imv_out_bensnum</v>
      </c>
      <c r="B125" s="76" t="s">
        <v>28</v>
      </c>
      <c r="C125" s="77" t="s">
        <v>54</v>
      </c>
      <c r="D125" s="73" t="s">
        <v>40</v>
      </c>
      <c r="E125" s="75" t="s">
        <v>92</v>
      </c>
      <c r="F125" s="73" t="s">
        <v>116</v>
      </c>
      <c r="G125" s="73" t="str">
        <f>INDEX(Auxiliar!$B$16:$B$23,MATCH(Plano_V1!H125,Auxiliar!$C$16:$C$23,0),1)</f>
        <v>1. Concluído</v>
      </c>
      <c r="H125" s="73">
        <f>VLOOKUP(A125,'Aux - pivots1'!$A:$B,2,0)</f>
        <v>1</v>
      </c>
      <c r="I125" s="93">
        <f>SUMIFS(Table1[Estimação (horas)],Table1[Tabela],Plano_V1!E125,Table1[Campo],Plano_V1!F125)</f>
        <v>4.0999999999999996</v>
      </c>
      <c r="J125" s="93">
        <f t="shared" si="20"/>
        <v>0.51249999999999996</v>
      </c>
      <c r="K125" s="96" t="s">
        <v>93</v>
      </c>
      <c r="L125" s="99">
        <f t="shared" si="18"/>
        <v>0.51249999999999996</v>
      </c>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100"/>
      <c r="AU125" s="87"/>
      <c r="AV125" s="87"/>
      <c r="AW125" s="87"/>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100"/>
      <c r="EJ125" s="100"/>
      <c r="EK125" s="100"/>
      <c r="EL125" s="100"/>
      <c r="EM125" s="100"/>
      <c r="EN125" s="100"/>
      <c r="EO125" s="100"/>
      <c r="EP125" s="87"/>
      <c r="EQ125" s="87"/>
      <c r="ER125" s="87"/>
      <c r="ES125" s="87"/>
      <c r="ET125" s="87"/>
      <c r="EU125" s="87"/>
      <c r="EV125" s="87"/>
      <c r="EW125" s="87"/>
      <c r="EX125" s="87"/>
      <c r="EY125" s="87"/>
      <c r="EZ125" s="87"/>
      <c r="FA125" s="87"/>
      <c r="FB125" s="87"/>
      <c r="FC125" s="87"/>
      <c r="FD125" s="87"/>
      <c r="FE125" s="87"/>
      <c r="FF125" s="87"/>
      <c r="FG125" s="87"/>
      <c r="FH125" s="87"/>
      <c r="FI125" s="87"/>
      <c r="FJ125" s="87"/>
      <c r="FK125" s="87"/>
    </row>
    <row r="126" spans="1:167" hidden="1" outlineLevel="1">
      <c r="A126" s="31" t="str">
        <f t="shared" si="19"/>
        <v>cd_imv_out_bensorigem</v>
      </c>
      <c r="B126" s="76" t="s">
        <v>28</v>
      </c>
      <c r="C126" s="77" t="s">
        <v>54</v>
      </c>
      <c r="D126" s="73" t="s">
        <v>40</v>
      </c>
      <c r="E126" s="75" t="s">
        <v>92</v>
      </c>
      <c r="F126" s="73" t="s">
        <v>72</v>
      </c>
      <c r="G126" s="73" t="str">
        <f>INDEX(Auxiliar!$B$16:$B$23,MATCH(Plano_V1!H126,Auxiliar!$C$16:$C$23,0),1)</f>
        <v>0. Cancelado</v>
      </c>
      <c r="H126" s="73">
        <f>VLOOKUP(A126,'Aux - pivots1'!$A:$B,2,0)</f>
        <v>0</v>
      </c>
      <c r="I126" s="93">
        <f>SUMIFS(Table1[Estimação (horas)],Table1[Tabela],Plano_V1!E126,Table1[Campo],Plano_V1!F126)</f>
        <v>4.0999999999999996</v>
      </c>
      <c r="J126" s="93">
        <f t="shared" si="20"/>
        <v>0.51249999999999996</v>
      </c>
      <c r="K126" s="96" t="s">
        <v>93</v>
      </c>
      <c r="L126" s="99">
        <f t="shared" si="18"/>
        <v>0.51249999999999996</v>
      </c>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100"/>
      <c r="AU126" s="87"/>
      <c r="AV126" s="87"/>
      <c r="AW126" s="87"/>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100"/>
      <c r="EJ126" s="100"/>
      <c r="EK126" s="100"/>
      <c r="EL126" s="100"/>
      <c r="EM126" s="100"/>
      <c r="EN126" s="100"/>
      <c r="EO126" s="100"/>
      <c r="EP126" s="87"/>
      <c r="EQ126" s="87"/>
      <c r="ER126" s="87"/>
      <c r="ES126" s="87"/>
      <c r="ET126" s="87"/>
      <c r="EU126" s="87"/>
      <c r="EV126" s="87"/>
      <c r="EW126" s="87"/>
      <c r="EX126" s="87"/>
      <c r="EY126" s="87"/>
      <c r="EZ126" s="87"/>
      <c r="FA126" s="87"/>
      <c r="FB126" s="87"/>
      <c r="FC126" s="87"/>
      <c r="FD126" s="87"/>
      <c r="FE126" s="87"/>
      <c r="FF126" s="87"/>
      <c r="FG126" s="87"/>
      <c r="FH126" s="87"/>
      <c r="FI126" s="87"/>
      <c r="FJ126" s="87"/>
      <c r="FK126" s="87"/>
    </row>
    <row r="127" spans="1:167" hidden="1" outlineLevel="1">
      <c r="A127" s="31" t="str">
        <f t="shared" si="19"/>
        <v>cd_imv_out_bensperc_obra</v>
      </c>
      <c r="B127" s="76" t="s">
        <v>28</v>
      </c>
      <c r="C127" s="77" t="s">
        <v>54</v>
      </c>
      <c r="D127" s="73" t="s">
        <v>40</v>
      </c>
      <c r="E127" s="75" t="s">
        <v>92</v>
      </c>
      <c r="F127" s="73" t="s">
        <v>117</v>
      </c>
      <c r="G127" s="73" t="str">
        <f>INDEX(Auxiliar!$B$16:$B$23,MATCH(Plano_V1!H127,Auxiliar!$C$16:$C$23,0),1)</f>
        <v>1. Concluído</v>
      </c>
      <c r="H127" s="73">
        <f>VLOOKUP(A127,'Aux - pivots1'!$A:$B,2,0)</f>
        <v>1</v>
      </c>
      <c r="I127" s="93">
        <f>SUMIFS(Table1[Estimação (horas)],Table1[Tabela],Plano_V1!E127,Table1[Campo],Plano_V1!F127)</f>
        <v>8.1</v>
      </c>
      <c r="J127" s="93">
        <f t="shared" si="20"/>
        <v>1.0125</v>
      </c>
      <c r="K127" s="96" t="s">
        <v>93</v>
      </c>
      <c r="L127" s="99">
        <f t="shared" si="18"/>
        <v>1.0125</v>
      </c>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100"/>
      <c r="AU127" s="87"/>
      <c r="AV127" s="87"/>
      <c r="AW127" s="87"/>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100"/>
      <c r="EJ127" s="100"/>
      <c r="EK127" s="100"/>
      <c r="EL127" s="100"/>
      <c r="EM127" s="100"/>
      <c r="EN127" s="100"/>
      <c r="EO127" s="100"/>
      <c r="EP127" s="87"/>
      <c r="EQ127" s="87"/>
      <c r="ER127" s="87"/>
      <c r="ES127" s="87"/>
      <c r="ET127" s="87"/>
      <c r="EU127" s="87"/>
      <c r="EV127" s="87"/>
      <c r="EW127" s="87"/>
      <c r="EX127" s="87"/>
      <c r="EY127" s="87"/>
      <c r="EZ127" s="87"/>
      <c r="FA127" s="87"/>
      <c r="FB127" s="87"/>
      <c r="FC127" s="87"/>
      <c r="FD127" s="87"/>
      <c r="FE127" s="87"/>
      <c r="FF127" s="87"/>
      <c r="FG127" s="87"/>
      <c r="FH127" s="87"/>
      <c r="FI127" s="87"/>
      <c r="FJ127" s="87"/>
      <c r="FK127" s="87"/>
    </row>
    <row r="128" spans="1:167" hidden="1" outlineLevel="1">
      <c r="A128" s="31" t="str">
        <f t="shared" si="19"/>
        <v>cd_imv_out_bensprealcons</v>
      </c>
      <c r="B128" s="76" t="s">
        <v>28</v>
      </c>
      <c r="C128" s="77" t="s">
        <v>54</v>
      </c>
      <c r="D128" s="73" t="s">
        <v>40</v>
      </c>
      <c r="E128" s="75" t="s">
        <v>92</v>
      </c>
      <c r="F128" s="73" t="s">
        <v>118</v>
      </c>
      <c r="G128" s="73" t="str">
        <f>INDEX(Auxiliar!$B$16:$B$23,MATCH(Plano_V1!H128,Auxiliar!$C$16:$C$23,0),1)</f>
        <v>1. Concluído</v>
      </c>
      <c r="H128" s="73">
        <f>VLOOKUP(A128,'Aux - pivots1'!$A:$B,2,0)</f>
        <v>1</v>
      </c>
      <c r="I128" s="93">
        <f>SUMIFS(Table1[Estimação (horas)],Table1[Tabela],Plano_V1!E128,Table1[Campo],Plano_V1!F128)</f>
        <v>8.1</v>
      </c>
      <c r="J128" s="93">
        <f t="shared" si="20"/>
        <v>1.0125</v>
      </c>
      <c r="K128" s="96" t="s">
        <v>93</v>
      </c>
      <c r="L128" s="99">
        <f t="shared" si="18"/>
        <v>1.0125</v>
      </c>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100"/>
      <c r="AU128" s="87"/>
      <c r="AV128" s="87"/>
      <c r="AW128" s="87"/>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100"/>
      <c r="EJ128" s="100"/>
      <c r="EK128" s="100"/>
      <c r="EL128" s="100"/>
      <c r="EM128" s="100"/>
      <c r="EN128" s="100"/>
      <c r="EO128" s="100"/>
      <c r="EP128" s="87"/>
      <c r="EQ128" s="87"/>
      <c r="ER128" s="87"/>
      <c r="ES128" s="87"/>
      <c r="ET128" s="87"/>
      <c r="EU128" s="87"/>
      <c r="EV128" s="87"/>
      <c r="EW128" s="87"/>
      <c r="EX128" s="87"/>
      <c r="EY128" s="87"/>
      <c r="EZ128" s="87"/>
      <c r="FA128" s="87"/>
      <c r="FB128" s="87"/>
      <c r="FC128" s="87"/>
      <c r="FD128" s="87"/>
      <c r="FE128" s="87"/>
      <c r="FF128" s="87"/>
      <c r="FG128" s="87"/>
      <c r="FH128" s="87"/>
      <c r="FI128" s="87"/>
      <c r="FJ128" s="87"/>
      <c r="FK128" s="87"/>
    </row>
    <row r="129" spans="1:167" hidden="1" outlineLevel="1">
      <c r="A129" s="31" t="str">
        <f t="shared" si="19"/>
        <v>cd_imv_out_bensref_date</v>
      </c>
      <c r="B129" s="76" t="s">
        <v>28</v>
      </c>
      <c r="C129" s="77" t="s">
        <v>54</v>
      </c>
      <c r="D129" s="73" t="s">
        <v>40</v>
      </c>
      <c r="E129" s="75" t="s">
        <v>92</v>
      </c>
      <c r="F129" s="73" t="s">
        <v>73</v>
      </c>
      <c r="G129" s="73" t="str">
        <f>INDEX(Auxiliar!$B$16:$B$23,MATCH(Plano_V1!H129,Auxiliar!$C$16:$C$23,0),1)</f>
        <v>1. Concluído</v>
      </c>
      <c r="H129" s="73">
        <f>VLOOKUP(A129,'Aux - pivots1'!$A:$B,2,0)</f>
        <v>1</v>
      </c>
      <c r="I129" s="93">
        <f>SUMIFS(Table1[Estimação (horas)],Table1[Tabela],Plano_V1!E129,Table1[Campo],Plano_V1!F129)</f>
        <v>4.0999999999999996</v>
      </c>
      <c r="J129" s="93">
        <f t="shared" si="20"/>
        <v>0.51249999999999996</v>
      </c>
      <c r="K129" s="96" t="s">
        <v>93</v>
      </c>
      <c r="L129" s="99">
        <f t="shared" si="18"/>
        <v>0.51249999999999996</v>
      </c>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100"/>
      <c r="AU129" s="87"/>
      <c r="AV129" s="87"/>
      <c r="AW129" s="87"/>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100"/>
      <c r="EJ129" s="100"/>
      <c r="EK129" s="100"/>
      <c r="EL129" s="100"/>
      <c r="EM129" s="100"/>
      <c r="EN129" s="100"/>
      <c r="EO129" s="100"/>
      <c r="EP129" s="87"/>
      <c r="EQ129" s="87"/>
      <c r="ER129" s="87"/>
      <c r="ES129" s="87"/>
      <c r="ET129" s="87"/>
      <c r="EU129" s="87"/>
      <c r="EV129" s="87"/>
      <c r="EW129" s="87"/>
      <c r="EX129" s="87"/>
      <c r="EY129" s="87"/>
      <c r="EZ129" s="87"/>
      <c r="FA129" s="87"/>
      <c r="FB129" s="87"/>
      <c r="FC129" s="87"/>
      <c r="FD129" s="87"/>
      <c r="FE129" s="87"/>
      <c r="FF129" s="87"/>
      <c r="FG129" s="87"/>
      <c r="FH129" s="87"/>
      <c r="FI129" s="87"/>
      <c r="FJ129" s="87"/>
      <c r="FK129" s="87"/>
    </row>
    <row r="130" spans="1:167" hidden="1" outlineLevel="1">
      <c r="A130" s="31" t="str">
        <f t="shared" si="19"/>
        <v>cd_imv_out_bensurbaniz</v>
      </c>
      <c r="B130" s="76" t="s">
        <v>28</v>
      </c>
      <c r="C130" s="77" t="s">
        <v>54</v>
      </c>
      <c r="D130" s="73" t="s">
        <v>40</v>
      </c>
      <c r="E130" s="75" t="s">
        <v>92</v>
      </c>
      <c r="F130" s="73" t="s">
        <v>119</v>
      </c>
      <c r="G130" s="73" t="str">
        <f>INDEX(Auxiliar!$B$16:$B$23,MATCH(Plano_V1!H130,Auxiliar!$C$16:$C$23,0),1)</f>
        <v>1. Concluído</v>
      </c>
      <c r="H130" s="73">
        <f>VLOOKUP(A130,'Aux - pivots1'!$A:$B,2,0)</f>
        <v>1</v>
      </c>
      <c r="I130" s="93">
        <f>SUMIFS(Table1[Estimação (horas)],Table1[Tabela],Plano_V1!E130,Table1[Campo],Plano_V1!F130)</f>
        <v>4.0999999999999996</v>
      </c>
      <c r="J130" s="93">
        <f t="shared" si="20"/>
        <v>0.51249999999999996</v>
      </c>
      <c r="K130" s="96" t="s">
        <v>93</v>
      </c>
      <c r="L130" s="99">
        <f t="shared" si="18"/>
        <v>0.51249999999999996</v>
      </c>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100"/>
      <c r="AU130" s="87"/>
      <c r="AV130" s="87"/>
      <c r="AW130" s="87"/>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100"/>
      <c r="EJ130" s="100"/>
      <c r="EK130" s="100"/>
      <c r="EL130" s="100"/>
      <c r="EM130" s="100"/>
      <c r="EN130" s="100"/>
      <c r="EO130" s="100"/>
      <c r="EP130" s="87"/>
      <c r="EQ130" s="87"/>
      <c r="ER130" s="87"/>
      <c r="ES130" s="87"/>
      <c r="ET130" s="87"/>
      <c r="EU130" s="87"/>
      <c r="EV130" s="87"/>
      <c r="EW130" s="87"/>
      <c r="EX130" s="87"/>
      <c r="EY130" s="87"/>
      <c r="EZ130" s="87"/>
      <c r="FA130" s="87"/>
      <c r="FB130" s="87"/>
      <c r="FC130" s="87"/>
      <c r="FD130" s="87"/>
      <c r="FE130" s="87"/>
      <c r="FF130" s="87"/>
      <c r="FG130" s="87"/>
      <c r="FH130" s="87"/>
      <c r="FI130" s="87"/>
      <c r="FJ130" s="87"/>
      <c r="FK130" s="87"/>
    </row>
    <row r="131" spans="1:167" hidden="1" outlineLevel="1">
      <c r="A131" s="31" t="str">
        <f t="shared" si="19"/>
        <v>cd_imv_out_certifn.a.</v>
      </c>
      <c r="B131" s="76" t="s">
        <v>28</v>
      </c>
      <c r="C131" s="77" t="s">
        <v>54</v>
      </c>
      <c r="D131" s="73" t="s">
        <v>36</v>
      </c>
      <c r="E131" s="75" t="s">
        <v>120</v>
      </c>
      <c r="F131" s="73" t="s">
        <v>38</v>
      </c>
      <c r="G131" s="73" t="str">
        <f>INDEX(Auxiliar!$B$16:$B$23,MATCH(Plano_V1!H131,Auxiliar!$C$16:$C$23,0),1)</f>
        <v>1. Concluído</v>
      </c>
      <c r="H131" s="73">
        <f>VLOOKUP(A131,'Aux - pivots1'!$A:$B,2,0)</f>
        <v>1</v>
      </c>
      <c r="I131" s="93">
        <f>SUMIFS(Table1[Estimação (horas)],Table1[Tabela],Plano_V1!E131,Table1[Campo],Plano_V1!F131)</f>
        <v>8</v>
      </c>
      <c r="J131" s="93">
        <f t="shared" si="20"/>
        <v>1</v>
      </c>
      <c r="K131" s="96" t="s">
        <v>121</v>
      </c>
      <c r="L131" s="99">
        <f t="shared" si="18"/>
        <v>1</v>
      </c>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100"/>
      <c r="AU131" s="87"/>
      <c r="AV131" s="87"/>
      <c r="AW131" s="87"/>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100"/>
      <c r="EJ131" s="100"/>
      <c r="EK131" s="100"/>
      <c r="EL131" s="100"/>
      <c r="EM131" s="100"/>
      <c r="EN131" s="100"/>
      <c r="EO131" s="100"/>
      <c r="EP131" s="87"/>
      <c r="EQ131" s="87"/>
      <c r="ER131" s="87"/>
      <c r="ES131" s="87"/>
      <c r="ET131" s="87"/>
      <c r="EU131" s="87"/>
      <c r="EV131" s="87"/>
      <c r="EW131" s="87"/>
      <c r="EX131" s="87"/>
      <c r="EY131" s="87"/>
      <c r="EZ131" s="87"/>
      <c r="FA131" s="87"/>
      <c r="FB131" s="87"/>
      <c r="FC131" s="87"/>
      <c r="FD131" s="87"/>
      <c r="FE131" s="87"/>
      <c r="FF131" s="87"/>
      <c r="FG131" s="87"/>
      <c r="FH131" s="87"/>
      <c r="FI131" s="87"/>
      <c r="FJ131" s="87"/>
      <c r="FK131" s="87"/>
    </row>
    <row r="132" spans="1:167" hidden="1" outlineLevel="1">
      <c r="A132" s="31" t="str">
        <f t="shared" si="19"/>
        <v>cd_imv_out_certifcempbem</v>
      </c>
      <c r="B132" s="76" t="s">
        <v>28</v>
      </c>
      <c r="C132" s="77" t="s">
        <v>54</v>
      </c>
      <c r="D132" s="73" t="s">
        <v>40</v>
      </c>
      <c r="E132" s="75" t="s">
        <v>120</v>
      </c>
      <c r="F132" s="73" t="s">
        <v>41</v>
      </c>
      <c r="G132" s="73" t="str">
        <f>INDEX(Auxiliar!$B$16:$B$23,MATCH(Plano_V1!H132,Auxiliar!$C$16:$C$23,0),1)</f>
        <v>1. Concluído</v>
      </c>
      <c r="H132" s="73">
        <f>VLOOKUP(A132,'Aux - pivots1'!$A:$B,2,0)</f>
        <v>1</v>
      </c>
      <c r="I132" s="93">
        <f>SUMIFS(Table1[Estimação (horas)],Table1[Tabela],Plano_V1!E132,Table1[Campo],Plano_V1!F132)</f>
        <v>4.0999999999999996</v>
      </c>
      <c r="J132" s="93">
        <f t="shared" si="20"/>
        <v>0.51249999999999996</v>
      </c>
      <c r="K132" s="96" t="s">
        <v>121</v>
      </c>
      <c r="L132" s="99">
        <f t="shared" si="18"/>
        <v>0.51249999999999996</v>
      </c>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100"/>
      <c r="AU132" s="87"/>
      <c r="AV132" s="87"/>
      <c r="AW132" s="87"/>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100"/>
      <c r="EJ132" s="100"/>
      <c r="EK132" s="100"/>
      <c r="EL132" s="100"/>
      <c r="EM132" s="100"/>
      <c r="EN132" s="100"/>
      <c r="EO132" s="100"/>
      <c r="EP132" s="87"/>
      <c r="EQ132" s="87"/>
      <c r="ER132" s="87"/>
      <c r="ES132" s="87"/>
      <c r="ET132" s="87"/>
      <c r="EU132" s="87"/>
      <c r="EV132" s="87"/>
      <c r="EW132" s="87"/>
      <c r="EX132" s="87"/>
      <c r="EY132" s="87"/>
      <c r="EZ132" s="87"/>
      <c r="FA132" s="87"/>
      <c r="FB132" s="87"/>
      <c r="FC132" s="87"/>
      <c r="FD132" s="87"/>
      <c r="FE132" s="87"/>
      <c r="FF132" s="87"/>
      <c r="FG132" s="87"/>
      <c r="FH132" s="87"/>
      <c r="FI132" s="87"/>
      <c r="FJ132" s="87"/>
      <c r="FK132" s="87"/>
    </row>
    <row r="133" spans="1:167" hidden="1" outlineLevel="1">
      <c r="A133" s="31" t="str">
        <f t="shared" si="19"/>
        <v>cd_imv_out_certifckbalbem</v>
      </c>
      <c r="B133" s="76" t="s">
        <v>28</v>
      </c>
      <c r="C133" s="77" t="s">
        <v>54</v>
      </c>
      <c r="D133" s="73" t="s">
        <v>40</v>
      </c>
      <c r="E133" s="75" t="s">
        <v>120</v>
      </c>
      <c r="F133" s="73" t="s">
        <v>43</v>
      </c>
      <c r="G133" s="73" t="str">
        <f>INDEX(Auxiliar!$B$16:$B$23,MATCH(Plano_V1!H133,Auxiliar!$C$16:$C$23,0),1)</f>
        <v>1. Concluído</v>
      </c>
      <c r="H133" s="73">
        <f>VLOOKUP(A133,'Aux - pivots1'!$A:$B,2,0)</f>
        <v>1</v>
      </c>
      <c r="I133" s="93">
        <f>SUMIFS(Table1[Estimação (horas)],Table1[Tabela],Plano_V1!E133,Table1[Campo],Plano_V1!F133)</f>
        <v>4.0999999999999996</v>
      </c>
      <c r="J133" s="93">
        <f t="shared" si="20"/>
        <v>0.51249999999999996</v>
      </c>
      <c r="K133" s="96" t="s">
        <v>121</v>
      </c>
      <c r="L133" s="99">
        <f t="shared" si="18"/>
        <v>0.51249999999999996</v>
      </c>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100"/>
      <c r="AU133" s="87"/>
      <c r="AV133" s="87"/>
      <c r="AW133" s="87"/>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100"/>
      <c r="EJ133" s="100"/>
      <c r="EK133" s="100"/>
      <c r="EL133" s="100"/>
      <c r="EM133" s="100"/>
      <c r="EN133" s="100"/>
      <c r="EO133" s="100"/>
      <c r="EP133" s="87"/>
      <c r="EQ133" s="87"/>
      <c r="ER133" s="87"/>
      <c r="ES133" s="87"/>
      <c r="ET133" s="87"/>
      <c r="EU133" s="87"/>
      <c r="EV133" s="87"/>
      <c r="EW133" s="87"/>
      <c r="EX133" s="87"/>
      <c r="EY133" s="87"/>
      <c r="EZ133" s="87"/>
      <c r="FA133" s="87"/>
      <c r="FB133" s="87"/>
      <c r="FC133" s="87"/>
      <c r="FD133" s="87"/>
      <c r="FE133" s="87"/>
      <c r="FF133" s="87"/>
      <c r="FG133" s="87"/>
      <c r="FH133" s="87"/>
      <c r="FI133" s="87"/>
      <c r="FJ133" s="87"/>
      <c r="FK133" s="87"/>
    </row>
    <row r="134" spans="1:167" hidden="1" outlineLevel="1">
      <c r="A134" s="31" t="str">
        <f t="shared" si="19"/>
        <v>cd_imv_out_certifckctabem</v>
      </c>
      <c r="B134" s="76" t="s">
        <v>28</v>
      </c>
      <c r="C134" s="77" t="s">
        <v>54</v>
      </c>
      <c r="D134" s="73" t="s">
        <v>40</v>
      </c>
      <c r="E134" s="75" t="s">
        <v>120</v>
      </c>
      <c r="F134" s="73" t="s">
        <v>44</v>
      </c>
      <c r="G134" s="73" t="str">
        <f>INDEX(Auxiliar!$B$16:$B$23,MATCH(Plano_V1!H134,Auxiliar!$C$16:$C$23,0),1)</f>
        <v>1. Concluído</v>
      </c>
      <c r="H134" s="73">
        <f>VLOOKUP(A134,'Aux - pivots1'!$A:$B,2,0)</f>
        <v>1</v>
      </c>
      <c r="I134" s="93">
        <f>SUMIFS(Table1[Estimação (horas)],Table1[Tabela],Plano_V1!E134,Table1[Campo],Plano_V1!F134)</f>
        <v>4.0999999999999996</v>
      </c>
      <c r="J134" s="93">
        <f t="shared" si="20"/>
        <v>0.51249999999999996</v>
      </c>
      <c r="K134" s="96" t="s">
        <v>121</v>
      </c>
      <c r="L134" s="99">
        <f t="shared" si="18"/>
        <v>0.51249999999999996</v>
      </c>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100"/>
      <c r="AU134" s="87"/>
      <c r="AV134" s="87"/>
      <c r="AW134" s="87"/>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100"/>
      <c r="EJ134" s="100"/>
      <c r="EK134" s="100"/>
      <c r="EL134" s="100"/>
      <c r="EM134" s="100"/>
      <c r="EN134" s="100"/>
      <c r="EO134" s="100"/>
      <c r="EP134" s="87"/>
      <c r="EQ134" s="87"/>
      <c r="ER134" s="87"/>
      <c r="ES134" s="87"/>
      <c r="ET134" s="87"/>
      <c r="EU134" s="87"/>
      <c r="EV134" s="87"/>
      <c r="EW134" s="87"/>
      <c r="EX134" s="87"/>
      <c r="EY134" s="87"/>
      <c r="EZ134" s="87"/>
      <c r="FA134" s="87"/>
      <c r="FB134" s="87"/>
      <c r="FC134" s="87"/>
      <c r="FD134" s="87"/>
      <c r="FE134" s="87"/>
      <c r="FF134" s="87"/>
      <c r="FG134" s="87"/>
      <c r="FH134" s="87"/>
      <c r="FI134" s="87"/>
      <c r="FJ134" s="87"/>
      <c r="FK134" s="87"/>
    </row>
    <row r="135" spans="1:167" hidden="1" outlineLevel="1">
      <c r="A135" s="31" t="str">
        <f t="shared" si="19"/>
        <v>cd_imv_out_certifckrefbem</v>
      </c>
      <c r="B135" s="76" t="s">
        <v>28</v>
      </c>
      <c r="C135" s="77" t="s">
        <v>54</v>
      </c>
      <c r="D135" s="73" t="s">
        <v>40</v>
      </c>
      <c r="E135" s="75" t="s">
        <v>120</v>
      </c>
      <c r="F135" s="73" t="s">
        <v>45</v>
      </c>
      <c r="G135" s="73" t="str">
        <f>INDEX(Auxiliar!$B$16:$B$23,MATCH(Plano_V1!H135,Auxiliar!$C$16:$C$23,0),1)</f>
        <v>1. Concluído</v>
      </c>
      <c r="H135" s="73">
        <f>VLOOKUP(A135,'Aux - pivots1'!$A:$B,2,0)</f>
        <v>1</v>
      </c>
      <c r="I135" s="93">
        <f>SUMIFS(Table1[Estimação (horas)],Table1[Tabela],Plano_V1!E135,Table1[Campo],Plano_V1!F135)</f>
        <v>4.0999999999999996</v>
      </c>
      <c r="J135" s="93">
        <f t="shared" si="20"/>
        <v>0.51249999999999996</v>
      </c>
      <c r="K135" s="96" t="s">
        <v>121</v>
      </c>
      <c r="L135" s="99">
        <f t="shared" si="18"/>
        <v>0.51249999999999996</v>
      </c>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100"/>
      <c r="AU135" s="87"/>
      <c r="AV135" s="87"/>
      <c r="AW135" s="87"/>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100"/>
      <c r="EJ135" s="100"/>
      <c r="EK135" s="100"/>
      <c r="EL135" s="100"/>
      <c r="EM135" s="100"/>
      <c r="EN135" s="100"/>
      <c r="EO135" s="100"/>
      <c r="EP135" s="87"/>
      <c r="EQ135" s="87"/>
      <c r="ER135" s="87"/>
      <c r="ES135" s="87"/>
      <c r="ET135" s="87"/>
      <c r="EU135" s="87"/>
      <c r="EV135" s="87"/>
      <c r="EW135" s="87"/>
      <c r="EX135" s="87"/>
      <c r="EY135" s="87"/>
      <c r="EZ135" s="87"/>
      <c r="FA135" s="87"/>
      <c r="FB135" s="87"/>
      <c r="FC135" s="87"/>
      <c r="FD135" s="87"/>
      <c r="FE135" s="87"/>
      <c r="FF135" s="87"/>
      <c r="FG135" s="87"/>
      <c r="FH135" s="87"/>
      <c r="FI135" s="87"/>
      <c r="FJ135" s="87"/>
      <c r="FK135" s="87"/>
    </row>
    <row r="136" spans="1:167" hidden="1" outlineLevel="1">
      <c r="A136" s="31" t="str">
        <f t="shared" si="19"/>
        <v>cd_imv_out_certifcod_cnsrvtr_rgst_prdl</v>
      </c>
      <c r="B136" s="76" t="s">
        <v>28</v>
      </c>
      <c r="C136" s="77" t="s">
        <v>54</v>
      </c>
      <c r="D136" s="73" t="s">
        <v>40</v>
      </c>
      <c r="E136" s="75" t="s">
        <v>120</v>
      </c>
      <c r="F136" s="73" t="s">
        <v>122</v>
      </c>
      <c r="G136" s="73" t="str">
        <f>INDEX(Auxiliar!$B$16:$B$23,MATCH(Plano_V1!H136,Auxiliar!$C$16:$C$23,0),1)</f>
        <v>6. Em implementação (re-especificação)</v>
      </c>
      <c r="H136" s="73">
        <f>VLOOKUP(A136,'Aux - pivots1'!$A:$B,2,0)</f>
        <v>6</v>
      </c>
      <c r="I136" s="93">
        <f>SUMIFS(Table1[Estimação (horas)],Table1[Tabela],Plano_V1!E136,Table1[Campo],Plano_V1!F136)</f>
        <v>4.0999999999999996</v>
      </c>
      <c r="J136" s="93">
        <f t="shared" si="20"/>
        <v>0.51249999999999996</v>
      </c>
      <c r="K136" s="96" t="s">
        <v>121</v>
      </c>
      <c r="L136" s="99">
        <f t="shared" si="18"/>
        <v>0.51249999999999996</v>
      </c>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100"/>
      <c r="AU136" s="87"/>
      <c r="AV136" s="87"/>
      <c r="AW136" s="87"/>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100"/>
      <c r="EJ136" s="100"/>
      <c r="EK136" s="100"/>
      <c r="EL136" s="100"/>
      <c r="EM136" s="100"/>
      <c r="EN136" s="100"/>
      <c r="EO136" s="100"/>
      <c r="EP136" s="87"/>
      <c r="EQ136" s="87"/>
      <c r="ER136" s="87"/>
      <c r="ES136" s="87"/>
      <c r="ET136" s="87"/>
      <c r="EU136" s="87"/>
      <c r="EV136" s="87"/>
      <c r="EW136" s="87"/>
      <c r="EX136" s="87"/>
      <c r="EY136" s="87"/>
      <c r="EZ136" s="87"/>
      <c r="FA136" s="87"/>
      <c r="FB136" s="87"/>
      <c r="FC136" s="87"/>
      <c r="FD136" s="87"/>
      <c r="FE136" s="87"/>
      <c r="FF136" s="87"/>
      <c r="FG136" s="87"/>
      <c r="FH136" s="87"/>
      <c r="FI136" s="87"/>
      <c r="FJ136" s="87"/>
      <c r="FK136" s="87"/>
    </row>
    <row r="137" spans="1:167" hidden="1" outlineLevel="1">
      <c r="A137" s="31" t="str">
        <f t="shared" si="19"/>
        <v>cd_imv_out_certifcod_inscrc</v>
      </c>
      <c r="B137" s="76" t="s">
        <v>28</v>
      </c>
      <c r="C137" s="77" t="s">
        <v>54</v>
      </c>
      <c r="D137" s="73" t="s">
        <v>40</v>
      </c>
      <c r="E137" s="75" t="s">
        <v>120</v>
      </c>
      <c r="F137" s="73" t="s">
        <v>123</v>
      </c>
      <c r="G137" s="73" t="str">
        <f>INDEX(Auxiliar!$B$16:$B$23,MATCH(Plano_V1!H137,Auxiliar!$C$16:$C$23,0),1)</f>
        <v>6. Em implementação (re-especificação)</v>
      </c>
      <c r="H137" s="73">
        <f>VLOOKUP(A137,'Aux - pivots1'!$A:$B,2,0)</f>
        <v>6</v>
      </c>
      <c r="I137" s="93">
        <f>SUMIFS(Table1[Estimação (horas)],Table1[Tabela],Plano_V1!E137,Table1[Campo],Plano_V1!F137)</f>
        <v>4.0999999999999996</v>
      </c>
      <c r="J137" s="93">
        <f t="shared" si="20"/>
        <v>0.51249999999999996</v>
      </c>
      <c r="K137" s="96" t="s">
        <v>121</v>
      </c>
      <c r="L137" s="99">
        <f t="shared" si="18"/>
        <v>0.51249999999999996</v>
      </c>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100"/>
      <c r="AU137" s="87"/>
      <c r="AV137" s="87"/>
      <c r="AW137" s="87"/>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100"/>
      <c r="EJ137" s="100"/>
      <c r="EK137" s="100"/>
      <c r="EL137" s="100"/>
      <c r="EM137" s="100"/>
      <c r="EN137" s="100"/>
      <c r="EO137" s="100"/>
      <c r="EP137" s="87"/>
      <c r="EQ137" s="87"/>
      <c r="ER137" s="87"/>
      <c r="ES137" s="87"/>
      <c r="ET137" s="87"/>
      <c r="EU137" s="87"/>
      <c r="EV137" s="87"/>
      <c r="EW137" s="87"/>
      <c r="EX137" s="87"/>
      <c r="EY137" s="87"/>
      <c r="EZ137" s="87"/>
      <c r="FA137" s="87"/>
      <c r="FB137" s="87"/>
      <c r="FC137" s="87"/>
      <c r="FD137" s="87"/>
      <c r="FE137" s="87"/>
      <c r="FF137" s="87"/>
      <c r="FG137" s="87"/>
      <c r="FH137" s="87"/>
      <c r="FI137" s="87"/>
      <c r="FJ137" s="87"/>
      <c r="FK137" s="87"/>
    </row>
    <row r="138" spans="1:167" hidden="1" outlineLevel="1">
      <c r="A138" s="31" t="str">
        <f t="shared" si="19"/>
        <v>cd_imv_out_certifcod_sce</v>
      </c>
      <c r="B138" s="76" t="s">
        <v>28</v>
      </c>
      <c r="C138" s="77" t="s">
        <v>54</v>
      </c>
      <c r="D138" s="73" t="s">
        <v>40</v>
      </c>
      <c r="E138" s="75" t="s">
        <v>120</v>
      </c>
      <c r="F138" s="73" t="s">
        <v>124</v>
      </c>
      <c r="G138" s="73" t="str">
        <f>INDEX(Auxiliar!$B$16:$B$23,MATCH(Plano_V1!H138,Auxiliar!$C$16:$C$23,0),1)</f>
        <v>6. Em implementação (re-especificação)</v>
      </c>
      <c r="H138" s="73">
        <f>VLOOKUP(A138,'Aux - pivots1'!$A:$B,2,0)</f>
        <v>6</v>
      </c>
      <c r="I138" s="93">
        <f>SUMIFS(Table1[Estimação (horas)],Table1[Tabela],Plano_V1!E138,Table1[Campo],Plano_V1!F138)</f>
        <v>4.0999999999999996</v>
      </c>
      <c r="J138" s="93">
        <f t="shared" si="20"/>
        <v>0.51249999999999996</v>
      </c>
      <c r="K138" s="96" t="s">
        <v>121</v>
      </c>
      <c r="L138" s="99">
        <f t="shared" si="18"/>
        <v>0.51249999999999996</v>
      </c>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100"/>
      <c r="AU138" s="87"/>
      <c r="AV138" s="87"/>
      <c r="AW138" s="87"/>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100"/>
      <c r="EJ138" s="100"/>
      <c r="EK138" s="100"/>
      <c r="EL138" s="100"/>
      <c r="EM138" s="100"/>
      <c r="EN138" s="100"/>
      <c r="EO138" s="100"/>
      <c r="EP138" s="87"/>
      <c r="EQ138" s="87"/>
      <c r="ER138" s="87"/>
      <c r="ES138" s="87"/>
      <c r="ET138" s="87"/>
      <c r="EU138" s="87"/>
      <c r="EV138" s="87"/>
      <c r="EW138" s="87"/>
      <c r="EX138" s="87"/>
      <c r="EY138" s="87"/>
      <c r="EZ138" s="87"/>
      <c r="FA138" s="87"/>
      <c r="FB138" s="87"/>
      <c r="FC138" s="87"/>
      <c r="FD138" s="87"/>
      <c r="FE138" s="87"/>
      <c r="FF138" s="87"/>
      <c r="FG138" s="87"/>
      <c r="FH138" s="87"/>
      <c r="FI138" s="87"/>
      <c r="FJ138" s="87"/>
      <c r="FK138" s="87"/>
    </row>
    <row r="139" spans="1:167" hidden="1" outlineLevel="1">
      <c r="A139" s="31" t="str">
        <f t="shared" si="19"/>
        <v>cd_imv_out_certifdata_epc</v>
      </c>
      <c r="B139" s="76" t="s">
        <v>28</v>
      </c>
      <c r="C139" s="77" t="s">
        <v>54</v>
      </c>
      <c r="D139" s="73" t="s">
        <v>40</v>
      </c>
      <c r="E139" s="75" t="s">
        <v>120</v>
      </c>
      <c r="F139" s="73" t="s">
        <v>125</v>
      </c>
      <c r="G139" s="73" t="str">
        <f>INDEX(Auxiliar!$B$16:$B$23,MATCH(Plano_V1!H139,Auxiliar!$C$16:$C$23,0),1)</f>
        <v>6. Em implementação (re-especificação)</v>
      </c>
      <c r="H139" s="73">
        <f>VLOOKUP(A139,'Aux - pivots1'!$A:$B,2,0)</f>
        <v>6</v>
      </c>
      <c r="I139" s="93">
        <f>SUMIFS(Table1[Estimação (horas)],Table1[Tabela],Plano_V1!E139,Table1[Campo],Plano_V1!F139)</f>
        <v>4.0999999999999996</v>
      </c>
      <c r="J139" s="93">
        <f t="shared" si="20"/>
        <v>0.51249999999999996</v>
      </c>
      <c r="K139" s="96" t="s">
        <v>121</v>
      </c>
      <c r="L139" s="99">
        <f t="shared" si="18"/>
        <v>0.51249999999999996</v>
      </c>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100"/>
      <c r="AU139" s="87"/>
      <c r="AV139" s="87"/>
      <c r="AW139" s="87"/>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100"/>
      <c r="EJ139" s="100"/>
      <c r="EK139" s="100"/>
      <c r="EL139" s="100"/>
      <c r="EM139" s="100"/>
      <c r="EN139" s="100"/>
      <c r="EO139" s="100"/>
      <c r="EP139" s="87"/>
      <c r="EQ139" s="87"/>
      <c r="ER139" s="87"/>
      <c r="ES139" s="87"/>
      <c r="ET139" s="87"/>
      <c r="EU139" s="87"/>
      <c r="EV139" s="87"/>
      <c r="EW139" s="87"/>
      <c r="EX139" s="87"/>
      <c r="EY139" s="87"/>
      <c r="EZ139" s="87"/>
      <c r="FA139" s="87"/>
      <c r="FB139" s="87"/>
      <c r="FC139" s="87"/>
      <c r="FD139" s="87"/>
      <c r="FE139" s="87"/>
      <c r="FF139" s="87"/>
      <c r="FG139" s="87"/>
      <c r="FH139" s="87"/>
      <c r="FI139" s="87"/>
      <c r="FJ139" s="87"/>
      <c r="FK139" s="87"/>
    </row>
    <row r="140" spans="1:167" hidden="1" outlineLevel="1">
      <c r="A140" s="31" t="str">
        <f t="shared" si="19"/>
        <v>cd_imv_out_certifdata_exprc_epc</v>
      </c>
      <c r="B140" s="76" t="s">
        <v>28</v>
      </c>
      <c r="C140" s="77" t="s">
        <v>54</v>
      </c>
      <c r="D140" s="73" t="s">
        <v>40</v>
      </c>
      <c r="E140" s="75" t="s">
        <v>120</v>
      </c>
      <c r="F140" s="73" t="s">
        <v>126</v>
      </c>
      <c r="G140" s="73" t="str">
        <f>INDEX(Auxiliar!$B$16:$B$23,MATCH(Plano_V1!H140,Auxiliar!$C$16:$C$23,0),1)</f>
        <v>6. Em implementação (re-especificação)</v>
      </c>
      <c r="H140" s="73">
        <f>VLOOKUP(A140,'Aux - pivots1'!$A:$B,2,0)</f>
        <v>6</v>
      </c>
      <c r="I140" s="93">
        <f>SUMIFS(Table1[Estimação (horas)],Table1[Tabela],Plano_V1!E140,Table1[Campo],Plano_V1!F140)</f>
        <v>4.0999999999999996</v>
      </c>
      <c r="J140" s="93">
        <f t="shared" si="20"/>
        <v>0.51249999999999996</v>
      </c>
      <c r="K140" s="96" t="s">
        <v>121</v>
      </c>
      <c r="L140" s="99">
        <f t="shared" si="18"/>
        <v>0.51249999999999996</v>
      </c>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100"/>
      <c r="AU140" s="87"/>
      <c r="AV140" s="87"/>
      <c r="AW140" s="87"/>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100"/>
      <c r="EJ140" s="100"/>
      <c r="EK140" s="100"/>
      <c r="EL140" s="100"/>
      <c r="EM140" s="100"/>
      <c r="EN140" s="100"/>
      <c r="EO140" s="100"/>
      <c r="EP140" s="87"/>
      <c r="EQ140" s="87"/>
      <c r="ER140" s="87"/>
      <c r="ES140" s="87"/>
      <c r="ET140" s="87"/>
      <c r="EU140" s="87"/>
      <c r="EV140" s="87"/>
      <c r="EW140" s="87"/>
      <c r="EX140" s="87"/>
      <c r="EY140" s="87"/>
      <c r="EZ140" s="87"/>
      <c r="FA140" s="87"/>
      <c r="FB140" s="87"/>
      <c r="FC140" s="87"/>
      <c r="FD140" s="87"/>
      <c r="FE140" s="87"/>
      <c r="FF140" s="87"/>
      <c r="FG140" s="87"/>
      <c r="FH140" s="87"/>
      <c r="FI140" s="87"/>
      <c r="FJ140" s="87"/>
      <c r="FK140" s="87"/>
    </row>
    <row r="141" spans="1:167" hidden="1" outlineLevel="1">
      <c r="A141" s="31" t="str">
        <f t="shared" si="19"/>
        <v>cd_imv_out_certifepc</v>
      </c>
      <c r="B141" s="76" t="s">
        <v>28</v>
      </c>
      <c r="C141" s="77" t="s">
        <v>54</v>
      </c>
      <c r="D141" s="73" t="s">
        <v>40</v>
      </c>
      <c r="E141" s="75" t="s">
        <v>120</v>
      </c>
      <c r="F141" s="73" t="s">
        <v>47</v>
      </c>
      <c r="G141" s="73" t="str">
        <f>INDEX(Auxiliar!$B$16:$B$23,MATCH(Plano_V1!H141,Auxiliar!$C$16:$C$23,0),1)</f>
        <v>6. Em implementação (re-especificação)</v>
      </c>
      <c r="H141" s="73">
        <f>VLOOKUP(A141,'Aux - pivots1'!$A:$B,2,0)</f>
        <v>6</v>
      </c>
      <c r="I141" s="93">
        <f>SUMIFS(Table1[Estimação (horas)],Table1[Tabela],Plano_V1!E141,Table1[Campo],Plano_V1!F141)</f>
        <v>4.0999999999999996</v>
      </c>
      <c r="J141" s="93">
        <f t="shared" si="20"/>
        <v>0.51249999999999996</v>
      </c>
      <c r="K141" s="96" t="s">
        <v>121</v>
      </c>
      <c r="L141" s="99">
        <f t="shared" si="18"/>
        <v>0.51249999999999996</v>
      </c>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100"/>
      <c r="AU141" s="87"/>
      <c r="AV141" s="87"/>
      <c r="AW141" s="87"/>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100"/>
      <c r="EJ141" s="100"/>
      <c r="EK141" s="100"/>
      <c r="EL141" s="100"/>
      <c r="EM141" s="100"/>
      <c r="EN141" s="100"/>
      <c r="EO141" s="100"/>
      <c r="EP141" s="87"/>
      <c r="EQ141" s="87"/>
      <c r="ER141" s="87"/>
      <c r="ES141" s="87"/>
      <c r="ET141" s="87"/>
      <c r="EU141" s="87"/>
      <c r="EV141" s="87"/>
      <c r="EW141" s="87"/>
      <c r="EX141" s="87"/>
      <c r="EY141" s="87"/>
      <c r="EZ141" s="87"/>
      <c r="FA141" s="87"/>
      <c r="FB141" s="87"/>
      <c r="FC141" s="87"/>
      <c r="FD141" s="87"/>
      <c r="FE141" s="87"/>
      <c r="FF141" s="87"/>
      <c r="FG141" s="87"/>
      <c r="FH141" s="87"/>
      <c r="FI141" s="87"/>
      <c r="FJ141" s="87"/>
      <c r="FK141" s="87"/>
    </row>
    <row r="142" spans="1:167" hidden="1" outlineLevel="1">
      <c r="A142" s="31" t="str">
        <f t="shared" si="19"/>
        <v>cd_imv_out_certifflg_efcc_enrg_cnsm_tp_s</v>
      </c>
      <c r="B142" s="76" t="s">
        <v>28</v>
      </c>
      <c r="C142" s="77" t="s">
        <v>54</v>
      </c>
      <c r="D142" s="73" t="s">
        <v>40</v>
      </c>
      <c r="E142" s="75" t="s">
        <v>120</v>
      </c>
      <c r="F142" s="73" t="s">
        <v>127</v>
      </c>
      <c r="G142" s="73" t="str">
        <f>INDEX(Auxiliar!$B$16:$B$23,MATCH(Plano_V1!H142,Auxiliar!$C$16:$C$23,0),1)</f>
        <v>1. Concluído</v>
      </c>
      <c r="H142" s="73">
        <f>VLOOKUP(A142,'Aux - pivots1'!$A:$B,2,0)</f>
        <v>1</v>
      </c>
      <c r="I142" s="93">
        <f>SUMIFS(Table1[Estimação (horas)],Table1[Tabela],Plano_V1!E142,Table1[Campo],Plano_V1!F142)</f>
        <v>4.0999999999999996</v>
      </c>
      <c r="J142" s="93">
        <f t="shared" si="20"/>
        <v>0.51249999999999996</v>
      </c>
      <c r="K142" s="96" t="s">
        <v>121</v>
      </c>
      <c r="L142" s="99">
        <f t="shared" si="18"/>
        <v>0.51249999999999996</v>
      </c>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100"/>
      <c r="AU142" s="87"/>
      <c r="AV142" s="87"/>
      <c r="AW142" s="87"/>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100"/>
      <c r="EJ142" s="100"/>
      <c r="EK142" s="100"/>
      <c r="EL142" s="100"/>
      <c r="EM142" s="100"/>
      <c r="EN142" s="100"/>
      <c r="EO142" s="100"/>
      <c r="EP142" s="87"/>
      <c r="EQ142" s="87"/>
      <c r="ER142" s="87"/>
      <c r="ES142" s="87"/>
      <c r="ET142" s="87"/>
      <c r="EU142" s="87"/>
      <c r="EV142" s="87"/>
      <c r="EW142" s="87"/>
      <c r="EX142" s="87"/>
      <c r="EY142" s="87"/>
      <c r="EZ142" s="87"/>
      <c r="FA142" s="87"/>
      <c r="FB142" s="87"/>
      <c r="FC142" s="87"/>
      <c r="FD142" s="87"/>
      <c r="FE142" s="87"/>
      <c r="FF142" s="87"/>
      <c r="FG142" s="87"/>
      <c r="FH142" s="87"/>
      <c r="FI142" s="87"/>
      <c r="FJ142" s="87"/>
      <c r="FK142" s="87"/>
    </row>
    <row r="143" spans="1:167" hidden="1" outlineLevel="1">
      <c r="A143" s="31" t="str">
        <f t="shared" si="19"/>
        <v>cd_imv_out_certifflg_efcnc_enrg_cnsm_tp_t</v>
      </c>
      <c r="B143" s="76" t="s">
        <v>28</v>
      </c>
      <c r="C143" s="77" t="s">
        <v>54</v>
      </c>
      <c r="D143" s="73" t="s">
        <v>40</v>
      </c>
      <c r="E143" s="75" t="s">
        <v>120</v>
      </c>
      <c r="F143" s="73" t="s">
        <v>128</v>
      </c>
      <c r="G143" s="73" t="str">
        <f>INDEX(Auxiliar!$B$16:$B$23,MATCH(Plano_V1!H143,Auxiliar!$C$16:$C$23,0),1)</f>
        <v>1. Concluído</v>
      </c>
      <c r="H143" s="73">
        <f>VLOOKUP(A143,'Aux - pivots1'!$A:$B,2,0)</f>
        <v>1</v>
      </c>
      <c r="I143" s="93">
        <f>SUMIFS(Table1[Estimação (horas)],Table1[Tabela],Plano_V1!E143,Table1[Campo],Plano_V1!F143)</f>
        <v>4.0999999999999996</v>
      </c>
      <c r="J143" s="93">
        <f t="shared" si="20"/>
        <v>0.51249999999999996</v>
      </c>
      <c r="K143" s="96" t="s">
        <v>121</v>
      </c>
      <c r="L143" s="99">
        <f t="shared" si="18"/>
        <v>0.51249999999999996</v>
      </c>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100"/>
      <c r="AU143" s="87"/>
      <c r="AV143" s="87"/>
      <c r="AW143" s="87"/>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100"/>
      <c r="EJ143" s="100"/>
      <c r="EK143" s="100"/>
      <c r="EL143" s="100"/>
      <c r="EM143" s="100"/>
      <c r="EN143" s="100"/>
      <c r="EO143" s="100"/>
      <c r="EP143" s="87"/>
      <c r="EQ143" s="87"/>
      <c r="ER143" s="87"/>
      <c r="ES143" s="87"/>
      <c r="ET143" s="87"/>
      <c r="EU143" s="87"/>
      <c r="EV143" s="87"/>
      <c r="EW143" s="87"/>
      <c r="EX143" s="87"/>
      <c r="EY143" s="87"/>
      <c r="EZ143" s="87"/>
      <c r="FA143" s="87"/>
      <c r="FB143" s="87"/>
      <c r="FC143" s="87"/>
      <c r="FD143" s="87"/>
      <c r="FE143" s="87"/>
      <c r="FF143" s="87"/>
      <c r="FG143" s="87"/>
      <c r="FH143" s="87"/>
      <c r="FI143" s="87"/>
      <c r="FJ143" s="87"/>
      <c r="FK143" s="87"/>
    </row>
    <row r="144" spans="1:167" hidden="1" outlineLevel="1">
      <c r="A144" s="31" t="str">
        <f t="shared" si="19"/>
        <v>cd_imv_out_certifflg_efcnc_enrgtc</v>
      </c>
      <c r="B144" s="76" t="s">
        <v>28</v>
      </c>
      <c r="C144" s="77" t="s">
        <v>54</v>
      </c>
      <c r="D144" s="73" t="s">
        <v>40</v>
      </c>
      <c r="E144" s="75" t="s">
        <v>120</v>
      </c>
      <c r="F144" s="73" t="s">
        <v>129</v>
      </c>
      <c r="G144" s="73" t="str">
        <f>INDEX(Auxiliar!$B$16:$B$23,MATCH(Plano_V1!H144,Auxiliar!$C$16:$C$23,0),1)</f>
        <v>6. Em implementação (re-especificação)</v>
      </c>
      <c r="H144" s="73">
        <f>VLOOKUP(A144,'Aux - pivots1'!$A:$B,2,0)</f>
        <v>6</v>
      </c>
      <c r="I144" s="93">
        <f>SUMIFS(Table1[Estimação (horas)],Table1[Tabela],Plano_V1!E144,Table1[Campo],Plano_V1!F144)</f>
        <v>4.0999999999999996</v>
      </c>
      <c r="J144" s="93">
        <f t="shared" si="20"/>
        <v>0.51249999999999996</v>
      </c>
      <c r="K144" s="96" t="s">
        <v>121</v>
      </c>
      <c r="L144" s="99">
        <f t="shared" si="18"/>
        <v>0.51249999999999996</v>
      </c>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100"/>
      <c r="AU144" s="87"/>
      <c r="AV144" s="87"/>
      <c r="AW144" s="87"/>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100"/>
      <c r="EJ144" s="100"/>
      <c r="EK144" s="100"/>
      <c r="EL144" s="100"/>
      <c r="EM144" s="100"/>
      <c r="EN144" s="100"/>
      <c r="EO144" s="100"/>
      <c r="EP144" s="87"/>
      <c r="EQ144" s="87"/>
      <c r="ER144" s="87"/>
      <c r="ES144" s="87"/>
      <c r="ET144" s="87"/>
      <c r="EU144" s="87"/>
      <c r="EV144" s="87"/>
      <c r="EW144" s="87"/>
      <c r="EX144" s="87"/>
      <c r="EY144" s="87"/>
      <c r="EZ144" s="87"/>
      <c r="FA144" s="87"/>
      <c r="FB144" s="87"/>
      <c r="FC144" s="87"/>
      <c r="FD144" s="87"/>
      <c r="FE144" s="87"/>
      <c r="FF144" s="87"/>
      <c r="FG144" s="87"/>
      <c r="FH144" s="87"/>
      <c r="FI144" s="87"/>
      <c r="FJ144" s="87"/>
      <c r="FK144" s="87"/>
    </row>
    <row r="145" spans="1:167" hidden="1" outlineLevel="1">
      <c r="A145" s="31" t="str">
        <f t="shared" si="19"/>
        <v>cd_imv_out_certifflg_efcnc_enrgtc_rnvv</v>
      </c>
      <c r="B145" s="76" t="s">
        <v>28</v>
      </c>
      <c r="C145" s="77" t="s">
        <v>54</v>
      </c>
      <c r="D145" s="73" t="s">
        <v>40</v>
      </c>
      <c r="E145" s="75" t="s">
        <v>120</v>
      </c>
      <c r="F145" s="73" t="s">
        <v>130</v>
      </c>
      <c r="G145" s="73" t="str">
        <f>INDEX(Auxiliar!$B$16:$B$23,MATCH(Plano_V1!H145,Auxiliar!$C$16:$C$23,0),1)</f>
        <v>1. Concluído</v>
      </c>
      <c r="H145" s="73">
        <f>VLOOKUP(A145,'Aux - pivots1'!$A:$B,2,0)</f>
        <v>1</v>
      </c>
      <c r="I145" s="93">
        <f>SUMIFS(Table1[Estimação (horas)],Table1[Tabela],Plano_V1!E145,Table1[Campo],Plano_V1!F145)</f>
        <v>4.0999999999999996</v>
      </c>
      <c r="J145" s="93">
        <f t="shared" si="20"/>
        <v>0.51249999999999996</v>
      </c>
      <c r="K145" s="96" t="s">
        <v>121</v>
      </c>
      <c r="L145" s="99">
        <f t="shared" si="18"/>
        <v>0.51249999999999996</v>
      </c>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100"/>
      <c r="AU145" s="87"/>
      <c r="AV145" s="87"/>
      <c r="AW145" s="87"/>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100"/>
      <c r="EJ145" s="100"/>
      <c r="EK145" s="100"/>
      <c r="EL145" s="100"/>
      <c r="EM145" s="100"/>
      <c r="EN145" s="100"/>
      <c r="EO145" s="100"/>
      <c r="EP145" s="87"/>
      <c r="EQ145" s="87"/>
      <c r="ER145" s="87"/>
      <c r="ES145" s="87"/>
      <c r="ET145" s="87"/>
      <c r="EU145" s="87"/>
      <c r="EV145" s="87"/>
      <c r="EW145" s="87"/>
      <c r="EX145" s="87"/>
      <c r="EY145" s="87"/>
      <c r="EZ145" s="87"/>
      <c r="FA145" s="87"/>
      <c r="FB145" s="87"/>
      <c r="FC145" s="87"/>
      <c r="FD145" s="87"/>
      <c r="FE145" s="87"/>
      <c r="FF145" s="87"/>
      <c r="FG145" s="87"/>
      <c r="FH145" s="87"/>
      <c r="FI145" s="87"/>
      <c r="FJ145" s="87"/>
      <c r="FK145" s="87"/>
    </row>
    <row r="146" spans="1:167" hidden="1" outlineLevel="1">
      <c r="A146" s="31" t="str">
        <f t="shared" si="19"/>
        <v>cd_imv_out_certifflg_nzeb</v>
      </c>
      <c r="B146" s="76" t="s">
        <v>28</v>
      </c>
      <c r="C146" s="77" t="s">
        <v>54</v>
      </c>
      <c r="D146" s="73" t="s">
        <v>40</v>
      </c>
      <c r="E146" s="75" t="s">
        <v>120</v>
      </c>
      <c r="F146" s="73" t="s">
        <v>131</v>
      </c>
      <c r="G146" s="73" t="str">
        <f>INDEX(Auxiliar!$B$16:$B$23,MATCH(Plano_V1!H146,Auxiliar!$C$16:$C$23,0),1)</f>
        <v>6. Em implementação (re-especificação)</v>
      </c>
      <c r="H146" s="73">
        <f>VLOOKUP(A146,'Aux - pivots1'!$A:$B,2,0)</f>
        <v>6</v>
      </c>
      <c r="I146" s="93">
        <f>SUMIFS(Table1[Estimação (horas)],Table1[Tabela],Plano_V1!E146,Table1[Campo],Plano_V1!F146)</f>
        <v>4.0999999999999996</v>
      </c>
      <c r="J146" s="93">
        <f t="shared" si="20"/>
        <v>0.51249999999999996</v>
      </c>
      <c r="K146" s="96" t="s">
        <v>121</v>
      </c>
      <c r="L146" s="99">
        <f t="shared" si="18"/>
        <v>0.51249999999999996</v>
      </c>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100"/>
      <c r="AU146" s="87"/>
      <c r="AV146" s="87"/>
      <c r="AW146" s="87"/>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100"/>
      <c r="EJ146" s="100"/>
      <c r="EK146" s="100"/>
      <c r="EL146" s="100"/>
      <c r="EM146" s="100"/>
      <c r="EN146" s="100"/>
      <c r="EO146" s="100"/>
      <c r="EP146" s="87"/>
      <c r="EQ146" s="87"/>
      <c r="ER146" s="87"/>
      <c r="ES146" s="87"/>
      <c r="ET146" s="87"/>
      <c r="EU146" s="87"/>
      <c r="EV146" s="87"/>
      <c r="EW146" s="87"/>
      <c r="EX146" s="87"/>
      <c r="EY146" s="87"/>
      <c r="EZ146" s="87"/>
      <c r="FA146" s="87"/>
      <c r="FB146" s="87"/>
      <c r="FC146" s="87"/>
      <c r="FD146" s="87"/>
      <c r="FE146" s="87"/>
      <c r="FF146" s="87"/>
      <c r="FG146" s="87"/>
      <c r="FH146" s="87"/>
      <c r="FI146" s="87"/>
      <c r="FJ146" s="87"/>
      <c r="FK146" s="87"/>
    </row>
    <row r="147" spans="1:167" hidden="1" outlineLevel="1">
      <c r="A147" s="31" t="str">
        <f t="shared" si="19"/>
        <v>cd_imv_out_certifmetodo_info</v>
      </c>
      <c r="B147" s="76" t="s">
        <v>28</v>
      </c>
      <c r="C147" s="77" t="s">
        <v>54</v>
      </c>
      <c r="D147" s="73" t="s">
        <v>40</v>
      </c>
      <c r="E147" s="75" t="s">
        <v>120</v>
      </c>
      <c r="F147" s="73" t="s">
        <v>49</v>
      </c>
      <c r="G147" s="73" t="str">
        <f>INDEX(Auxiliar!$B$16:$B$23,MATCH(Plano_V1!H147,Auxiliar!$C$16:$C$23,0),1)</f>
        <v>6. Em implementação (re-especificação)</v>
      </c>
      <c r="H147" s="73">
        <f>VLOOKUP(A147,'Aux - pivots1'!$A:$B,2,0)</f>
        <v>6</v>
      </c>
      <c r="I147" s="93">
        <f>SUMIFS(Table1[Estimação (horas)],Table1[Tabela],Plano_V1!E147,Table1[Campo],Plano_V1!F147)</f>
        <v>4.0999999999999996</v>
      </c>
      <c r="J147" s="93">
        <f t="shared" si="20"/>
        <v>0.51249999999999996</v>
      </c>
      <c r="K147" s="96" t="s">
        <v>121</v>
      </c>
      <c r="L147" s="99">
        <f t="shared" si="18"/>
        <v>0.51249999999999996</v>
      </c>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100"/>
      <c r="AU147" s="87"/>
      <c r="AV147" s="87"/>
      <c r="AW147" s="87"/>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100"/>
      <c r="EJ147" s="100"/>
      <c r="EK147" s="100"/>
      <c r="EL147" s="100"/>
      <c r="EM147" s="100"/>
      <c r="EN147" s="100"/>
      <c r="EO147" s="100"/>
      <c r="EP147" s="87"/>
      <c r="EQ147" s="87"/>
      <c r="ER147" s="87"/>
      <c r="ES147" s="87"/>
      <c r="ET147" s="87"/>
      <c r="EU147" s="87"/>
      <c r="EV147" s="87"/>
      <c r="EW147" s="87"/>
      <c r="EX147" s="87"/>
      <c r="EY147" s="87"/>
      <c r="EZ147" s="87"/>
      <c r="FA147" s="87"/>
      <c r="FB147" s="87"/>
      <c r="FC147" s="87"/>
      <c r="FD147" s="87"/>
      <c r="FE147" s="87"/>
      <c r="FF147" s="87"/>
      <c r="FG147" s="87"/>
      <c r="FH147" s="87"/>
      <c r="FI147" s="87"/>
      <c r="FJ147" s="87"/>
      <c r="FK147" s="87"/>
    </row>
    <row r="148" spans="1:167" hidden="1" outlineLevel="1">
      <c r="A148" s="31" t="str">
        <f t="shared" si="19"/>
        <v>cd_imv_out_certifnvl_efcc_enrg</v>
      </c>
      <c r="B148" s="76" t="s">
        <v>28</v>
      </c>
      <c r="C148" s="77" t="s">
        <v>54</v>
      </c>
      <c r="D148" s="73" t="s">
        <v>40</v>
      </c>
      <c r="E148" s="75" t="s">
        <v>120</v>
      </c>
      <c r="F148" s="73" t="s">
        <v>132</v>
      </c>
      <c r="G148" s="73" t="str">
        <f>INDEX(Auxiliar!$B$16:$B$23,MATCH(Plano_V1!H148,Auxiliar!$C$16:$C$23,0),1)</f>
        <v>1. Concluído</v>
      </c>
      <c r="H148" s="73">
        <f>VLOOKUP(A148,'Aux - pivots1'!$A:$B,2,0)</f>
        <v>1</v>
      </c>
      <c r="I148" s="93">
        <f>SUMIFS(Table1[Estimação (horas)],Table1[Tabela],Plano_V1!E148,Table1[Campo],Plano_V1!F148)</f>
        <v>4.0999999999999996</v>
      </c>
      <c r="J148" s="93">
        <f t="shared" si="20"/>
        <v>0.51249999999999996</v>
      </c>
      <c r="K148" s="96" t="s">
        <v>121</v>
      </c>
      <c r="L148" s="99">
        <f t="shared" si="18"/>
        <v>0.51249999999999996</v>
      </c>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100"/>
      <c r="AU148" s="87"/>
      <c r="AV148" s="87"/>
      <c r="AW148" s="87"/>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100"/>
      <c r="EJ148" s="100"/>
      <c r="EK148" s="100"/>
      <c r="EL148" s="100"/>
      <c r="EM148" s="100"/>
      <c r="EN148" s="100"/>
      <c r="EO148" s="100"/>
      <c r="EP148" s="87"/>
      <c r="EQ148" s="87"/>
      <c r="ER148" s="87"/>
      <c r="ES148" s="87"/>
      <c r="ET148" s="87"/>
      <c r="EU148" s="87"/>
      <c r="EV148" s="87"/>
      <c r="EW148" s="87"/>
      <c r="EX148" s="87"/>
      <c r="EY148" s="87"/>
      <c r="EZ148" s="87"/>
      <c r="FA148" s="87"/>
      <c r="FB148" s="87"/>
      <c r="FC148" s="87"/>
      <c r="FD148" s="87"/>
      <c r="FE148" s="87"/>
      <c r="FF148" s="87"/>
      <c r="FG148" s="87"/>
      <c r="FH148" s="87"/>
      <c r="FI148" s="87"/>
      <c r="FJ148" s="87"/>
      <c r="FK148" s="87"/>
    </row>
    <row r="149" spans="1:167" hidden="1" outlineLevel="1">
      <c r="A149" s="31" t="str">
        <f t="shared" si="19"/>
        <v>cd_imv_out_certiforigem</v>
      </c>
      <c r="B149" s="76" t="s">
        <v>28</v>
      </c>
      <c r="C149" s="77" t="s">
        <v>54</v>
      </c>
      <c r="D149" s="73" t="s">
        <v>40</v>
      </c>
      <c r="E149" s="75" t="s">
        <v>120</v>
      </c>
      <c r="F149" s="73" t="s">
        <v>72</v>
      </c>
      <c r="G149" s="73" t="str">
        <f>INDEX(Auxiliar!$B$16:$B$23,MATCH(Plano_V1!H149,Auxiliar!$C$16:$C$23,0),1)</f>
        <v>6. Em implementação (re-especificação)</v>
      </c>
      <c r="H149" s="73">
        <f>VLOOKUP(A149,'Aux - pivots1'!$A:$B,2,0)</f>
        <v>6</v>
      </c>
      <c r="I149" s="93">
        <f>SUMIFS(Table1[Estimação (horas)],Table1[Tabela],Plano_V1!E149,Table1[Campo],Plano_V1!F149)</f>
        <v>4.0999999999999996</v>
      </c>
      <c r="J149" s="93">
        <f t="shared" si="20"/>
        <v>0.51249999999999996</v>
      </c>
      <c r="K149" s="96" t="s">
        <v>121</v>
      </c>
      <c r="L149" s="99">
        <f t="shared" si="18"/>
        <v>0.51249999999999996</v>
      </c>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100"/>
      <c r="AU149" s="87"/>
      <c r="AV149" s="87"/>
      <c r="AW149" s="87"/>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100"/>
      <c r="EJ149" s="100"/>
      <c r="EK149" s="100"/>
      <c r="EL149" s="100"/>
      <c r="EM149" s="100"/>
      <c r="EN149" s="100"/>
      <c r="EO149" s="100"/>
      <c r="EP149" s="87"/>
      <c r="EQ149" s="87"/>
      <c r="ER149" s="87"/>
      <c r="ES149" s="87"/>
      <c r="ET149" s="87"/>
      <c r="EU149" s="87"/>
      <c r="EV149" s="87"/>
      <c r="EW149" s="87"/>
      <c r="EX149" s="87"/>
      <c r="EY149" s="87"/>
      <c r="EZ149" s="87"/>
      <c r="FA149" s="87"/>
      <c r="FB149" s="87"/>
      <c r="FC149" s="87"/>
      <c r="FD149" s="87"/>
      <c r="FE149" s="87"/>
      <c r="FF149" s="87"/>
      <c r="FG149" s="87"/>
      <c r="FH149" s="87"/>
      <c r="FI149" s="87"/>
      <c r="FJ149" s="87"/>
      <c r="FK149" s="87"/>
    </row>
    <row r="150" spans="1:167" hidden="1" outlineLevel="1">
      <c r="A150" s="31" t="str">
        <f t="shared" si="19"/>
        <v>cd_imv_out_certifref_date</v>
      </c>
      <c r="B150" s="76" t="s">
        <v>28</v>
      </c>
      <c r="C150" s="77" t="s">
        <v>54</v>
      </c>
      <c r="D150" s="73" t="s">
        <v>40</v>
      </c>
      <c r="E150" s="75" t="s">
        <v>120</v>
      </c>
      <c r="F150" s="73" t="s">
        <v>73</v>
      </c>
      <c r="G150" s="73" t="str">
        <f>INDEX(Auxiliar!$B$16:$B$23,MATCH(Plano_V1!H150,Auxiliar!$C$16:$C$23,0),1)</f>
        <v>1. Concluído</v>
      </c>
      <c r="H150" s="73">
        <f>VLOOKUP(A150,'Aux - pivots1'!$A:$B,2,0)</f>
        <v>1</v>
      </c>
      <c r="I150" s="93">
        <f>SUMIFS(Table1[Estimação (horas)],Table1[Tabela],Plano_V1!E150,Table1[Campo],Plano_V1!F150)</f>
        <v>4.0999999999999996</v>
      </c>
      <c r="J150" s="93">
        <f t="shared" si="20"/>
        <v>0.51249999999999996</v>
      </c>
      <c r="K150" s="96" t="s">
        <v>121</v>
      </c>
      <c r="L150" s="99">
        <f t="shared" si="18"/>
        <v>0.51249999999999996</v>
      </c>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100"/>
      <c r="AU150" s="87"/>
      <c r="AV150" s="87"/>
      <c r="AW150" s="87"/>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100"/>
      <c r="EJ150" s="100"/>
      <c r="EK150" s="100"/>
      <c r="EL150" s="100"/>
      <c r="EM150" s="100"/>
      <c r="EN150" s="100"/>
      <c r="EO150" s="100"/>
      <c r="EP150" s="87"/>
      <c r="EQ150" s="87"/>
      <c r="ER150" s="87"/>
      <c r="ES150" s="87"/>
      <c r="ET150" s="87"/>
      <c r="EU150" s="87"/>
      <c r="EV150" s="87"/>
      <c r="EW150" s="87"/>
      <c r="EX150" s="87"/>
      <c r="EY150" s="87"/>
      <c r="EZ150" s="87"/>
      <c r="FA150" s="87"/>
      <c r="FB150" s="87"/>
      <c r="FC150" s="87"/>
      <c r="FD150" s="87"/>
      <c r="FE150" s="87"/>
      <c r="FF150" s="87"/>
      <c r="FG150" s="87"/>
      <c r="FH150" s="87"/>
      <c r="FI150" s="87"/>
      <c r="FJ150" s="87"/>
      <c r="FK150" s="87"/>
    </row>
    <row r="151" spans="1:167" hidden="1" outlineLevel="1">
      <c r="A151" s="31" t="str">
        <f t="shared" si="19"/>
        <v>cd_imv_out_certiftp_crtfcd</v>
      </c>
      <c r="B151" s="76" t="s">
        <v>28</v>
      </c>
      <c r="C151" s="77" t="s">
        <v>54</v>
      </c>
      <c r="D151" s="73" t="s">
        <v>40</v>
      </c>
      <c r="E151" s="75" t="s">
        <v>120</v>
      </c>
      <c r="F151" s="73" t="s">
        <v>133</v>
      </c>
      <c r="G151" s="73" t="str">
        <f>INDEX(Auxiliar!$B$16:$B$23,MATCH(Plano_V1!H151,Auxiliar!$C$16:$C$23,0),1)</f>
        <v>6. Em implementação (re-especificação)</v>
      </c>
      <c r="H151" s="73">
        <f>VLOOKUP(A151,'Aux - pivots1'!$A:$B,2,0)</f>
        <v>6</v>
      </c>
      <c r="I151" s="93">
        <f>SUMIFS(Table1[Estimação (horas)],Table1[Tabela],Plano_V1!E151,Table1[Campo],Plano_V1!F151)</f>
        <v>4.0999999999999996</v>
      </c>
      <c r="J151" s="93">
        <f t="shared" si="20"/>
        <v>0.51249999999999996</v>
      </c>
      <c r="K151" s="96" t="s">
        <v>121</v>
      </c>
      <c r="L151" s="99">
        <f t="shared" si="18"/>
        <v>0.51249999999999996</v>
      </c>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100"/>
      <c r="AU151" s="87"/>
      <c r="AV151" s="87"/>
      <c r="AW151" s="87"/>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100"/>
      <c r="EJ151" s="100"/>
      <c r="EK151" s="100"/>
      <c r="EL151" s="100"/>
      <c r="EM151" s="100"/>
      <c r="EN151" s="100"/>
      <c r="EO151" s="100"/>
      <c r="EP151" s="87"/>
      <c r="EQ151" s="87"/>
      <c r="ER151" s="87"/>
      <c r="ES151" s="87"/>
      <c r="ET151" s="87"/>
      <c r="EU151" s="87"/>
      <c r="EV151" s="87"/>
      <c r="EW151" s="87"/>
      <c r="EX151" s="87"/>
      <c r="EY151" s="87"/>
      <c r="EZ151" s="87"/>
      <c r="FA151" s="87"/>
      <c r="FB151" s="87"/>
      <c r="FC151" s="87"/>
      <c r="FD151" s="87"/>
      <c r="FE151" s="87"/>
      <c r="FF151" s="87"/>
      <c r="FG151" s="87"/>
      <c r="FH151" s="87"/>
      <c r="FI151" s="87"/>
      <c r="FJ151" s="87"/>
      <c r="FK151" s="87"/>
    </row>
    <row r="152" spans="1:167" hidden="1" outlineLevel="1">
      <c r="A152" s="31" t="str">
        <f t="shared" si="19"/>
        <v>cd_imv_out_certifvlr_agua_qnt_sant_edfc</v>
      </c>
      <c r="B152" s="76" t="s">
        <v>28</v>
      </c>
      <c r="C152" s="77" t="s">
        <v>54</v>
      </c>
      <c r="D152" s="73" t="s">
        <v>40</v>
      </c>
      <c r="E152" s="75" t="s">
        <v>120</v>
      </c>
      <c r="F152" s="73" t="s">
        <v>134</v>
      </c>
      <c r="G152" s="73" t="str">
        <f>INDEX(Auxiliar!$B$16:$B$23,MATCH(Plano_V1!H152,Auxiliar!$C$16:$C$23,0),1)</f>
        <v>1. Concluído</v>
      </c>
      <c r="H152" s="73">
        <f>VLOOKUP(A152,'Aux - pivots1'!$A:$B,2,0)</f>
        <v>1</v>
      </c>
      <c r="I152" s="93">
        <f>SUMIFS(Table1[Estimação (horas)],Table1[Tabela],Plano_V1!E152,Table1[Campo],Plano_V1!F152)</f>
        <v>4.0999999999999996</v>
      </c>
      <c r="J152" s="93">
        <f t="shared" si="20"/>
        <v>0.51249999999999996</v>
      </c>
      <c r="K152" s="96" t="s">
        <v>121</v>
      </c>
      <c r="L152" s="99">
        <f t="shared" si="18"/>
        <v>0.51249999999999996</v>
      </c>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100"/>
      <c r="AU152" s="87"/>
      <c r="AV152" s="87"/>
      <c r="AW152" s="87"/>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100"/>
      <c r="EJ152" s="100"/>
      <c r="EK152" s="100"/>
      <c r="EL152" s="100"/>
      <c r="EM152" s="100"/>
      <c r="EN152" s="100"/>
      <c r="EO152" s="100"/>
      <c r="EP152" s="87"/>
      <c r="EQ152" s="87"/>
      <c r="ER152" s="87"/>
      <c r="ES152" s="87"/>
      <c r="ET152" s="87"/>
      <c r="EU152" s="87"/>
      <c r="EV152" s="87"/>
      <c r="EW152" s="87"/>
      <c r="EX152" s="87"/>
      <c r="EY152" s="87"/>
      <c r="EZ152" s="87"/>
      <c r="FA152" s="87"/>
      <c r="FB152" s="87"/>
      <c r="FC152" s="87"/>
      <c r="FD152" s="87"/>
      <c r="FE152" s="87"/>
      <c r="FF152" s="87"/>
      <c r="FG152" s="87"/>
      <c r="FH152" s="87"/>
      <c r="FI152" s="87"/>
      <c r="FJ152" s="87"/>
      <c r="FK152" s="87"/>
    </row>
    <row r="153" spans="1:167" hidden="1" outlineLevel="1">
      <c r="A153" s="31" t="str">
        <f t="shared" si="19"/>
        <v>cd_imv_out_certifvlr_agua_qnt_snt_rnvv</v>
      </c>
      <c r="B153" s="76" t="s">
        <v>28</v>
      </c>
      <c r="C153" s="77" t="s">
        <v>54</v>
      </c>
      <c r="D153" s="73" t="s">
        <v>40</v>
      </c>
      <c r="E153" s="75" t="s">
        <v>120</v>
      </c>
      <c r="F153" s="73" t="s">
        <v>135</v>
      </c>
      <c r="G153" s="73" t="str">
        <f>INDEX(Auxiliar!$B$16:$B$23,MATCH(Plano_V1!H153,Auxiliar!$C$16:$C$23,0),1)</f>
        <v>1. Concluído</v>
      </c>
      <c r="H153" s="73">
        <f>VLOOKUP(A153,'Aux - pivots1'!$A:$B,2,0)</f>
        <v>1</v>
      </c>
      <c r="I153" s="93">
        <f>SUMIFS(Table1[Estimação (horas)],Table1[Tabela],Plano_V1!E153,Table1[Campo],Plano_V1!F153)</f>
        <v>4.0999999999999996</v>
      </c>
      <c r="J153" s="93">
        <f t="shared" si="20"/>
        <v>0.51249999999999996</v>
      </c>
      <c r="K153" s="96" t="s">
        <v>121</v>
      </c>
      <c r="L153" s="99">
        <f t="shared" si="18"/>
        <v>0.51249999999999996</v>
      </c>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100"/>
      <c r="AU153" s="87"/>
      <c r="AV153" s="87"/>
      <c r="AW153" s="87"/>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100"/>
      <c r="EJ153" s="100"/>
      <c r="EK153" s="100"/>
      <c r="EL153" s="100"/>
      <c r="EM153" s="100"/>
      <c r="EN153" s="100"/>
      <c r="EO153" s="100"/>
      <c r="EP153" s="87"/>
      <c r="EQ153" s="87"/>
      <c r="ER153" s="87"/>
      <c r="ES153" s="87"/>
      <c r="ET153" s="87"/>
      <c r="EU153" s="87"/>
      <c r="EV153" s="87"/>
      <c r="EW153" s="87"/>
      <c r="EX153" s="87"/>
      <c r="EY153" s="87"/>
      <c r="EZ153" s="87"/>
      <c r="FA153" s="87"/>
      <c r="FB153" s="87"/>
      <c r="FC153" s="87"/>
      <c r="FD153" s="87"/>
      <c r="FE153" s="87"/>
      <c r="FF153" s="87"/>
      <c r="FG153" s="87"/>
      <c r="FH153" s="87"/>
      <c r="FI153" s="87"/>
      <c r="FJ153" s="87"/>
      <c r="FK153" s="87"/>
    </row>
    <row r="154" spans="1:167" hidden="1" outlineLevel="1">
      <c r="A154" s="31" t="str">
        <f t="shared" si="19"/>
        <v>cd_imv_out_certifvlr_agua_qnt_sntr_rfrc</v>
      </c>
      <c r="B154" s="76" t="s">
        <v>28</v>
      </c>
      <c r="C154" s="77" t="s">
        <v>54</v>
      </c>
      <c r="D154" s="73" t="s">
        <v>40</v>
      </c>
      <c r="E154" s="75" t="s">
        <v>120</v>
      </c>
      <c r="F154" s="73" t="s">
        <v>136</v>
      </c>
      <c r="G154" s="73" t="str">
        <f>INDEX(Auxiliar!$B$16:$B$23,MATCH(Plano_V1!H154,Auxiliar!$C$16:$C$23,0),1)</f>
        <v>1. Concluído</v>
      </c>
      <c r="H154" s="73">
        <f>VLOOKUP(A154,'Aux - pivots1'!$A:$B,2,0)</f>
        <v>1</v>
      </c>
      <c r="I154" s="93">
        <f>SUMIFS(Table1[Estimação (horas)],Table1[Tabela],Plano_V1!E154,Table1[Campo],Plano_V1!F154)</f>
        <v>4.0999999999999996</v>
      </c>
      <c r="J154" s="93">
        <f t="shared" si="20"/>
        <v>0.51249999999999996</v>
      </c>
      <c r="K154" s="96" t="s">
        <v>121</v>
      </c>
      <c r="L154" s="99">
        <f t="shared" ref="L154:L217" si="21">J154-SUM(M154:FK154)</f>
        <v>0.51249999999999996</v>
      </c>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100"/>
      <c r="AU154" s="87"/>
      <c r="AV154" s="87"/>
      <c r="AW154" s="87"/>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100"/>
      <c r="EJ154" s="100"/>
      <c r="EK154" s="100"/>
      <c r="EL154" s="100"/>
      <c r="EM154" s="100"/>
      <c r="EN154" s="100"/>
      <c r="EO154" s="100"/>
      <c r="EP154" s="87"/>
      <c r="EQ154" s="87"/>
      <c r="ER154" s="87"/>
      <c r="ES154" s="87"/>
      <c r="ET154" s="87"/>
      <c r="EU154" s="87"/>
      <c r="EV154" s="87"/>
      <c r="EW154" s="87"/>
      <c r="EX154" s="87"/>
      <c r="EY154" s="87"/>
      <c r="EZ154" s="87"/>
      <c r="FA154" s="87"/>
      <c r="FB154" s="87"/>
      <c r="FC154" s="87"/>
      <c r="FD154" s="87"/>
      <c r="FE154" s="87"/>
      <c r="FF154" s="87"/>
      <c r="FG154" s="87"/>
      <c r="FH154" s="87"/>
      <c r="FI154" s="87"/>
      <c r="FJ154" s="87"/>
      <c r="FK154" s="87"/>
    </row>
    <row r="155" spans="1:167" hidden="1" outlineLevel="1">
      <c r="A155" s="31" t="str">
        <f t="shared" si="19"/>
        <v>cd_imv_out_certifvlr_alttt</v>
      </c>
      <c r="B155" s="76" t="s">
        <v>28</v>
      </c>
      <c r="C155" s="77" t="s">
        <v>54</v>
      </c>
      <c r="D155" s="73" t="s">
        <v>40</v>
      </c>
      <c r="E155" s="75" t="s">
        <v>120</v>
      </c>
      <c r="F155" s="73" t="s">
        <v>137</v>
      </c>
      <c r="G155" s="73" t="str">
        <f>INDEX(Auxiliar!$B$16:$B$23,MATCH(Plano_V1!H155,Auxiliar!$C$16:$C$23,0),1)</f>
        <v>1. Concluído</v>
      </c>
      <c r="H155" s="73">
        <f>VLOOKUP(A155,'Aux - pivots1'!$A:$B,2,0)</f>
        <v>1</v>
      </c>
      <c r="I155" s="93">
        <f>SUMIFS(Table1[Estimação (horas)],Table1[Tabela],Plano_V1!E155,Table1[Campo],Plano_V1!F155)</f>
        <v>4.0999999999999996</v>
      </c>
      <c r="J155" s="93">
        <f t="shared" si="20"/>
        <v>0.51249999999999996</v>
      </c>
      <c r="K155" s="96" t="s">
        <v>121</v>
      </c>
      <c r="L155" s="99">
        <f t="shared" si="21"/>
        <v>0.51249999999999996</v>
      </c>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100"/>
      <c r="AU155" s="87"/>
      <c r="AV155" s="87"/>
      <c r="AW155" s="87"/>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100"/>
      <c r="EJ155" s="100"/>
      <c r="EK155" s="100"/>
      <c r="EL155" s="100"/>
      <c r="EM155" s="100"/>
      <c r="EN155" s="100"/>
      <c r="EO155" s="100"/>
      <c r="EP155" s="87"/>
      <c r="EQ155" s="87"/>
      <c r="ER155" s="87"/>
      <c r="ES155" s="87"/>
      <c r="ET155" s="87"/>
      <c r="EU155" s="87"/>
      <c r="EV155" s="87"/>
      <c r="EW155" s="87"/>
      <c r="EX155" s="87"/>
      <c r="EY155" s="87"/>
      <c r="EZ155" s="87"/>
      <c r="FA155" s="87"/>
      <c r="FB155" s="87"/>
      <c r="FC155" s="87"/>
      <c r="FD155" s="87"/>
      <c r="FE155" s="87"/>
      <c r="FF155" s="87"/>
      <c r="FG155" s="87"/>
      <c r="FH155" s="87"/>
      <c r="FI155" s="87"/>
      <c r="FJ155" s="87"/>
      <c r="FK155" s="87"/>
    </row>
    <row r="156" spans="1:167" hidden="1" outlineLevel="1">
      <c r="A156" s="31" t="str">
        <f t="shared" si="19"/>
        <v>cd_imv_out_certifvlr_aqcmnt_ambnt_edfc</v>
      </c>
      <c r="B156" s="76" t="s">
        <v>28</v>
      </c>
      <c r="C156" s="77" t="s">
        <v>54</v>
      </c>
      <c r="D156" s="73" t="s">
        <v>40</v>
      </c>
      <c r="E156" s="75" t="s">
        <v>120</v>
      </c>
      <c r="F156" s="73" t="s">
        <v>138</v>
      </c>
      <c r="G156" s="73" t="str">
        <f>INDEX(Auxiliar!$B$16:$B$23,MATCH(Plano_V1!H156,Auxiliar!$C$16:$C$23,0),1)</f>
        <v>1. Concluído</v>
      </c>
      <c r="H156" s="73">
        <f>VLOOKUP(A156,'Aux - pivots1'!$A:$B,2,0)</f>
        <v>1</v>
      </c>
      <c r="I156" s="93">
        <f>SUMIFS(Table1[Estimação (horas)],Table1[Tabela],Plano_V1!E156,Table1[Campo],Plano_V1!F156)</f>
        <v>4.0999999999999996</v>
      </c>
      <c r="J156" s="93">
        <f t="shared" si="20"/>
        <v>0.51249999999999996</v>
      </c>
      <c r="K156" s="96" t="s">
        <v>121</v>
      </c>
      <c r="L156" s="99">
        <f t="shared" si="21"/>
        <v>0.51249999999999996</v>
      </c>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100"/>
      <c r="AU156" s="87"/>
      <c r="AV156" s="87"/>
      <c r="AW156" s="87"/>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100"/>
      <c r="EJ156" s="100"/>
      <c r="EK156" s="100"/>
      <c r="EL156" s="100"/>
      <c r="EM156" s="100"/>
      <c r="EN156" s="100"/>
      <c r="EO156" s="100"/>
      <c r="EP156" s="87"/>
      <c r="EQ156" s="87"/>
      <c r="ER156" s="87"/>
      <c r="ES156" s="87"/>
      <c r="ET156" s="87"/>
      <c r="EU156" s="87"/>
      <c r="EV156" s="87"/>
      <c r="EW156" s="87"/>
      <c r="EX156" s="87"/>
      <c r="EY156" s="87"/>
      <c r="EZ156" s="87"/>
      <c r="FA156" s="87"/>
      <c r="FB156" s="87"/>
      <c r="FC156" s="87"/>
      <c r="FD156" s="87"/>
      <c r="FE156" s="87"/>
      <c r="FF156" s="87"/>
      <c r="FG156" s="87"/>
      <c r="FH156" s="87"/>
      <c r="FI156" s="87"/>
      <c r="FJ156" s="87"/>
      <c r="FK156" s="87"/>
    </row>
    <row r="157" spans="1:167" hidden="1" outlineLevel="1">
      <c r="A157" s="31" t="str">
        <f t="shared" ref="A157:A220" si="22">E157&amp;F157</f>
        <v>cd_imv_out_certifvlr_aqcmnt_ambnt_rfrc</v>
      </c>
      <c r="B157" s="76" t="s">
        <v>28</v>
      </c>
      <c r="C157" s="77" t="s">
        <v>54</v>
      </c>
      <c r="D157" s="73" t="s">
        <v>40</v>
      </c>
      <c r="E157" s="75" t="s">
        <v>120</v>
      </c>
      <c r="F157" s="73" t="s">
        <v>139</v>
      </c>
      <c r="G157" s="73" t="str">
        <f>INDEX(Auxiliar!$B$16:$B$23,MATCH(Plano_V1!H157,Auxiliar!$C$16:$C$23,0),1)</f>
        <v>1. Concluído</v>
      </c>
      <c r="H157" s="73">
        <f>VLOOKUP(A157,'Aux - pivots1'!$A:$B,2,0)</f>
        <v>1</v>
      </c>
      <c r="I157" s="93">
        <f>SUMIFS(Table1[Estimação (horas)],Table1[Tabela],Plano_V1!E157,Table1[Campo],Plano_V1!F157)</f>
        <v>4.0999999999999996</v>
      </c>
      <c r="J157" s="93">
        <f t="shared" si="20"/>
        <v>0.51249999999999996</v>
      </c>
      <c r="K157" s="96" t="s">
        <v>121</v>
      </c>
      <c r="L157" s="99">
        <f t="shared" si="21"/>
        <v>0.51249999999999996</v>
      </c>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100"/>
      <c r="AU157" s="87"/>
      <c r="AV157" s="87"/>
      <c r="AW157" s="87"/>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100"/>
      <c r="EJ157" s="100"/>
      <c r="EK157" s="100"/>
      <c r="EL157" s="100"/>
      <c r="EM157" s="100"/>
      <c r="EN157" s="100"/>
      <c r="EO157" s="100"/>
      <c r="EP157" s="87"/>
      <c r="EQ157" s="87"/>
      <c r="ER157" s="87"/>
      <c r="ES157" s="87"/>
      <c r="ET157" s="87"/>
      <c r="EU157" s="87"/>
      <c r="EV157" s="87"/>
      <c r="EW157" s="87"/>
      <c r="EX157" s="87"/>
      <c r="EY157" s="87"/>
      <c r="EZ157" s="87"/>
      <c r="FA157" s="87"/>
      <c r="FB157" s="87"/>
      <c r="FC157" s="87"/>
      <c r="FD157" s="87"/>
      <c r="FE157" s="87"/>
      <c r="FF157" s="87"/>
      <c r="FG157" s="87"/>
      <c r="FH157" s="87"/>
      <c r="FI157" s="87"/>
      <c r="FJ157" s="87"/>
      <c r="FK157" s="87"/>
    </row>
    <row r="158" spans="1:167" hidden="1" outlineLevel="1">
      <c r="A158" s="31" t="str">
        <f t="shared" si="22"/>
        <v>cd_imv_out_certifvlr_aqcmnt_ambnt_rnvv</v>
      </c>
      <c r="B158" s="76" t="s">
        <v>28</v>
      </c>
      <c r="C158" s="77" t="s">
        <v>54</v>
      </c>
      <c r="D158" s="73" t="s">
        <v>40</v>
      </c>
      <c r="E158" s="75" t="s">
        <v>120</v>
      </c>
      <c r="F158" s="73" t="s">
        <v>140</v>
      </c>
      <c r="G158" s="73" t="str">
        <f>INDEX(Auxiliar!$B$16:$B$23,MATCH(Plano_V1!H158,Auxiliar!$C$16:$C$23,0),1)</f>
        <v>1. Concluído</v>
      </c>
      <c r="H158" s="73">
        <f>VLOOKUP(A158,'Aux - pivots1'!$A:$B,2,0)</f>
        <v>1</v>
      </c>
      <c r="I158" s="93">
        <f>SUMIFS(Table1[Estimação (horas)],Table1[Tabela],Plano_V1!E158,Table1[Campo],Plano_V1!F158)</f>
        <v>4.0999999999999996</v>
      </c>
      <c r="J158" s="93">
        <f t="shared" si="20"/>
        <v>0.51249999999999996</v>
      </c>
      <c r="K158" s="96" t="s">
        <v>121</v>
      </c>
      <c r="L158" s="99">
        <f t="shared" si="21"/>
        <v>0.51249999999999996</v>
      </c>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100"/>
      <c r="AU158" s="87"/>
      <c r="AV158" s="87"/>
      <c r="AW158" s="87"/>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100"/>
      <c r="EJ158" s="100"/>
      <c r="EK158" s="100"/>
      <c r="EL158" s="100"/>
      <c r="EM158" s="100"/>
      <c r="EN158" s="100"/>
      <c r="EO158" s="100"/>
      <c r="EP158" s="87"/>
      <c r="EQ158" s="87"/>
      <c r="ER158" s="87"/>
      <c r="ES158" s="87"/>
      <c r="ET158" s="87"/>
      <c r="EU158" s="87"/>
      <c r="EV158" s="87"/>
      <c r="EW158" s="87"/>
      <c r="EX158" s="87"/>
      <c r="EY158" s="87"/>
      <c r="EZ158" s="87"/>
      <c r="FA158" s="87"/>
      <c r="FB158" s="87"/>
      <c r="FC158" s="87"/>
      <c r="FD158" s="87"/>
      <c r="FE158" s="87"/>
      <c r="FF158" s="87"/>
      <c r="FG158" s="87"/>
      <c r="FH158" s="87"/>
      <c r="FI158" s="87"/>
      <c r="FJ158" s="87"/>
      <c r="FK158" s="87"/>
    </row>
    <row r="159" spans="1:167" hidden="1" outlineLevel="1">
      <c r="A159" s="31" t="str">
        <f t="shared" si="22"/>
        <v>cd_imv_out_certifvlr_arrfcmnt_ambnt_edfc</v>
      </c>
      <c r="B159" s="76" t="s">
        <v>28</v>
      </c>
      <c r="C159" s="77" t="s">
        <v>54</v>
      </c>
      <c r="D159" s="73" t="s">
        <v>40</v>
      </c>
      <c r="E159" s="75" t="s">
        <v>120</v>
      </c>
      <c r="F159" s="73" t="s">
        <v>141</v>
      </c>
      <c r="G159" s="73" t="str">
        <f>INDEX(Auxiliar!$B$16:$B$23,MATCH(Plano_V1!H159,Auxiliar!$C$16:$C$23,0),1)</f>
        <v>1. Concluído</v>
      </c>
      <c r="H159" s="73">
        <f>VLOOKUP(A159,'Aux - pivots1'!$A:$B,2,0)</f>
        <v>1</v>
      </c>
      <c r="I159" s="93">
        <f>SUMIFS(Table1[Estimação (horas)],Table1[Tabela],Plano_V1!E159,Table1[Campo],Plano_V1!F159)</f>
        <v>4.0999999999999996</v>
      </c>
      <c r="J159" s="93">
        <f t="shared" si="20"/>
        <v>0.51249999999999996</v>
      </c>
      <c r="K159" s="96" t="s">
        <v>121</v>
      </c>
      <c r="L159" s="99">
        <f t="shared" si="21"/>
        <v>0.51249999999999996</v>
      </c>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100"/>
      <c r="AU159" s="87"/>
      <c r="AV159" s="87"/>
      <c r="AW159" s="87"/>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100"/>
      <c r="EJ159" s="100"/>
      <c r="EK159" s="100"/>
      <c r="EL159" s="100"/>
      <c r="EM159" s="100"/>
      <c r="EN159" s="100"/>
      <c r="EO159" s="100"/>
      <c r="EP159" s="87"/>
      <c r="EQ159" s="87"/>
      <c r="ER159" s="87"/>
      <c r="ES159" s="87"/>
      <c r="ET159" s="87"/>
      <c r="EU159" s="87"/>
      <c r="EV159" s="87"/>
      <c r="EW159" s="87"/>
      <c r="EX159" s="87"/>
      <c r="EY159" s="87"/>
      <c r="EZ159" s="87"/>
      <c r="FA159" s="87"/>
      <c r="FB159" s="87"/>
      <c r="FC159" s="87"/>
      <c r="FD159" s="87"/>
      <c r="FE159" s="87"/>
      <c r="FF159" s="87"/>
      <c r="FG159" s="87"/>
      <c r="FH159" s="87"/>
      <c r="FI159" s="87"/>
      <c r="FJ159" s="87"/>
      <c r="FK159" s="87"/>
    </row>
    <row r="160" spans="1:167" hidden="1" outlineLevel="1">
      <c r="A160" s="31" t="str">
        <f t="shared" si="22"/>
        <v>cd_imv_out_certifvlr_arrfcmnt_ambnt_renvv</v>
      </c>
      <c r="B160" s="76" t="s">
        <v>28</v>
      </c>
      <c r="C160" s="77" t="s">
        <v>54</v>
      </c>
      <c r="D160" s="73" t="s">
        <v>40</v>
      </c>
      <c r="E160" s="75" t="s">
        <v>120</v>
      </c>
      <c r="F160" s="73" t="s">
        <v>142</v>
      </c>
      <c r="G160" s="73" t="str">
        <f>INDEX(Auxiliar!$B$16:$B$23,MATCH(Plano_V1!H160,Auxiliar!$C$16:$C$23,0),1)</f>
        <v>1. Concluído</v>
      </c>
      <c r="H160" s="73">
        <f>VLOOKUP(A160,'Aux - pivots1'!$A:$B,2,0)</f>
        <v>1</v>
      </c>
      <c r="I160" s="93">
        <f>SUMIFS(Table1[Estimação (horas)],Table1[Tabela],Plano_V1!E160,Table1[Campo],Plano_V1!F160)</f>
        <v>4.0999999999999996</v>
      </c>
      <c r="J160" s="93">
        <f t="shared" si="20"/>
        <v>0.51249999999999996</v>
      </c>
      <c r="K160" s="96" t="s">
        <v>121</v>
      </c>
      <c r="L160" s="99">
        <f t="shared" si="21"/>
        <v>0.51249999999999996</v>
      </c>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100"/>
      <c r="AU160" s="87"/>
      <c r="AV160" s="87"/>
      <c r="AW160" s="87"/>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100"/>
      <c r="EJ160" s="100"/>
      <c r="EK160" s="100"/>
      <c r="EL160" s="100"/>
      <c r="EM160" s="100"/>
      <c r="EN160" s="100"/>
      <c r="EO160" s="100"/>
      <c r="EP160" s="87"/>
      <c r="EQ160" s="87"/>
      <c r="ER160" s="87"/>
      <c r="ES160" s="87"/>
      <c r="ET160" s="87"/>
      <c r="EU160" s="87"/>
      <c r="EV160" s="87"/>
      <c r="EW160" s="87"/>
      <c r="EX160" s="87"/>
      <c r="EY160" s="87"/>
      <c r="EZ160" s="87"/>
      <c r="FA160" s="87"/>
      <c r="FB160" s="87"/>
      <c r="FC160" s="87"/>
      <c r="FD160" s="87"/>
      <c r="FE160" s="87"/>
      <c r="FF160" s="87"/>
      <c r="FG160" s="87"/>
      <c r="FH160" s="87"/>
      <c r="FI160" s="87"/>
      <c r="FJ160" s="87"/>
      <c r="FK160" s="87"/>
    </row>
    <row r="161" spans="1:167" hidden="1" outlineLevel="1">
      <c r="A161" s="31" t="str">
        <f t="shared" si="22"/>
        <v>cd_imv_out_certifvlr_arrfcmnt_ambnt_rfrc</v>
      </c>
      <c r="B161" s="76" t="s">
        <v>28</v>
      </c>
      <c r="C161" s="77" t="s">
        <v>54</v>
      </c>
      <c r="D161" s="73" t="s">
        <v>40</v>
      </c>
      <c r="E161" s="75" t="s">
        <v>120</v>
      </c>
      <c r="F161" s="73" t="s">
        <v>143</v>
      </c>
      <c r="G161" s="73" t="str">
        <f>INDEX(Auxiliar!$B$16:$B$23,MATCH(Plano_V1!H161,Auxiliar!$C$16:$C$23,0),1)</f>
        <v>1. Concluído</v>
      </c>
      <c r="H161" s="73">
        <f>VLOOKUP(A161,'Aux - pivots1'!$A:$B,2,0)</f>
        <v>1</v>
      </c>
      <c r="I161" s="93">
        <f>SUMIFS(Table1[Estimação (horas)],Table1[Tabela],Plano_V1!E161,Table1[Campo],Plano_V1!F161)</f>
        <v>4.0999999999999996</v>
      </c>
      <c r="J161" s="93">
        <f t="shared" si="20"/>
        <v>0.51249999999999996</v>
      </c>
      <c r="K161" s="96" t="s">
        <v>121</v>
      </c>
      <c r="L161" s="99">
        <f t="shared" si="21"/>
        <v>0.51249999999999996</v>
      </c>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100"/>
      <c r="AU161" s="87"/>
      <c r="AV161" s="87"/>
      <c r="AW161" s="87"/>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100"/>
      <c r="EJ161" s="100"/>
      <c r="EK161" s="100"/>
      <c r="EL161" s="100"/>
      <c r="EM161" s="100"/>
      <c r="EN161" s="100"/>
      <c r="EO161" s="100"/>
      <c r="EP161" s="87"/>
      <c r="EQ161" s="87"/>
      <c r="ER161" s="87"/>
      <c r="ES161" s="87"/>
      <c r="ET161" s="87"/>
      <c r="EU161" s="87"/>
      <c r="EV161" s="87"/>
      <c r="EW161" s="87"/>
      <c r="EX161" s="87"/>
      <c r="EY161" s="87"/>
      <c r="EZ161" s="87"/>
      <c r="FA161" s="87"/>
      <c r="FB161" s="87"/>
      <c r="FC161" s="87"/>
      <c r="FD161" s="87"/>
      <c r="FE161" s="87"/>
      <c r="FF161" s="87"/>
      <c r="FG161" s="87"/>
      <c r="FH161" s="87"/>
      <c r="FI161" s="87"/>
      <c r="FJ161" s="87"/>
      <c r="FK161" s="87"/>
    </row>
    <row r="162" spans="1:167" hidden="1" outlineLevel="1">
      <c r="A162" s="31" t="str">
        <f t="shared" si="22"/>
        <v>cd_imv_out_certifvlr_class_enrg_aps_mdd</v>
      </c>
      <c r="B162" s="76" t="s">
        <v>28</v>
      </c>
      <c r="C162" s="77" t="s">
        <v>54</v>
      </c>
      <c r="D162" s="73" t="s">
        <v>40</v>
      </c>
      <c r="E162" s="75" t="s">
        <v>120</v>
      </c>
      <c r="F162" s="73" t="s">
        <v>144</v>
      </c>
      <c r="G162" s="73" t="str">
        <f>INDEX(Auxiliar!$B$16:$B$23,MATCH(Plano_V1!H162,Auxiliar!$C$16:$C$23,0),1)</f>
        <v>1. Concluído</v>
      </c>
      <c r="H162" s="73">
        <f>VLOOKUP(A162,'Aux - pivots1'!$A:$B,2,0)</f>
        <v>1</v>
      </c>
      <c r="I162" s="93">
        <f>SUMIFS(Table1[Estimação (horas)],Table1[Tabela],Plano_V1!E162,Table1[Campo],Plano_V1!F162)</f>
        <v>4.0999999999999996</v>
      </c>
      <c r="J162" s="93">
        <f t="shared" si="20"/>
        <v>0.51249999999999996</v>
      </c>
      <c r="K162" s="96" t="s">
        <v>121</v>
      </c>
      <c r="L162" s="99">
        <f t="shared" si="21"/>
        <v>0.51249999999999996</v>
      </c>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100"/>
      <c r="AU162" s="87"/>
      <c r="AV162" s="87"/>
      <c r="AW162" s="87"/>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100"/>
      <c r="EJ162" s="100"/>
      <c r="EK162" s="100"/>
      <c r="EL162" s="100"/>
      <c r="EM162" s="100"/>
      <c r="EN162" s="100"/>
      <c r="EO162" s="100"/>
      <c r="EP162" s="87"/>
      <c r="EQ162" s="87"/>
      <c r="ER162" s="87"/>
      <c r="ES162" s="87"/>
      <c r="ET162" s="87"/>
      <c r="EU162" s="87"/>
      <c r="EV162" s="87"/>
      <c r="EW162" s="87"/>
      <c r="EX162" s="87"/>
      <c r="EY162" s="87"/>
      <c r="EZ162" s="87"/>
      <c r="FA162" s="87"/>
      <c r="FB162" s="87"/>
      <c r="FC162" s="87"/>
      <c r="FD162" s="87"/>
      <c r="FE162" s="87"/>
      <c r="FF162" s="87"/>
      <c r="FG162" s="87"/>
      <c r="FH162" s="87"/>
      <c r="FI162" s="87"/>
      <c r="FJ162" s="87"/>
      <c r="FK162" s="87"/>
    </row>
    <row r="163" spans="1:167" hidden="1" outlineLevel="1">
      <c r="A163" s="31" t="str">
        <f t="shared" si="22"/>
        <v>cd_imv_out_certifvlr_cnsm_ano</v>
      </c>
      <c r="B163" s="76" t="s">
        <v>28</v>
      </c>
      <c r="C163" s="77" t="s">
        <v>54</v>
      </c>
      <c r="D163" s="73" t="s">
        <v>40</v>
      </c>
      <c r="E163" s="75" t="s">
        <v>120</v>
      </c>
      <c r="F163" s="73" t="s">
        <v>51</v>
      </c>
      <c r="G163" s="73" t="str">
        <f>INDEX(Auxiliar!$B$16:$B$23,MATCH(Plano_V1!H163,Auxiliar!$C$16:$C$23,0),1)</f>
        <v>6. Em implementação (re-especificação)</v>
      </c>
      <c r="H163" s="73">
        <f>VLOOKUP(A163,'Aux - pivots1'!$A:$B,2,0)</f>
        <v>6</v>
      </c>
      <c r="I163" s="93">
        <f>SUMIFS(Table1[Estimação (horas)],Table1[Tabela],Plano_V1!E163,Table1[Campo],Plano_V1!F163)</f>
        <v>4.0999999999999996</v>
      </c>
      <c r="J163" s="93">
        <f t="shared" si="20"/>
        <v>0.51249999999999996</v>
      </c>
      <c r="K163" s="96" t="s">
        <v>121</v>
      </c>
      <c r="L163" s="99">
        <f t="shared" si="21"/>
        <v>0.51249999999999996</v>
      </c>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100"/>
      <c r="AU163" s="87"/>
      <c r="AV163" s="87"/>
      <c r="AW163" s="87"/>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100"/>
      <c r="EJ163" s="100"/>
      <c r="EK163" s="100"/>
      <c r="EL163" s="100"/>
      <c r="EM163" s="100"/>
      <c r="EN163" s="100"/>
      <c r="EO163" s="100"/>
      <c r="EP163" s="87"/>
      <c r="EQ163" s="87"/>
      <c r="ER163" s="87"/>
      <c r="ES163" s="87"/>
      <c r="ET163" s="87"/>
      <c r="EU163" s="87"/>
      <c r="EV163" s="87"/>
      <c r="EW163" s="87"/>
      <c r="EX163" s="87"/>
      <c r="EY163" s="87"/>
      <c r="EZ163" s="87"/>
      <c r="FA163" s="87"/>
      <c r="FB163" s="87"/>
      <c r="FC163" s="87"/>
      <c r="FD163" s="87"/>
      <c r="FE163" s="87"/>
      <c r="FF163" s="87"/>
      <c r="FG163" s="87"/>
      <c r="FH163" s="87"/>
      <c r="FI163" s="87"/>
      <c r="FJ163" s="87"/>
      <c r="FK163" s="87"/>
    </row>
    <row r="164" spans="1:167" hidden="1" outlineLevel="1">
      <c r="A164" s="31" t="str">
        <f t="shared" si="22"/>
        <v>cd_imv_out_certifvlr_comp_trmc_cbrtrs</v>
      </c>
      <c r="B164" s="76" t="s">
        <v>28</v>
      </c>
      <c r="C164" s="77" t="s">
        <v>54</v>
      </c>
      <c r="D164" s="73" t="s">
        <v>40</v>
      </c>
      <c r="E164" s="75" t="s">
        <v>120</v>
      </c>
      <c r="F164" s="73" t="s">
        <v>145</v>
      </c>
      <c r="G164" s="73" t="str">
        <f>INDEX(Auxiliar!$B$16:$B$23,MATCH(Plano_V1!H164,Auxiliar!$C$16:$C$23,0),1)</f>
        <v>1. Concluído</v>
      </c>
      <c r="H164" s="73">
        <f>VLOOKUP(A164,'Aux - pivots1'!$A:$B,2,0)</f>
        <v>1</v>
      </c>
      <c r="I164" s="93">
        <f>SUMIFS(Table1[Estimação (horas)],Table1[Tabela],Plano_V1!E164,Table1[Campo],Plano_V1!F164)</f>
        <v>4.0999999999999996</v>
      </c>
      <c r="J164" s="93">
        <f t="shared" si="20"/>
        <v>0.51249999999999996</v>
      </c>
      <c r="K164" s="96" t="s">
        <v>121</v>
      </c>
      <c r="L164" s="99">
        <f t="shared" si="21"/>
        <v>0.51249999999999996</v>
      </c>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100"/>
      <c r="AU164" s="87"/>
      <c r="AV164" s="87"/>
      <c r="AW164" s="87"/>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100"/>
      <c r="EJ164" s="100"/>
      <c r="EK164" s="100"/>
      <c r="EL164" s="100"/>
      <c r="EM164" s="100"/>
      <c r="EN164" s="100"/>
      <c r="EO164" s="100"/>
      <c r="EP164" s="87"/>
      <c r="EQ164" s="87"/>
      <c r="ER164" s="87"/>
      <c r="ES164" s="87"/>
      <c r="ET164" s="87"/>
      <c r="EU164" s="87"/>
      <c r="EV164" s="87"/>
      <c r="EW164" s="87"/>
      <c r="EX164" s="87"/>
      <c r="EY164" s="87"/>
      <c r="EZ164" s="87"/>
      <c r="FA164" s="87"/>
      <c r="FB164" s="87"/>
      <c r="FC164" s="87"/>
      <c r="FD164" s="87"/>
      <c r="FE164" s="87"/>
      <c r="FF164" s="87"/>
      <c r="FG164" s="87"/>
      <c r="FH164" s="87"/>
      <c r="FI164" s="87"/>
      <c r="FJ164" s="87"/>
      <c r="FK164" s="87"/>
    </row>
    <row r="165" spans="1:167" hidden="1" outlineLevel="1">
      <c r="A165" s="31" t="str">
        <f t="shared" si="22"/>
        <v>cd_imv_out_certifvlr_comp_trmc_jnls</v>
      </c>
      <c r="B165" s="76" t="s">
        <v>28</v>
      </c>
      <c r="C165" s="77" t="s">
        <v>54</v>
      </c>
      <c r="D165" s="73" t="s">
        <v>40</v>
      </c>
      <c r="E165" s="75" t="s">
        <v>120</v>
      </c>
      <c r="F165" s="73" t="s">
        <v>146</v>
      </c>
      <c r="G165" s="73" t="str">
        <f>INDEX(Auxiliar!$B$16:$B$23,MATCH(Plano_V1!H165,Auxiliar!$C$16:$C$23,0),1)</f>
        <v>1. Concluído</v>
      </c>
      <c r="H165" s="73">
        <f>VLOOKUP(A165,'Aux - pivots1'!$A:$B,2,0)</f>
        <v>1</v>
      </c>
      <c r="I165" s="93">
        <f>SUMIFS(Table1[Estimação (horas)],Table1[Tabela],Plano_V1!E165,Table1[Campo],Plano_V1!F165)</f>
        <v>4.0999999999999996</v>
      </c>
      <c r="J165" s="93">
        <f t="shared" si="20"/>
        <v>0.51249999999999996</v>
      </c>
      <c r="K165" s="96" t="s">
        <v>121</v>
      </c>
      <c r="L165" s="99">
        <f t="shared" si="21"/>
        <v>0.51249999999999996</v>
      </c>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100"/>
      <c r="AU165" s="87"/>
      <c r="AV165" s="87"/>
      <c r="AW165" s="87"/>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100"/>
      <c r="EJ165" s="100"/>
      <c r="EK165" s="100"/>
      <c r="EL165" s="100"/>
      <c r="EM165" s="100"/>
      <c r="EN165" s="100"/>
      <c r="EO165" s="100"/>
      <c r="EP165" s="87"/>
      <c r="EQ165" s="87"/>
      <c r="ER165" s="87"/>
      <c r="ES165" s="87"/>
      <c r="ET165" s="87"/>
      <c r="EU165" s="87"/>
      <c r="EV165" s="87"/>
      <c r="EW165" s="87"/>
      <c r="EX165" s="87"/>
      <c r="EY165" s="87"/>
      <c r="EZ165" s="87"/>
      <c r="FA165" s="87"/>
      <c r="FB165" s="87"/>
      <c r="FC165" s="87"/>
      <c r="FD165" s="87"/>
      <c r="FE165" s="87"/>
      <c r="FF165" s="87"/>
      <c r="FG165" s="87"/>
      <c r="FH165" s="87"/>
      <c r="FI165" s="87"/>
      <c r="FJ165" s="87"/>
      <c r="FK165" s="87"/>
    </row>
    <row r="166" spans="1:167" hidden="1" outlineLevel="1">
      <c r="A166" s="31" t="str">
        <f t="shared" si="22"/>
        <v>cd_imv_out_certifvlr_comp_trmc_prds</v>
      </c>
      <c r="B166" s="76" t="s">
        <v>28</v>
      </c>
      <c r="C166" s="77" t="s">
        <v>54</v>
      </c>
      <c r="D166" s="73" t="s">
        <v>40</v>
      </c>
      <c r="E166" s="75" t="s">
        <v>120</v>
      </c>
      <c r="F166" s="73" t="s">
        <v>147</v>
      </c>
      <c r="G166" s="73" t="str">
        <f>INDEX(Auxiliar!$B$16:$B$23,MATCH(Plano_V1!H166,Auxiliar!$C$16:$C$23,0),1)</f>
        <v>1. Concluído</v>
      </c>
      <c r="H166" s="73">
        <f>VLOOKUP(A166,'Aux - pivots1'!$A:$B,2,0)</f>
        <v>1</v>
      </c>
      <c r="I166" s="93">
        <f>SUMIFS(Table1[Estimação (horas)],Table1[Tabela],Plano_V1!E166,Table1[Campo],Plano_V1!F166)</f>
        <v>4.0999999999999996</v>
      </c>
      <c r="J166" s="93">
        <f t="shared" si="20"/>
        <v>0.51249999999999996</v>
      </c>
      <c r="K166" s="96" t="s">
        <v>121</v>
      </c>
      <c r="L166" s="99">
        <f t="shared" si="21"/>
        <v>0.51249999999999996</v>
      </c>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100"/>
      <c r="AU166" s="87"/>
      <c r="AV166" s="87"/>
      <c r="AW166" s="87"/>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100"/>
      <c r="EJ166" s="100"/>
      <c r="EK166" s="100"/>
      <c r="EL166" s="100"/>
      <c r="EM166" s="100"/>
      <c r="EN166" s="100"/>
      <c r="EO166" s="100"/>
      <c r="EP166" s="87"/>
      <c r="EQ166" s="87"/>
      <c r="ER166" s="87"/>
      <c r="ES166" s="87"/>
      <c r="ET166" s="87"/>
      <c r="EU166" s="87"/>
      <c r="EV166" s="87"/>
      <c r="EW166" s="87"/>
      <c r="EX166" s="87"/>
      <c r="EY166" s="87"/>
      <c r="EZ166" s="87"/>
      <c r="FA166" s="87"/>
      <c r="FB166" s="87"/>
      <c r="FC166" s="87"/>
      <c r="FD166" s="87"/>
      <c r="FE166" s="87"/>
      <c r="FF166" s="87"/>
      <c r="FG166" s="87"/>
      <c r="FH166" s="87"/>
      <c r="FI166" s="87"/>
      <c r="FJ166" s="87"/>
      <c r="FK166" s="87"/>
    </row>
    <row r="167" spans="1:167" hidden="1" outlineLevel="1">
      <c r="A167" s="31" t="str">
        <f t="shared" si="22"/>
        <v>cd_imv_out_certifvlr_comp_trmc_pvmnts</v>
      </c>
      <c r="B167" s="76" t="s">
        <v>28</v>
      </c>
      <c r="C167" s="77" t="s">
        <v>54</v>
      </c>
      <c r="D167" s="73" t="s">
        <v>40</v>
      </c>
      <c r="E167" s="75" t="s">
        <v>120</v>
      </c>
      <c r="F167" s="73" t="s">
        <v>148</v>
      </c>
      <c r="G167" s="73" t="str">
        <f>INDEX(Auxiliar!$B$16:$B$23,MATCH(Plano_V1!H167,Auxiliar!$C$16:$C$23,0),1)</f>
        <v>1. Concluído</v>
      </c>
      <c r="H167" s="73">
        <f>VLOOKUP(A167,'Aux - pivots1'!$A:$B,2,0)</f>
        <v>1</v>
      </c>
      <c r="I167" s="93">
        <f>SUMIFS(Table1[Estimação (horas)],Table1[Tabela],Plano_V1!E167,Table1[Campo],Plano_V1!F167)</f>
        <v>4.0999999999999996</v>
      </c>
      <c r="J167" s="93">
        <f t="shared" si="20"/>
        <v>0.51249999999999996</v>
      </c>
      <c r="K167" s="96" t="s">
        <v>121</v>
      </c>
      <c r="L167" s="99">
        <f t="shared" si="21"/>
        <v>0.51249999999999996</v>
      </c>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100"/>
      <c r="AU167" s="87"/>
      <c r="AV167" s="87"/>
      <c r="AW167" s="87"/>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100"/>
      <c r="EJ167" s="100"/>
      <c r="EK167" s="100"/>
      <c r="EL167" s="100"/>
      <c r="EM167" s="100"/>
      <c r="EN167" s="100"/>
      <c r="EO167" s="100"/>
      <c r="EP167" s="87"/>
      <c r="EQ167" s="87"/>
      <c r="ER167" s="87"/>
      <c r="ES167" s="87"/>
      <c r="ET167" s="87"/>
      <c r="EU167" s="87"/>
      <c r="EV167" s="87"/>
      <c r="EW167" s="87"/>
      <c r="EX167" s="87"/>
      <c r="EY167" s="87"/>
      <c r="EZ167" s="87"/>
      <c r="FA167" s="87"/>
      <c r="FB167" s="87"/>
      <c r="FC167" s="87"/>
      <c r="FD167" s="87"/>
      <c r="FE167" s="87"/>
      <c r="FF167" s="87"/>
      <c r="FG167" s="87"/>
      <c r="FH167" s="87"/>
      <c r="FI167" s="87"/>
      <c r="FJ167" s="87"/>
      <c r="FK167" s="87"/>
    </row>
    <row r="168" spans="1:167" hidden="1" outlineLevel="1">
      <c r="A168" s="31" t="str">
        <f t="shared" si="22"/>
        <v>cd_imv_out_certifvlr_comp_trmc_sstmtcn_vntld</v>
      </c>
      <c r="B168" s="76" t="s">
        <v>28</v>
      </c>
      <c r="C168" s="77" t="s">
        <v>54</v>
      </c>
      <c r="D168" s="73" t="s">
        <v>40</v>
      </c>
      <c r="E168" s="75" t="s">
        <v>120</v>
      </c>
      <c r="F168" s="73" t="s">
        <v>149</v>
      </c>
      <c r="G168" s="73" t="str">
        <f>INDEX(Auxiliar!$B$16:$B$23,MATCH(Plano_V1!H168,Auxiliar!$C$16:$C$23,0),1)</f>
        <v>1. Concluído</v>
      </c>
      <c r="H168" s="73">
        <f>VLOOKUP(A168,'Aux - pivots1'!$A:$B,2,0)</f>
        <v>1</v>
      </c>
      <c r="I168" s="93">
        <f>SUMIFS(Table1[Estimação (horas)],Table1[Tabela],Plano_V1!E168,Table1[Campo],Plano_V1!F168)</f>
        <v>4.0999999999999996</v>
      </c>
      <c r="J168" s="93">
        <f t="shared" si="20"/>
        <v>0.51249999999999996</v>
      </c>
      <c r="K168" s="96" t="s">
        <v>121</v>
      </c>
      <c r="L168" s="99">
        <f t="shared" si="21"/>
        <v>0.51249999999999996</v>
      </c>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100"/>
      <c r="AU168" s="87"/>
      <c r="AV168" s="87"/>
      <c r="AW168" s="87"/>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100"/>
      <c r="EJ168" s="100"/>
      <c r="EK168" s="100"/>
      <c r="EL168" s="100"/>
      <c r="EM168" s="100"/>
      <c r="EN168" s="100"/>
      <c r="EO168" s="100"/>
      <c r="EP168" s="87"/>
      <c r="EQ168" s="87"/>
      <c r="ER168" s="87"/>
      <c r="ES168" s="87"/>
      <c r="ET168" s="87"/>
      <c r="EU168" s="87"/>
      <c r="EV168" s="87"/>
      <c r="EW168" s="87"/>
      <c r="EX168" s="87"/>
      <c r="EY168" s="87"/>
      <c r="EZ168" s="87"/>
      <c r="FA168" s="87"/>
      <c r="FB168" s="87"/>
      <c r="FC168" s="87"/>
      <c r="FD168" s="87"/>
      <c r="FE168" s="87"/>
      <c r="FF168" s="87"/>
      <c r="FG168" s="87"/>
      <c r="FH168" s="87"/>
      <c r="FI168" s="87"/>
      <c r="FJ168" s="87"/>
      <c r="FK168" s="87"/>
    </row>
    <row r="169" spans="1:167" hidden="1" outlineLevel="1">
      <c r="A169" s="31" t="str">
        <f t="shared" si="22"/>
        <v>cd_imv_out_certifvlr_cst_ttl_invstmnt_estmd</v>
      </c>
      <c r="B169" s="76" t="s">
        <v>28</v>
      </c>
      <c r="C169" s="77" t="s">
        <v>54</v>
      </c>
      <c r="D169" s="73" t="s">
        <v>40</v>
      </c>
      <c r="E169" s="75" t="s">
        <v>120</v>
      </c>
      <c r="F169" s="73" t="s">
        <v>150</v>
      </c>
      <c r="G169" s="73" t="str">
        <f>INDEX(Auxiliar!$B$16:$B$23,MATCH(Plano_V1!H169,Auxiliar!$C$16:$C$23,0),1)</f>
        <v>1. Concluído</v>
      </c>
      <c r="H169" s="73">
        <f>VLOOKUP(A169,'Aux - pivots1'!$A:$B,2,0)</f>
        <v>1</v>
      </c>
      <c r="I169" s="93">
        <f>SUMIFS(Table1[Estimação (horas)],Table1[Tabela],Plano_V1!E169,Table1[Campo],Plano_V1!F169)</f>
        <v>4.0999999999999996</v>
      </c>
      <c r="J169" s="93">
        <f t="shared" si="20"/>
        <v>0.51249999999999996</v>
      </c>
      <c r="K169" s="96" t="s">
        <v>121</v>
      </c>
      <c r="L169" s="99">
        <f t="shared" si="21"/>
        <v>0.51249999999999996</v>
      </c>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100"/>
      <c r="AU169" s="87"/>
      <c r="AV169" s="87"/>
      <c r="AW169" s="87"/>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100"/>
      <c r="EJ169" s="100"/>
      <c r="EK169" s="100"/>
      <c r="EL169" s="100"/>
      <c r="EM169" s="100"/>
      <c r="EN169" s="100"/>
      <c r="EO169" s="100"/>
      <c r="EP169" s="87"/>
      <c r="EQ169" s="87"/>
      <c r="ER169" s="87"/>
      <c r="ES169" s="87"/>
      <c r="ET169" s="87"/>
      <c r="EU169" s="87"/>
      <c r="EV169" s="87"/>
      <c r="EW169" s="87"/>
      <c r="EX169" s="87"/>
      <c r="EY169" s="87"/>
      <c r="EZ169" s="87"/>
      <c r="FA169" s="87"/>
      <c r="FB169" s="87"/>
      <c r="FC169" s="87"/>
      <c r="FD169" s="87"/>
      <c r="FE169" s="87"/>
      <c r="FF169" s="87"/>
      <c r="FG169" s="87"/>
      <c r="FH169" s="87"/>
      <c r="FI169" s="87"/>
      <c r="FJ169" s="87"/>
      <c r="FK169" s="87"/>
    </row>
    <row r="170" spans="1:167" hidden="1" outlineLevel="1">
      <c r="A170" s="31" t="str">
        <f t="shared" si="22"/>
        <v>cd_imv_out_certifvlr_drc_estc_aqcmnt</v>
      </c>
      <c r="B170" s="76" t="s">
        <v>28</v>
      </c>
      <c r="C170" s="77" t="s">
        <v>54</v>
      </c>
      <c r="D170" s="73" t="s">
        <v>40</v>
      </c>
      <c r="E170" s="75" t="s">
        <v>120</v>
      </c>
      <c r="F170" s="73" t="s">
        <v>151</v>
      </c>
      <c r="G170" s="73" t="str">
        <f>INDEX(Auxiliar!$B$16:$B$23,MATCH(Plano_V1!H170,Auxiliar!$C$16:$C$23,0),1)</f>
        <v>1. Concluído</v>
      </c>
      <c r="H170" s="73">
        <f>VLOOKUP(A170,'Aux - pivots1'!$A:$B,2,0)</f>
        <v>1</v>
      </c>
      <c r="I170" s="93">
        <f>SUMIFS(Table1[Estimação (horas)],Table1[Tabela],Plano_V1!E170,Table1[Campo],Plano_V1!F170)</f>
        <v>4.0999999999999996</v>
      </c>
      <c r="J170" s="93">
        <f t="shared" si="20"/>
        <v>0.51249999999999996</v>
      </c>
      <c r="K170" s="96" t="s">
        <v>121</v>
      </c>
      <c r="L170" s="99">
        <f t="shared" si="21"/>
        <v>0.51249999999999996</v>
      </c>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100"/>
      <c r="AU170" s="87"/>
      <c r="AV170" s="87"/>
      <c r="AW170" s="87"/>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100"/>
      <c r="EJ170" s="100"/>
      <c r="EK170" s="100"/>
      <c r="EL170" s="100"/>
      <c r="EM170" s="100"/>
      <c r="EN170" s="100"/>
      <c r="EO170" s="100"/>
      <c r="EP170" s="87"/>
      <c r="EQ170" s="87"/>
      <c r="ER170" s="87"/>
      <c r="ES170" s="87"/>
      <c r="ET170" s="87"/>
      <c r="EU170" s="87"/>
      <c r="EV170" s="87"/>
      <c r="EW170" s="87"/>
      <c r="EX170" s="87"/>
      <c r="EY170" s="87"/>
      <c r="EZ170" s="87"/>
      <c r="FA170" s="87"/>
      <c r="FB170" s="87"/>
      <c r="FC170" s="87"/>
      <c r="FD170" s="87"/>
      <c r="FE170" s="87"/>
      <c r="FF170" s="87"/>
      <c r="FG170" s="87"/>
      <c r="FH170" s="87"/>
      <c r="FI170" s="87"/>
      <c r="FJ170" s="87"/>
      <c r="FK170" s="87"/>
    </row>
    <row r="171" spans="1:167" hidden="1" outlineLevel="1">
      <c r="A171" s="31" t="str">
        <f t="shared" si="22"/>
        <v>cd_imv_out_certifvlr_drc_estc_arrfcmnt</v>
      </c>
      <c r="B171" s="76" t="s">
        <v>28</v>
      </c>
      <c r="C171" s="77" t="s">
        <v>54</v>
      </c>
      <c r="D171" s="73" t="s">
        <v>40</v>
      </c>
      <c r="E171" s="75" t="s">
        <v>120</v>
      </c>
      <c r="F171" s="73" t="s">
        <v>152</v>
      </c>
      <c r="G171" s="73" t="str">
        <f>INDEX(Auxiliar!$B$16:$B$23,MATCH(Plano_V1!H171,Auxiliar!$C$16:$C$23,0),1)</f>
        <v>1. Concluído</v>
      </c>
      <c r="H171" s="73">
        <f>VLOOKUP(A171,'Aux - pivots1'!$A:$B,2,0)</f>
        <v>1</v>
      </c>
      <c r="I171" s="93">
        <f>SUMIFS(Table1[Estimação (horas)],Table1[Tabela],Plano_V1!E171,Table1[Campo],Plano_V1!F171)</f>
        <v>4.0999999999999996</v>
      </c>
      <c r="J171" s="93">
        <f t="shared" ref="J171:J196" si="23">I171/8</f>
        <v>0.51249999999999996</v>
      </c>
      <c r="K171" s="96" t="s">
        <v>121</v>
      </c>
      <c r="L171" s="99">
        <f t="shared" si="21"/>
        <v>0.51249999999999996</v>
      </c>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100"/>
      <c r="AU171" s="87"/>
      <c r="AV171" s="87"/>
      <c r="AW171" s="87"/>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100"/>
      <c r="EJ171" s="100"/>
      <c r="EK171" s="100"/>
      <c r="EL171" s="100"/>
      <c r="EM171" s="100"/>
      <c r="EN171" s="100"/>
      <c r="EO171" s="100"/>
      <c r="EP171" s="87"/>
      <c r="EQ171" s="87"/>
      <c r="ER171" s="87"/>
      <c r="ES171" s="87"/>
      <c r="ET171" s="87"/>
      <c r="EU171" s="87"/>
      <c r="EV171" s="87"/>
      <c r="EW171" s="87"/>
      <c r="EX171" s="87"/>
      <c r="EY171" s="87"/>
      <c r="EZ171" s="87"/>
      <c r="FA171" s="87"/>
      <c r="FB171" s="87"/>
      <c r="FC171" s="87"/>
      <c r="FD171" s="87"/>
      <c r="FE171" s="87"/>
      <c r="FF171" s="87"/>
      <c r="FG171" s="87"/>
      <c r="FH171" s="87"/>
      <c r="FI171" s="87"/>
      <c r="FJ171" s="87"/>
      <c r="FK171" s="87"/>
    </row>
    <row r="172" spans="1:167" hidden="1" outlineLevel="1">
      <c r="A172" s="31" t="str">
        <f t="shared" si="22"/>
        <v>cd_imv_out_certifvlr_emss_ano</v>
      </c>
      <c r="B172" s="76" t="s">
        <v>28</v>
      </c>
      <c r="C172" s="77" t="s">
        <v>54</v>
      </c>
      <c r="D172" s="73" t="s">
        <v>40</v>
      </c>
      <c r="E172" s="75" t="s">
        <v>120</v>
      </c>
      <c r="F172" s="73" t="s">
        <v>52</v>
      </c>
      <c r="G172" s="73" t="str">
        <f>INDEX(Auxiliar!$B$16:$B$23,MATCH(Plano_V1!H172,Auxiliar!$C$16:$C$23,0),1)</f>
        <v>6. Em implementação (re-especificação)</v>
      </c>
      <c r="H172" s="73">
        <f>VLOOKUP(A172,'Aux - pivots1'!$A:$B,2,0)</f>
        <v>6</v>
      </c>
      <c r="I172" s="93">
        <f>SUMIFS(Table1[Estimação (horas)],Table1[Tabela],Plano_V1!E172,Table1[Campo],Plano_V1!F172)</f>
        <v>4.0999999999999996</v>
      </c>
      <c r="J172" s="93">
        <f t="shared" si="23"/>
        <v>0.51249999999999996</v>
      </c>
      <c r="K172" s="96" t="s">
        <v>121</v>
      </c>
      <c r="L172" s="99">
        <f t="shared" si="21"/>
        <v>0.51249999999999996</v>
      </c>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100"/>
      <c r="AU172" s="87"/>
      <c r="AV172" s="87"/>
      <c r="AW172" s="87"/>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100"/>
      <c r="EJ172" s="100"/>
      <c r="EK172" s="100"/>
      <c r="EL172" s="100"/>
      <c r="EM172" s="100"/>
      <c r="EN172" s="100"/>
      <c r="EO172" s="100"/>
      <c r="EP172" s="87"/>
      <c r="EQ172" s="87"/>
      <c r="ER172" s="87"/>
      <c r="ES172" s="87"/>
      <c r="ET172" s="87"/>
      <c r="EU172" s="87"/>
      <c r="EV172" s="87"/>
      <c r="EW172" s="87"/>
      <c r="EX172" s="87"/>
      <c r="EY172" s="87"/>
      <c r="EZ172" s="87"/>
      <c r="FA172" s="87"/>
      <c r="FB172" s="87"/>
      <c r="FC172" s="87"/>
      <c r="FD172" s="87"/>
      <c r="FE172" s="87"/>
      <c r="FF172" s="87"/>
      <c r="FG172" s="87"/>
      <c r="FH172" s="87"/>
      <c r="FI172" s="87"/>
      <c r="FJ172" s="87"/>
      <c r="FK172" s="87"/>
    </row>
    <row r="173" spans="1:167" hidden="1" outlineLevel="1">
      <c r="A173" s="31" t="str">
        <f t="shared" si="22"/>
        <v>cd_imv_out_certifvlr_emss_co2</v>
      </c>
      <c r="B173" s="76" t="s">
        <v>28</v>
      </c>
      <c r="C173" s="77" t="s">
        <v>54</v>
      </c>
      <c r="D173" s="73" t="s">
        <v>40</v>
      </c>
      <c r="E173" s="75" t="s">
        <v>120</v>
      </c>
      <c r="F173" s="73" t="s">
        <v>153</v>
      </c>
      <c r="G173" s="73" t="str">
        <f>INDEX(Auxiliar!$B$16:$B$23,MATCH(Plano_V1!H173,Auxiliar!$C$16:$C$23,0),1)</f>
        <v>1. Concluído</v>
      </c>
      <c r="H173" s="73">
        <f>VLOOKUP(A173,'Aux - pivots1'!$A:$B,2,0)</f>
        <v>1</v>
      </c>
      <c r="I173" s="93">
        <f>SUMIFS(Table1[Estimação (horas)],Table1[Tabela],Plano_V1!E173,Table1[Campo],Plano_V1!F173)</f>
        <v>4.0999999999999996</v>
      </c>
      <c r="J173" s="93">
        <f t="shared" si="23"/>
        <v>0.51249999999999996</v>
      </c>
      <c r="K173" s="96" t="s">
        <v>121</v>
      </c>
      <c r="L173" s="99">
        <f t="shared" si="21"/>
        <v>0.51249999999999996</v>
      </c>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100"/>
      <c r="AU173" s="87"/>
      <c r="AV173" s="87"/>
      <c r="AW173" s="87"/>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100"/>
      <c r="EJ173" s="100"/>
      <c r="EK173" s="100"/>
      <c r="EL173" s="100"/>
      <c r="EM173" s="100"/>
      <c r="EN173" s="100"/>
      <c r="EO173" s="100"/>
      <c r="EP173" s="87"/>
      <c r="EQ173" s="87"/>
      <c r="ER173" s="87"/>
      <c r="ES173" s="87"/>
      <c r="ET173" s="87"/>
      <c r="EU173" s="87"/>
      <c r="EV173" s="87"/>
      <c r="EW173" s="87"/>
      <c r="EX173" s="87"/>
      <c r="EY173" s="87"/>
      <c r="EZ173" s="87"/>
      <c r="FA173" s="87"/>
      <c r="FB173" s="87"/>
      <c r="FC173" s="87"/>
      <c r="FD173" s="87"/>
      <c r="FE173" s="87"/>
      <c r="FF173" s="87"/>
      <c r="FG173" s="87"/>
      <c r="FH173" s="87"/>
      <c r="FI173" s="87"/>
      <c r="FJ173" s="87"/>
      <c r="FK173" s="87"/>
    </row>
    <row r="174" spans="1:167" hidden="1" outlineLevel="1">
      <c r="A174" s="31" t="str">
        <f t="shared" si="22"/>
        <v>cd_imv_out_certifvlr_enrg_eltc_vntldr</v>
      </c>
      <c r="B174" s="76" t="s">
        <v>28</v>
      </c>
      <c r="C174" s="77" t="s">
        <v>54</v>
      </c>
      <c r="D174" s="73" t="s">
        <v>40</v>
      </c>
      <c r="E174" s="75" t="s">
        <v>120</v>
      </c>
      <c r="F174" s="73" t="s">
        <v>154</v>
      </c>
      <c r="G174" s="73" t="str">
        <f>INDEX(Auxiliar!$B$16:$B$23,MATCH(Plano_V1!H174,Auxiliar!$C$16:$C$23,0),1)</f>
        <v>1. Concluído</v>
      </c>
      <c r="H174" s="73">
        <f>VLOOKUP(A174,'Aux - pivots1'!$A:$B,2,0)</f>
        <v>1</v>
      </c>
      <c r="I174" s="93">
        <f>SUMIFS(Table1[Estimação (horas)],Table1[Tabela],Plano_V1!E174,Table1[Campo],Plano_V1!F174)</f>
        <v>4.0999999999999996</v>
      </c>
      <c r="J174" s="93">
        <f t="shared" si="23"/>
        <v>0.51249999999999996</v>
      </c>
      <c r="K174" s="96" t="s">
        <v>121</v>
      </c>
      <c r="L174" s="99">
        <f t="shared" si="21"/>
        <v>0.51249999999999996</v>
      </c>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100"/>
      <c r="AU174" s="87"/>
      <c r="AV174" s="87"/>
      <c r="AW174" s="87"/>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100"/>
      <c r="EJ174" s="100"/>
      <c r="EK174" s="100"/>
      <c r="EL174" s="100"/>
      <c r="EM174" s="100"/>
      <c r="EN174" s="100"/>
      <c r="EO174" s="100"/>
      <c r="EP174" s="87"/>
      <c r="EQ174" s="87"/>
      <c r="ER174" s="87"/>
      <c r="ES174" s="87"/>
      <c r="ET174" s="87"/>
      <c r="EU174" s="87"/>
      <c r="EV174" s="87"/>
      <c r="EW174" s="87"/>
      <c r="EX174" s="87"/>
      <c r="EY174" s="87"/>
      <c r="EZ174" s="87"/>
      <c r="FA174" s="87"/>
      <c r="FB174" s="87"/>
      <c r="FC174" s="87"/>
      <c r="FD174" s="87"/>
      <c r="FE174" s="87"/>
      <c r="FF174" s="87"/>
      <c r="FG174" s="87"/>
      <c r="FH174" s="87"/>
      <c r="FI174" s="87"/>
      <c r="FJ174" s="87"/>
      <c r="FK174" s="87"/>
    </row>
    <row r="175" spans="1:167" hidden="1" outlineLevel="1">
      <c r="A175" s="31" t="str">
        <f t="shared" si="22"/>
        <v>cd_imv_out_certifvlr_enrg_fnts_rnvv_otr_uso</v>
      </c>
      <c r="B175" s="76" t="s">
        <v>28</v>
      </c>
      <c r="C175" s="77" t="s">
        <v>54</v>
      </c>
      <c r="D175" s="73" t="s">
        <v>40</v>
      </c>
      <c r="E175" s="75" t="s">
        <v>120</v>
      </c>
      <c r="F175" s="73" t="s">
        <v>155</v>
      </c>
      <c r="G175" s="73" t="str">
        <f>INDEX(Auxiliar!$B$16:$B$23,MATCH(Plano_V1!H175,Auxiliar!$C$16:$C$23,0),1)</f>
        <v>1. Concluído</v>
      </c>
      <c r="H175" s="73">
        <f>VLOOKUP(A175,'Aux - pivots1'!$A:$B,2,0)</f>
        <v>1</v>
      </c>
      <c r="I175" s="93">
        <f>SUMIFS(Table1[Estimação (horas)],Table1[Tabela],Plano_V1!E175,Table1[Campo],Plano_V1!F175)</f>
        <v>4.0999999999999996</v>
      </c>
      <c r="J175" s="93">
        <f t="shared" si="23"/>
        <v>0.51249999999999996</v>
      </c>
      <c r="K175" s="96" t="s">
        <v>121</v>
      </c>
      <c r="L175" s="99">
        <f t="shared" si="21"/>
        <v>0.51249999999999996</v>
      </c>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100"/>
      <c r="AU175" s="87"/>
      <c r="AV175" s="87"/>
      <c r="AW175" s="87"/>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100"/>
      <c r="EJ175" s="100"/>
      <c r="EK175" s="100"/>
      <c r="EL175" s="100"/>
      <c r="EM175" s="100"/>
      <c r="EN175" s="100"/>
      <c r="EO175" s="100"/>
      <c r="EP175" s="87"/>
      <c r="EQ175" s="87"/>
      <c r="ER175" s="87"/>
      <c r="ES175" s="87"/>
      <c r="ET175" s="87"/>
      <c r="EU175" s="87"/>
      <c r="EV175" s="87"/>
      <c r="EW175" s="87"/>
      <c r="EX175" s="87"/>
      <c r="EY175" s="87"/>
      <c r="EZ175" s="87"/>
      <c r="FA175" s="87"/>
      <c r="FB175" s="87"/>
      <c r="FC175" s="87"/>
      <c r="FD175" s="87"/>
      <c r="FE175" s="87"/>
      <c r="FF175" s="87"/>
      <c r="FG175" s="87"/>
      <c r="FH175" s="87"/>
      <c r="FI175" s="87"/>
      <c r="FJ175" s="87"/>
      <c r="FK175" s="87"/>
    </row>
    <row r="176" spans="1:167" hidden="1" outlineLevel="1">
      <c r="A176" s="31" t="str">
        <f t="shared" si="22"/>
        <v>cd_imv_out_certifvlr_enrg_fnts_rnvv_regl</v>
      </c>
      <c r="B176" s="76" t="s">
        <v>28</v>
      </c>
      <c r="C176" s="77" t="s">
        <v>54</v>
      </c>
      <c r="D176" s="73" t="s">
        <v>40</v>
      </c>
      <c r="E176" s="75" t="s">
        <v>120</v>
      </c>
      <c r="F176" s="73" t="s">
        <v>156</v>
      </c>
      <c r="G176" s="73" t="str">
        <f>INDEX(Auxiliar!$B$16:$B$23,MATCH(Plano_V1!H176,Auxiliar!$C$16:$C$23,0),1)</f>
        <v>1. Concluído</v>
      </c>
      <c r="H176" s="73">
        <f>VLOOKUP(A176,'Aux - pivots1'!$A:$B,2,0)</f>
        <v>1</v>
      </c>
      <c r="I176" s="93">
        <f>SUMIFS(Table1[Estimação (horas)],Table1[Tabela],Plano_V1!E176,Table1[Campo],Plano_V1!F176)</f>
        <v>4.0999999999999996</v>
      </c>
      <c r="J176" s="93">
        <f t="shared" si="23"/>
        <v>0.51249999999999996</v>
      </c>
      <c r="K176" s="96" t="s">
        <v>121</v>
      </c>
      <c r="L176" s="99">
        <f t="shared" si="21"/>
        <v>0.51249999999999996</v>
      </c>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100"/>
      <c r="AU176" s="87"/>
      <c r="AV176" s="87"/>
      <c r="AW176" s="87"/>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100"/>
      <c r="EJ176" s="100"/>
      <c r="EK176" s="100"/>
      <c r="EL176" s="100"/>
      <c r="EM176" s="100"/>
      <c r="EN176" s="100"/>
      <c r="EO176" s="100"/>
      <c r="EP176" s="87"/>
      <c r="EQ176" s="87"/>
      <c r="ER176" s="87"/>
      <c r="ES176" s="87"/>
      <c r="ET176" s="87"/>
      <c r="EU176" s="87"/>
      <c r="EV176" s="87"/>
      <c r="EW176" s="87"/>
      <c r="EX176" s="87"/>
      <c r="EY176" s="87"/>
      <c r="EZ176" s="87"/>
      <c r="FA176" s="87"/>
      <c r="FB176" s="87"/>
      <c r="FC176" s="87"/>
      <c r="FD176" s="87"/>
      <c r="FE176" s="87"/>
      <c r="FF176" s="87"/>
      <c r="FG176" s="87"/>
      <c r="FH176" s="87"/>
      <c r="FI176" s="87"/>
      <c r="FJ176" s="87"/>
      <c r="FK176" s="87"/>
    </row>
    <row r="177" spans="1:167" hidden="1" outlineLevel="1">
      <c r="A177" s="31" t="str">
        <f t="shared" si="22"/>
        <v>cd_imv_out_certifvlr_enrg_renew</v>
      </c>
      <c r="B177" s="76" t="s">
        <v>28</v>
      </c>
      <c r="C177" s="77" t="s">
        <v>54</v>
      </c>
      <c r="D177" s="73" t="s">
        <v>40</v>
      </c>
      <c r="E177" s="75" t="s">
        <v>120</v>
      </c>
      <c r="F177" s="73" t="s">
        <v>157</v>
      </c>
      <c r="G177" s="73" t="str">
        <f>INDEX(Auxiliar!$B$16:$B$23,MATCH(Plano_V1!H177,Auxiliar!$C$16:$C$23,0),1)</f>
        <v>6. Em implementação (re-especificação)</v>
      </c>
      <c r="H177" s="73">
        <f>VLOOKUP(A177,'Aux - pivots1'!$A:$B,2,0)</f>
        <v>6</v>
      </c>
      <c r="I177" s="93">
        <f>SUMIFS(Table1[Estimação (horas)],Table1[Tabela],Plano_V1!E177,Table1[Campo],Plano_V1!F177)</f>
        <v>4.0999999999999996</v>
      </c>
      <c r="J177" s="93">
        <f t="shared" si="23"/>
        <v>0.51249999999999996</v>
      </c>
      <c r="K177" s="96" t="s">
        <v>121</v>
      </c>
      <c r="L177" s="99">
        <f t="shared" si="21"/>
        <v>0.51249999999999996</v>
      </c>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100"/>
      <c r="AU177" s="87"/>
      <c r="AV177" s="87"/>
      <c r="AW177" s="87"/>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100"/>
      <c r="EJ177" s="100"/>
      <c r="EK177" s="100"/>
      <c r="EL177" s="100"/>
      <c r="EM177" s="100"/>
      <c r="EN177" s="100"/>
      <c r="EO177" s="100"/>
      <c r="EP177" s="87"/>
      <c r="EQ177" s="87"/>
      <c r="ER177" s="87"/>
      <c r="ES177" s="87"/>
      <c r="ET177" s="87"/>
      <c r="EU177" s="87"/>
      <c r="EV177" s="87"/>
      <c r="EW177" s="87"/>
      <c r="EX177" s="87"/>
      <c r="EY177" s="87"/>
      <c r="EZ177" s="87"/>
      <c r="FA177" s="87"/>
      <c r="FB177" s="87"/>
      <c r="FC177" s="87"/>
      <c r="FD177" s="87"/>
      <c r="FE177" s="87"/>
      <c r="FF177" s="87"/>
      <c r="FG177" s="87"/>
      <c r="FH177" s="87"/>
      <c r="FI177" s="87"/>
      <c r="FJ177" s="87"/>
      <c r="FK177" s="87"/>
    </row>
    <row r="178" spans="1:167" hidden="1" outlineLevel="1">
      <c r="A178" s="31" t="str">
        <f t="shared" si="22"/>
        <v>cd_imv_out_certifvlr_enrg_utl_agua_qt_snt</v>
      </c>
      <c r="B178" s="76" t="s">
        <v>28</v>
      </c>
      <c r="C178" s="77" t="s">
        <v>54</v>
      </c>
      <c r="D178" s="73" t="s">
        <v>40</v>
      </c>
      <c r="E178" s="75" t="s">
        <v>120</v>
      </c>
      <c r="F178" s="73" t="s">
        <v>158</v>
      </c>
      <c r="G178" s="73" t="str">
        <f>INDEX(Auxiliar!$B$16:$B$23,MATCH(Plano_V1!H178,Auxiliar!$C$16:$C$23,0),1)</f>
        <v>1. Concluído</v>
      </c>
      <c r="H178" s="73">
        <f>VLOOKUP(A178,'Aux - pivots1'!$A:$B,2,0)</f>
        <v>1</v>
      </c>
      <c r="I178" s="93">
        <f>SUMIFS(Table1[Estimação (horas)],Table1[Tabela],Plano_V1!E178,Table1[Campo],Plano_V1!F178)</f>
        <v>4.0999999999999996</v>
      </c>
      <c r="J178" s="93">
        <f t="shared" si="23"/>
        <v>0.51249999999999996</v>
      </c>
      <c r="K178" s="96" t="s">
        <v>121</v>
      </c>
      <c r="L178" s="99">
        <f t="shared" si="21"/>
        <v>0.51249999999999996</v>
      </c>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100"/>
      <c r="AU178" s="87"/>
      <c r="AV178" s="87"/>
      <c r="AW178" s="87"/>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100"/>
      <c r="EJ178" s="100"/>
      <c r="EK178" s="100"/>
      <c r="EL178" s="100"/>
      <c r="EM178" s="100"/>
      <c r="EN178" s="100"/>
      <c r="EO178" s="100"/>
      <c r="EP178" s="87"/>
      <c r="EQ178" s="87"/>
      <c r="ER178" s="87"/>
      <c r="ES178" s="87"/>
      <c r="ET178" s="87"/>
      <c r="EU178" s="87"/>
      <c r="EV178" s="87"/>
      <c r="EW178" s="87"/>
      <c r="EX178" s="87"/>
      <c r="EY178" s="87"/>
      <c r="EZ178" s="87"/>
      <c r="FA178" s="87"/>
      <c r="FB178" s="87"/>
      <c r="FC178" s="87"/>
      <c r="FD178" s="87"/>
      <c r="FE178" s="87"/>
      <c r="FF178" s="87"/>
      <c r="FG178" s="87"/>
      <c r="FH178" s="87"/>
      <c r="FI178" s="87"/>
      <c r="FJ178" s="87"/>
      <c r="FK178" s="87"/>
    </row>
    <row r="179" spans="1:167" hidden="1" outlineLevel="1">
      <c r="A179" s="31" t="str">
        <f t="shared" si="22"/>
        <v>cd_imv_out_certifvlr_enrg_utl_arrfcmnt</v>
      </c>
      <c r="B179" s="76" t="s">
        <v>28</v>
      </c>
      <c r="C179" s="77" t="s">
        <v>54</v>
      </c>
      <c r="D179" s="73" t="s">
        <v>40</v>
      </c>
      <c r="E179" s="75" t="s">
        <v>120</v>
      </c>
      <c r="F179" s="73" t="s">
        <v>159</v>
      </c>
      <c r="G179" s="73" t="str">
        <f>INDEX(Auxiliar!$B$16:$B$23,MATCH(Plano_V1!H179,Auxiliar!$C$16:$C$23,0),1)</f>
        <v>1. Concluído</v>
      </c>
      <c r="H179" s="73">
        <f>VLOOKUP(A179,'Aux - pivots1'!$A:$B,2,0)</f>
        <v>1</v>
      </c>
      <c r="I179" s="93">
        <f>SUMIFS(Table1[Estimação (horas)],Table1[Tabela],Plano_V1!E179,Table1[Campo],Plano_V1!F179)</f>
        <v>4.0999999999999996</v>
      </c>
      <c r="J179" s="93">
        <f t="shared" si="23"/>
        <v>0.51249999999999996</v>
      </c>
      <c r="K179" s="96" t="s">
        <v>121</v>
      </c>
      <c r="L179" s="99">
        <f t="shared" si="21"/>
        <v>0.51249999999999996</v>
      </c>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100"/>
      <c r="AU179" s="87"/>
      <c r="AV179" s="87"/>
      <c r="AW179" s="87"/>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100"/>
      <c r="EJ179" s="100"/>
      <c r="EK179" s="100"/>
      <c r="EL179" s="100"/>
      <c r="EM179" s="100"/>
      <c r="EN179" s="100"/>
      <c r="EO179" s="100"/>
      <c r="EP179" s="87"/>
      <c r="EQ179" s="87"/>
      <c r="ER179" s="87"/>
      <c r="ES179" s="87"/>
      <c r="ET179" s="87"/>
      <c r="EU179" s="87"/>
      <c r="EV179" s="87"/>
      <c r="EW179" s="87"/>
      <c r="EX179" s="87"/>
      <c r="EY179" s="87"/>
      <c r="EZ179" s="87"/>
      <c r="FA179" s="87"/>
      <c r="FB179" s="87"/>
      <c r="FC179" s="87"/>
      <c r="FD179" s="87"/>
      <c r="FE179" s="87"/>
      <c r="FF179" s="87"/>
      <c r="FG179" s="87"/>
      <c r="FH179" s="87"/>
      <c r="FI179" s="87"/>
      <c r="FJ179" s="87"/>
      <c r="FK179" s="87"/>
    </row>
    <row r="180" spans="1:167" hidden="1" outlineLevel="1">
      <c r="A180" s="31" t="str">
        <f t="shared" si="22"/>
        <v>cd_imv_out_certifvlr_grs_dia</v>
      </c>
      <c r="B180" s="76" t="s">
        <v>28</v>
      </c>
      <c r="C180" s="77" t="s">
        <v>54</v>
      </c>
      <c r="D180" s="73" t="s">
        <v>40</v>
      </c>
      <c r="E180" s="75" t="s">
        <v>120</v>
      </c>
      <c r="F180" s="73" t="s">
        <v>160</v>
      </c>
      <c r="G180" s="73" t="str">
        <f>INDEX(Auxiliar!$B$16:$B$23,MATCH(Plano_V1!H180,Auxiliar!$C$16:$C$23,0),1)</f>
        <v>1. Concluído</v>
      </c>
      <c r="H180" s="73">
        <f>VLOOKUP(A180,'Aux - pivots1'!$A:$B,2,0)</f>
        <v>1</v>
      </c>
      <c r="I180" s="93">
        <f>SUMIFS(Table1[Estimação (horas)],Table1[Tabela],Plano_V1!E180,Table1[Campo],Plano_V1!F180)</f>
        <v>4.0999999999999996</v>
      </c>
      <c r="J180" s="93">
        <f t="shared" si="23"/>
        <v>0.51249999999999996</v>
      </c>
      <c r="K180" s="96" t="s">
        <v>121</v>
      </c>
      <c r="L180" s="99">
        <f t="shared" si="21"/>
        <v>0.51249999999999996</v>
      </c>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100"/>
      <c r="AU180" s="87"/>
      <c r="AV180" s="87"/>
      <c r="AW180" s="87"/>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100"/>
      <c r="EJ180" s="100"/>
      <c r="EK180" s="100"/>
      <c r="EL180" s="100"/>
      <c r="EM180" s="100"/>
      <c r="EN180" s="100"/>
      <c r="EO180" s="100"/>
      <c r="EP180" s="87"/>
      <c r="EQ180" s="87"/>
      <c r="ER180" s="87"/>
      <c r="ES180" s="87"/>
      <c r="ET180" s="87"/>
      <c r="EU180" s="87"/>
      <c r="EV180" s="87"/>
      <c r="EW180" s="87"/>
      <c r="EX180" s="87"/>
      <c r="EY180" s="87"/>
      <c r="EZ180" s="87"/>
      <c r="FA180" s="87"/>
      <c r="FB180" s="87"/>
      <c r="FC180" s="87"/>
      <c r="FD180" s="87"/>
      <c r="FE180" s="87"/>
      <c r="FF180" s="87"/>
      <c r="FG180" s="87"/>
      <c r="FH180" s="87"/>
      <c r="FI180" s="87"/>
      <c r="FJ180" s="87"/>
      <c r="FK180" s="87"/>
    </row>
    <row r="181" spans="1:167" hidden="1" outlineLevel="1">
      <c r="A181" s="31" t="str">
        <f t="shared" si="22"/>
        <v>cd_imv_out_certifvlr_ncssdd_enrg_prmr</v>
      </c>
      <c r="B181" s="76" t="s">
        <v>28</v>
      </c>
      <c r="C181" s="77" t="s">
        <v>54</v>
      </c>
      <c r="D181" s="73" t="s">
        <v>40</v>
      </c>
      <c r="E181" s="75" t="s">
        <v>120</v>
      </c>
      <c r="F181" s="73" t="s">
        <v>161</v>
      </c>
      <c r="G181" s="73" t="str">
        <f>INDEX(Auxiliar!$B$16:$B$23,MATCH(Plano_V1!H181,Auxiliar!$C$16:$C$23,0),1)</f>
        <v>6. Em implementação (re-especificação)</v>
      </c>
      <c r="H181" s="73">
        <f>VLOOKUP(A181,'Aux - pivots1'!$A:$B,2,0)</f>
        <v>6</v>
      </c>
      <c r="I181" s="93">
        <f>SUMIFS(Table1[Estimação (horas)],Table1[Tabela],Plano_V1!E181,Table1[Campo],Plano_V1!F181)</f>
        <v>4.0999999999999996</v>
      </c>
      <c r="J181" s="93">
        <f t="shared" si="23"/>
        <v>0.51249999999999996</v>
      </c>
      <c r="K181" s="96" t="s">
        <v>121</v>
      </c>
      <c r="L181" s="99">
        <f t="shared" si="21"/>
        <v>0.51249999999999996</v>
      </c>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100"/>
      <c r="AU181" s="87"/>
      <c r="AV181" s="87"/>
      <c r="AW181" s="87"/>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100"/>
      <c r="EJ181" s="100"/>
      <c r="EK181" s="100"/>
      <c r="EL181" s="100"/>
      <c r="EM181" s="100"/>
      <c r="EN181" s="100"/>
      <c r="EO181" s="100"/>
      <c r="EP181" s="87"/>
      <c r="EQ181" s="87"/>
      <c r="ER181" s="87"/>
      <c r="ES181" s="87"/>
      <c r="ET181" s="87"/>
      <c r="EU181" s="87"/>
      <c r="EV181" s="87"/>
      <c r="EW181" s="87"/>
      <c r="EX181" s="87"/>
      <c r="EY181" s="87"/>
      <c r="EZ181" s="87"/>
      <c r="FA181" s="87"/>
      <c r="FB181" s="87"/>
      <c r="FC181" s="87"/>
      <c r="FD181" s="87"/>
      <c r="FE181" s="87"/>
      <c r="FF181" s="87"/>
      <c r="FG181" s="87"/>
      <c r="FH181" s="87"/>
      <c r="FI181" s="87"/>
      <c r="FJ181" s="87"/>
      <c r="FK181" s="87"/>
    </row>
    <row r="182" spans="1:167" hidden="1" outlineLevel="1">
      <c r="A182" s="31" t="str">
        <f t="shared" si="22"/>
        <v>cd_imv_out_certifvlr_ncssdd_enrg_utl_aqcd</v>
      </c>
      <c r="B182" s="76" t="s">
        <v>28</v>
      </c>
      <c r="C182" s="77" t="s">
        <v>54</v>
      </c>
      <c r="D182" s="73" t="s">
        <v>40</v>
      </c>
      <c r="E182" s="75" t="s">
        <v>120</v>
      </c>
      <c r="F182" s="73" t="s">
        <v>162</v>
      </c>
      <c r="G182" s="73" t="str">
        <f>INDEX(Auxiliar!$B$16:$B$23,MATCH(Plano_V1!H182,Auxiliar!$C$16:$C$23,0),1)</f>
        <v>1. Concluído</v>
      </c>
      <c r="H182" s="73">
        <f>VLOOKUP(A182,'Aux - pivots1'!$A:$B,2,0)</f>
        <v>1</v>
      </c>
      <c r="I182" s="93">
        <f>SUMIFS(Table1[Estimação (horas)],Table1[Tabela],Plano_V1!E182,Table1[Campo],Plano_V1!F182)</f>
        <v>4.0999999999999996</v>
      </c>
      <c r="J182" s="93">
        <f t="shared" si="23"/>
        <v>0.51249999999999996</v>
      </c>
      <c r="K182" s="96" t="s">
        <v>121</v>
      </c>
      <c r="L182" s="99">
        <f t="shared" si="21"/>
        <v>0.51249999999999996</v>
      </c>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100"/>
      <c r="AU182" s="87"/>
      <c r="AV182" s="87"/>
      <c r="AW182" s="87"/>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100"/>
      <c r="EJ182" s="100"/>
      <c r="EK182" s="100"/>
      <c r="EL182" s="100"/>
      <c r="EM182" s="100"/>
      <c r="EN182" s="100"/>
      <c r="EO182" s="100"/>
      <c r="EP182" s="87"/>
      <c r="EQ182" s="87"/>
      <c r="ER182" s="87"/>
      <c r="ES182" s="87"/>
      <c r="ET182" s="87"/>
      <c r="EU182" s="87"/>
      <c r="EV182" s="87"/>
      <c r="EW182" s="87"/>
      <c r="EX182" s="87"/>
      <c r="EY182" s="87"/>
      <c r="EZ182" s="87"/>
      <c r="FA182" s="87"/>
      <c r="FB182" s="87"/>
      <c r="FC182" s="87"/>
      <c r="FD182" s="87"/>
      <c r="FE182" s="87"/>
      <c r="FF182" s="87"/>
      <c r="FG182" s="87"/>
      <c r="FH182" s="87"/>
      <c r="FI182" s="87"/>
      <c r="FJ182" s="87"/>
      <c r="FK182" s="87"/>
    </row>
    <row r="183" spans="1:167" hidden="1" outlineLevel="1">
      <c r="A183" s="31" t="str">
        <f t="shared" si="22"/>
        <v>cd_imv_out_certifvlr_prd_gnh_invrn_prd_prt</v>
      </c>
      <c r="B183" s="76" t="s">
        <v>28</v>
      </c>
      <c r="C183" s="77" t="s">
        <v>54</v>
      </c>
      <c r="D183" s="73" t="s">
        <v>40</v>
      </c>
      <c r="E183" s="75" t="s">
        <v>120</v>
      </c>
      <c r="F183" s="73" t="s">
        <v>163</v>
      </c>
      <c r="G183" s="73" t="str">
        <f>INDEX(Auxiliar!$B$16:$B$23,MATCH(Plano_V1!H183,Auxiliar!$C$16:$C$23,0),1)</f>
        <v>1. Concluído</v>
      </c>
      <c r="H183" s="73">
        <f>VLOOKUP(A183,'Aux - pivots1'!$A:$B,2,0)</f>
        <v>1</v>
      </c>
      <c r="I183" s="93">
        <f>SUMIFS(Table1[Estimação (horas)],Table1[Tabela],Plano_V1!E183,Table1[Campo],Plano_V1!F183)</f>
        <v>4.0999999999999996</v>
      </c>
      <c r="J183" s="93">
        <f t="shared" si="23"/>
        <v>0.51249999999999996</v>
      </c>
      <c r="K183" s="96" t="s">
        <v>121</v>
      </c>
      <c r="L183" s="99">
        <f t="shared" si="21"/>
        <v>0.51249999999999996</v>
      </c>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100"/>
      <c r="AU183" s="87"/>
      <c r="AV183" s="87"/>
      <c r="AW183" s="87"/>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100"/>
      <c r="EJ183" s="100"/>
      <c r="EK183" s="100"/>
      <c r="EL183" s="100"/>
      <c r="EM183" s="100"/>
      <c r="EN183" s="100"/>
      <c r="EO183" s="100"/>
      <c r="EP183" s="87"/>
      <c r="EQ183" s="87"/>
      <c r="ER183" s="87"/>
      <c r="ES183" s="87"/>
      <c r="ET183" s="87"/>
      <c r="EU183" s="87"/>
      <c r="EV183" s="87"/>
      <c r="EW183" s="87"/>
      <c r="EX183" s="87"/>
      <c r="EY183" s="87"/>
      <c r="EZ183" s="87"/>
      <c r="FA183" s="87"/>
      <c r="FB183" s="87"/>
      <c r="FC183" s="87"/>
      <c r="FD183" s="87"/>
      <c r="FE183" s="87"/>
      <c r="FF183" s="87"/>
      <c r="FG183" s="87"/>
      <c r="FH183" s="87"/>
      <c r="FI183" s="87"/>
      <c r="FJ183" s="87"/>
      <c r="FK183" s="87"/>
    </row>
    <row r="184" spans="1:167" hidden="1" outlineLevel="1">
      <c r="A184" s="31" t="str">
        <f t="shared" si="22"/>
        <v>cd_imv_out_certifvlr_prd_gnh_invrn_pvmnt</v>
      </c>
      <c r="B184" s="76" t="s">
        <v>28</v>
      </c>
      <c r="C184" s="77" t="s">
        <v>54</v>
      </c>
      <c r="D184" s="73" t="s">
        <v>40</v>
      </c>
      <c r="E184" s="75" t="s">
        <v>120</v>
      </c>
      <c r="F184" s="73" t="s">
        <v>164</v>
      </c>
      <c r="G184" s="73" t="str">
        <f>INDEX(Auxiliar!$B$16:$B$23,MATCH(Plano_V1!H184,Auxiliar!$C$16:$C$23,0),1)</f>
        <v>1. Concluído</v>
      </c>
      <c r="H184" s="73">
        <f>VLOOKUP(A184,'Aux - pivots1'!$A:$B,2,0)</f>
        <v>1</v>
      </c>
      <c r="I184" s="93">
        <f>SUMIFS(Table1[Estimação (horas)],Table1[Tabela],Plano_V1!E184,Table1[Campo],Plano_V1!F184)</f>
        <v>4.0999999999999996</v>
      </c>
      <c r="J184" s="93">
        <f t="shared" si="23"/>
        <v>0.51249999999999996</v>
      </c>
      <c r="K184" s="96" t="s">
        <v>121</v>
      </c>
      <c r="L184" s="99">
        <f t="shared" si="21"/>
        <v>0.51249999999999996</v>
      </c>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100"/>
      <c r="AU184" s="87"/>
      <c r="AV184" s="87"/>
      <c r="AW184" s="87"/>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100"/>
      <c r="EJ184" s="100"/>
      <c r="EK184" s="100"/>
      <c r="EL184" s="100"/>
      <c r="EM184" s="100"/>
      <c r="EN184" s="100"/>
      <c r="EO184" s="100"/>
      <c r="EP184" s="87"/>
      <c r="EQ184" s="87"/>
      <c r="ER184" s="87"/>
      <c r="ES184" s="87"/>
      <c r="ET184" s="87"/>
      <c r="EU184" s="87"/>
      <c r="EV184" s="87"/>
      <c r="EW184" s="87"/>
      <c r="EX184" s="87"/>
      <c r="EY184" s="87"/>
      <c r="EZ184" s="87"/>
      <c r="FA184" s="87"/>
      <c r="FB184" s="87"/>
      <c r="FC184" s="87"/>
      <c r="FD184" s="87"/>
      <c r="FE184" s="87"/>
      <c r="FF184" s="87"/>
      <c r="FG184" s="87"/>
      <c r="FH184" s="87"/>
      <c r="FI184" s="87"/>
      <c r="FJ184" s="87"/>
      <c r="FK184" s="87"/>
    </row>
    <row r="185" spans="1:167" hidden="1" outlineLevel="1">
      <c r="A185" s="31" t="str">
        <f t="shared" si="22"/>
        <v>cd_imv_out_certifvlr_prds_gnhs_invrn_cbrtr</v>
      </c>
      <c r="B185" s="76" t="s">
        <v>28</v>
      </c>
      <c r="C185" s="77" t="s">
        <v>54</v>
      </c>
      <c r="D185" s="73" t="s">
        <v>40</v>
      </c>
      <c r="E185" s="75" t="s">
        <v>120</v>
      </c>
      <c r="F185" s="73" t="s">
        <v>165</v>
      </c>
      <c r="G185" s="73" t="str">
        <f>INDEX(Auxiliar!$B$16:$B$23,MATCH(Plano_V1!H185,Auxiliar!$C$16:$C$23,0),1)</f>
        <v>1. Concluído</v>
      </c>
      <c r="H185" s="73">
        <f>VLOOKUP(A185,'Aux - pivots1'!$A:$B,2,0)</f>
        <v>1</v>
      </c>
      <c r="I185" s="93">
        <f>SUMIFS(Table1[Estimação (horas)],Table1[Tabela],Plano_V1!E185,Table1[Campo],Plano_V1!F185)</f>
        <v>4.0999999999999996</v>
      </c>
      <c r="J185" s="93">
        <f t="shared" si="23"/>
        <v>0.51249999999999996</v>
      </c>
      <c r="K185" s="96" t="s">
        <v>121</v>
      </c>
      <c r="L185" s="99">
        <f t="shared" si="21"/>
        <v>0.51249999999999996</v>
      </c>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100"/>
      <c r="AU185" s="87"/>
      <c r="AV185" s="87"/>
      <c r="AW185" s="87"/>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100"/>
      <c r="EJ185" s="100"/>
      <c r="EK185" s="100"/>
      <c r="EL185" s="100"/>
      <c r="EM185" s="100"/>
      <c r="EN185" s="100"/>
      <c r="EO185" s="100"/>
      <c r="EP185" s="87"/>
      <c r="EQ185" s="87"/>
      <c r="ER185" s="87"/>
      <c r="ES185" s="87"/>
      <c r="ET185" s="87"/>
      <c r="EU185" s="87"/>
      <c r="EV185" s="87"/>
      <c r="EW185" s="87"/>
      <c r="EX185" s="87"/>
      <c r="EY185" s="87"/>
      <c r="EZ185" s="87"/>
      <c r="FA185" s="87"/>
      <c r="FB185" s="87"/>
      <c r="FC185" s="87"/>
      <c r="FD185" s="87"/>
      <c r="FE185" s="87"/>
      <c r="FF185" s="87"/>
      <c r="FG185" s="87"/>
      <c r="FH185" s="87"/>
      <c r="FI185" s="87"/>
      <c r="FJ185" s="87"/>
      <c r="FK185" s="87"/>
    </row>
    <row r="186" spans="1:167" hidden="1" outlineLevel="1">
      <c r="A186" s="31" t="str">
        <f t="shared" si="22"/>
        <v>cd_imv_out_certifvlr_prds_gnhs_invrn_jnl</v>
      </c>
      <c r="B186" s="76" t="s">
        <v>28</v>
      </c>
      <c r="C186" s="77" t="s">
        <v>54</v>
      </c>
      <c r="D186" s="73" t="s">
        <v>40</v>
      </c>
      <c r="E186" s="75" t="s">
        <v>120</v>
      </c>
      <c r="F186" s="73" t="s">
        <v>166</v>
      </c>
      <c r="G186" s="73" t="str">
        <f>INDEX(Auxiliar!$B$16:$B$23,MATCH(Plano_V1!H186,Auxiliar!$C$16:$C$23,0),1)</f>
        <v>1. Concluído</v>
      </c>
      <c r="H186" s="73">
        <f>VLOOKUP(A186,'Aux - pivots1'!$A:$B,2,0)</f>
        <v>1</v>
      </c>
      <c r="I186" s="93">
        <f>SUMIFS(Table1[Estimação (horas)],Table1[Tabela],Plano_V1!E186,Table1[Campo],Plano_V1!F186)</f>
        <v>4.0999999999999996</v>
      </c>
      <c r="J186" s="93">
        <f t="shared" si="23"/>
        <v>0.51249999999999996</v>
      </c>
      <c r="K186" s="96" t="s">
        <v>121</v>
      </c>
      <c r="L186" s="99">
        <f t="shared" si="21"/>
        <v>0.51249999999999996</v>
      </c>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100"/>
      <c r="AU186" s="87"/>
      <c r="AV186" s="87"/>
      <c r="AW186" s="87"/>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100"/>
      <c r="EJ186" s="100"/>
      <c r="EK186" s="100"/>
      <c r="EL186" s="100"/>
      <c r="EM186" s="100"/>
      <c r="EN186" s="100"/>
      <c r="EO186" s="100"/>
      <c r="EP186" s="87"/>
      <c r="EQ186" s="87"/>
      <c r="ER186" s="87"/>
      <c r="ES186" s="87"/>
      <c r="ET186" s="87"/>
      <c r="EU186" s="87"/>
      <c r="EV186" s="87"/>
      <c r="EW186" s="87"/>
      <c r="EX186" s="87"/>
      <c r="EY186" s="87"/>
      <c r="EZ186" s="87"/>
      <c r="FA186" s="87"/>
      <c r="FB186" s="87"/>
      <c r="FC186" s="87"/>
      <c r="FD186" s="87"/>
      <c r="FE186" s="87"/>
      <c r="FF186" s="87"/>
      <c r="FG186" s="87"/>
      <c r="FH186" s="87"/>
      <c r="FI186" s="87"/>
      <c r="FJ186" s="87"/>
      <c r="FK186" s="87"/>
    </row>
    <row r="187" spans="1:167" hidden="1" outlineLevel="1">
      <c r="A187" s="31" t="str">
        <f t="shared" si="22"/>
        <v>cd_imv_out_certifvlr_prds_gnhs_invrn_rfc</v>
      </c>
      <c r="B187" s="76" t="s">
        <v>28</v>
      </c>
      <c r="C187" s="77" t="s">
        <v>54</v>
      </c>
      <c r="D187" s="73" t="s">
        <v>40</v>
      </c>
      <c r="E187" s="75" t="s">
        <v>120</v>
      </c>
      <c r="F187" s="73" t="s">
        <v>167</v>
      </c>
      <c r="G187" s="73" t="str">
        <f>INDEX(Auxiliar!$B$16:$B$23,MATCH(Plano_V1!H187,Auxiliar!$C$16:$C$23,0),1)</f>
        <v>1. Concluído</v>
      </c>
      <c r="H187" s="73">
        <f>VLOOKUP(A187,'Aux - pivots1'!$A:$B,2,0)</f>
        <v>1</v>
      </c>
      <c r="I187" s="93">
        <f>SUMIFS(Table1[Estimação (horas)],Table1[Tabela],Plano_V1!E187,Table1[Campo],Plano_V1!F187)</f>
        <v>4.0999999999999996</v>
      </c>
      <c r="J187" s="93">
        <f t="shared" si="23"/>
        <v>0.51249999999999996</v>
      </c>
      <c r="K187" s="96" t="s">
        <v>121</v>
      </c>
      <c r="L187" s="99">
        <f t="shared" si="21"/>
        <v>0.51249999999999996</v>
      </c>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100"/>
      <c r="AU187" s="87"/>
      <c r="AV187" s="87"/>
      <c r="AW187" s="87"/>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100"/>
      <c r="EJ187" s="100"/>
      <c r="EK187" s="100"/>
      <c r="EL187" s="100"/>
      <c r="EM187" s="100"/>
      <c r="EN187" s="100"/>
      <c r="EO187" s="100"/>
      <c r="EP187" s="87"/>
      <c r="EQ187" s="87"/>
      <c r="ER187" s="87"/>
      <c r="ES187" s="87"/>
      <c r="ET187" s="87"/>
      <c r="EU187" s="87"/>
      <c r="EV187" s="87"/>
      <c r="EW187" s="87"/>
      <c r="EX187" s="87"/>
      <c r="EY187" s="87"/>
      <c r="EZ187" s="87"/>
      <c r="FA187" s="87"/>
      <c r="FB187" s="87"/>
      <c r="FC187" s="87"/>
      <c r="FD187" s="87"/>
      <c r="FE187" s="87"/>
      <c r="FF187" s="87"/>
      <c r="FG187" s="87"/>
      <c r="FH187" s="87"/>
      <c r="FI187" s="87"/>
      <c r="FJ187" s="87"/>
      <c r="FK187" s="87"/>
    </row>
    <row r="188" spans="1:167" hidden="1" outlineLevel="1">
      <c r="A188" s="31" t="str">
        <f t="shared" si="22"/>
        <v>cd_imv_out_certifvlr_prds_gnhs_invrn_vntnh</v>
      </c>
      <c r="B188" s="76" t="s">
        <v>28</v>
      </c>
      <c r="C188" s="77" t="s">
        <v>54</v>
      </c>
      <c r="D188" s="73" t="s">
        <v>40</v>
      </c>
      <c r="E188" s="75" t="s">
        <v>120</v>
      </c>
      <c r="F188" s="73" t="s">
        <v>168</v>
      </c>
      <c r="G188" s="73" t="str">
        <f>INDEX(Auxiliar!$B$16:$B$23,MATCH(Plano_V1!H188,Auxiliar!$C$16:$C$23,0),1)</f>
        <v>1. Concluído</v>
      </c>
      <c r="H188" s="73">
        <f>VLOOKUP(A188,'Aux - pivots1'!$A:$B,2,0)</f>
        <v>1</v>
      </c>
      <c r="I188" s="93">
        <f>SUMIFS(Table1[Estimação (horas)],Table1[Tabela],Plano_V1!E188,Table1[Campo],Plano_V1!F188)</f>
        <v>4.0999999999999996</v>
      </c>
      <c r="J188" s="93">
        <f t="shared" si="23"/>
        <v>0.51249999999999996</v>
      </c>
      <c r="K188" s="96" t="s">
        <v>121</v>
      </c>
      <c r="L188" s="99">
        <f t="shared" si="21"/>
        <v>0.51249999999999996</v>
      </c>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100"/>
      <c r="AU188" s="87"/>
      <c r="AV188" s="87"/>
      <c r="AW188" s="87"/>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100"/>
      <c r="EJ188" s="100"/>
      <c r="EK188" s="100"/>
      <c r="EL188" s="100"/>
      <c r="EM188" s="100"/>
      <c r="EN188" s="100"/>
      <c r="EO188" s="100"/>
      <c r="EP188" s="87"/>
      <c r="EQ188" s="87"/>
      <c r="ER188" s="87"/>
      <c r="ES188" s="87"/>
      <c r="ET188" s="87"/>
      <c r="EU188" s="87"/>
      <c r="EV188" s="87"/>
      <c r="EW188" s="87"/>
      <c r="EX188" s="87"/>
      <c r="EY188" s="87"/>
      <c r="EZ188" s="87"/>
      <c r="FA188" s="87"/>
      <c r="FB188" s="87"/>
      <c r="FC188" s="87"/>
      <c r="FD188" s="87"/>
      <c r="FE188" s="87"/>
      <c r="FF188" s="87"/>
      <c r="FG188" s="87"/>
      <c r="FH188" s="87"/>
      <c r="FI188" s="87"/>
      <c r="FJ188" s="87"/>
      <c r="FK188" s="87"/>
    </row>
    <row r="189" spans="1:167" hidden="1" outlineLevel="1">
      <c r="A189" s="31" t="str">
        <f t="shared" si="22"/>
        <v>cd_imv_out_certifvlr_prds_gnhs_vr_cbrtr</v>
      </c>
      <c r="B189" s="76" t="s">
        <v>28</v>
      </c>
      <c r="C189" s="77" t="s">
        <v>54</v>
      </c>
      <c r="D189" s="73" t="s">
        <v>40</v>
      </c>
      <c r="E189" s="75" t="s">
        <v>120</v>
      </c>
      <c r="F189" s="73" t="s">
        <v>169</v>
      </c>
      <c r="G189" s="73" t="str">
        <f>INDEX(Auxiliar!$B$16:$B$23,MATCH(Plano_V1!H189,Auxiliar!$C$16:$C$23,0),1)</f>
        <v>1. Concluído</v>
      </c>
      <c r="H189" s="73">
        <f>VLOOKUP(A189,'Aux - pivots1'!$A:$B,2,0)</f>
        <v>1</v>
      </c>
      <c r="I189" s="93">
        <f>SUMIFS(Table1[Estimação (horas)],Table1[Tabela],Plano_V1!E189,Table1[Campo],Plano_V1!F189)</f>
        <v>4.0999999999999996</v>
      </c>
      <c r="J189" s="93">
        <f t="shared" si="23"/>
        <v>0.51249999999999996</v>
      </c>
      <c r="K189" s="96" t="s">
        <v>121</v>
      </c>
      <c r="L189" s="99">
        <f t="shared" si="21"/>
        <v>0.51249999999999996</v>
      </c>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100"/>
      <c r="AU189" s="87"/>
      <c r="AV189" s="87"/>
      <c r="AW189" s="87"/>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100"/>
      <c r="EJ189" s="100"/>
      <c r="EK189" s="100"/>
      <c r="EL189" s="100"/>
      <c r="EM189" s="100"/>
      <c r="EN189" s="100"/>
      <c r="EO189" s="100"/>
      <c r="EP189" s="87"/>
      <c r="EQ189" s="87"/>
      <c r="ER189" s="87"/>
      <c r="ES189" s="87"/>
      <c r="ET189" s="87"/>
      <c r="EU189" s="87"/>
      <c r="EV189" s="87"/>
      <c r="EW189" s="87"/>
      <c r="EX189" s="87"/>
      <c r="EY189" s="87"/>
      <c r="EZ189" s="87"/>
      <c r="FA189" s="87"/>
      <c r="FB189" s="87"/>
      <c r="FC189" s="87"/>
      <c r="FD189" s="87"/>
      <c r="FE189" s="87"/>
      <c r="FF189" s="87"/>
      <c r="FG189" s="87"/>
      <c r="FH189" s="87"/>
      <c r="FI189" s="87"/>
      <c r="FJ189" s="87"/>
      <c r="FK189" s="87"/>
    </row>
    <row r="190" spans="1:167" hidden="1" outlineLevel="1">
      <c r="A190" s="31" t="str">
        <f t="shared" si="22"/>
        <v>cd_imv_out_certifvlr_prds_gnhs_vr_jnl</v>
      </c>
      <c r="B190" s="76" t="s">
        <v>28</v>
      </c>
      <c r="C190" s="77" t="s">
        <v>54</v>
      </c>
      <c r="D190" s="73" t="s">
        <v>40</v>
      </c>
      <c r="E190" s="75" t="s">
        <v>120</v>
      </c>
      <c r="F190" s="73" t="s">
        <v>170</v>
      </c>
      <c r="G190" s="73" t="str">
        <f>INDEX(Auxiliar!$B$16:$B$23,MATCH(Plano_V1!H190,Auxiliar!$C$16:$C$23,0),1)</f>
        <v>1. Concluído</v>
      </c>
      <c r="H190" s="73">
        <f>VLOOKUP(A190,'Aux - pivots1'!$A:$B,2,0)</f>
        <v>1</v>
      </c>
      <c r="I190" s="93">
        <f>SUMIFS(Table1[Estimação (horas)],Table1[Tabela],Plano_V1!E190,Table1[Campo],Plano_V1!F190)</f>
        <v>4.0999999999999996</v>
      </c>
      <c r="J190" s="93">
        <f t="shared" si="23"/>
        <v>0.51249999999999996</v>
      </c>
      <c r="K190" s="96" t="s">
        <v>121</v>
      </c>
      <c r="L190" s="99">
        <f t="shared" si="21"/>
        <v>0.51249999999999996</v>
      </c>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100"/>
      <c r="AU190" s="87"/>
      <c r="AV190" s="87"/>
      <c r="AW190" s="87"/>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100"/>
      <c r="EJ190" s="100"/>
      <c r="EK190" s="100"/>
      <c r="EL190" s="100"/>
      <c r="EM190" s="100"/>
      <c r="EN190" s="100"/>
      <c r="EO190" s="100"/>
      <c r="EP190" s="87"/>
      <c r="EQ190" s="87"/>
      <c r="ER190" s="87"/>
      <c r="ES190" s="87"/>
      <c r="ET190" s="87"/>
      <c r="EU190" s="87"/>
      <c r="EV190" s="87"/>
      <c r="EW190" s="87"/>
      <c r="EX190" s="87"/>
      <c r="EY190" s="87"/>
      <c r="EZ190" s="87"/>
      <c r="FA190" s="87"/>
      <c r="FB190" s="87"/>
      <c r="FC190" s="87"/>
      <c r="FD190" s="87"/>
      <c r="FE190" s="87"/>
      <c r="FF190" s="87"/>
      <c r="FG190" s="87"/>
      <c r="FH190" s="87"/>
      <c r="FI190" s="87"/>
      <c r="FJ190" s="87"/>
      <c r="FK190" s="87"/>
    </row>
    <row r="191" spans="1:167" hidden="1" outlineLevel="1">
      <c r="A191" s="31" t="str">
        <f t="shared" si="22"/>
        <v>cd_imv_out_certifvlr_prds_gnhs_vr_prd_prt</v>
      </c>
      <c r="B191" s="76" t="s">
        <v>28</v>
      </c>
      <c r="C191" s="77" t="s">
        <v>54</v>
      </c>
      <c r="D191" s="73" t="s">
        <v>40</v>
      </c>
      <c r="E191" s="75" t="s">
        <v>120</v>
      </c>
      <c r="F191" s="73" t="s">
        <v>171</v>
      </c>
      <c r="G191" s="73" t="str">
        <f>INDEX(Auxiliar!$B$16:$B$23,MATCH(Plano_V1!H191,Auxiliar!$C$16:$C$23,0),1)</f>
        <v>1. Concluído</v>
      </c>
      <c r="H191" s="73">
        <f>VLOOKUP(A191,'Aux - pivots1'!$A:$B,2,0)</f>
        <v>1</v>
      </c>
      <c r="I191" s="93">
        <f>SUMIFS(Table1[Estimação (horas)],Table1[Tabela],Plano_V1!E191,Table1[Campo],Plano_V1!F191)</f>
        <v>4.0999999999999996</v>
      </c>
      <c r="J191" s="93">
        <f t="shared" si="23"/>
        <v>0.51249999999999996</v>
      </c>
      <c r="K191" s="96" t="s">
        <v>121</v>
      </c>
      <c r="L191" s="99">
        <f t="shared" si="21"/>
        <v>0.51249999999999996</v>
      </c>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100"/>
      <c r="AU191" s="87"/>
      <c r="AV191" s="87"/>
      <c r="AW191" s="87"/>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100"/>
      <c r="EJ191" s="100"/>
      <c r="EK191" s="100"/>
      <c r="EL191" s="100"/>
      <c r="EM191" s="100"/>
      <c r="EN191" s="100"/>
      <c r="EO191" s="100"/>
      <c r="EP191" s="87"/>
      <c r="EQ191" s="87"/>
      <c r="ER191" s="87"/>
      <c r="ES191" s="87"/>
      <c r="ET191" s="87"/>
      <c r="EU191" s="87"/>
      <c r="EV191" s="87"/>
      <c r="EW191" s="87"/>
      <c r="EX191" s="87"/>
      <c r="EY191" s="87"/>
      <c r="EZ191" s="87"/>
      <c r="FA191" s="87"/>
      <c r="FB191" s="87"/>
      <c r="FC191" s="87"/>
      <c r="FD191" s="87"/>
      <c r="FE191" s="87"/>
      <c r="FF191" s="87"/>
      <c r="FG191" s="87"/>
      <c r="FH191" s="87"/>
      <c r="FI191" s="87"/>
      <c r="FJ191" s="87"/>
      <c r="FK191" s="87"/>
    </row>
    <row r="192" spans="1:167" hidden="1" outlineLevel="1">
      <c r="A192" s="31" t="str">
        <f t="shared" si="22"/>
        <v>cd_imv_out_certifvlr_prds_gnhs_vr_rfrc</v>
      </c>
      <c r="B192" s="76" t="s">
        <v>28</v>
      </c>
      <c r="C192" s="77" t="s">
        <v>54</v>
      </c>
      <c r="D192" s="73" t="s">
        <v>40</v>
      </c>
      <c r="E192" s="75" t="s">
        <v>120</v>
      </c>
      <c r="F192" s="73" t="s">
        <v>172</v>
      </c>
      <c r="G192" s="73" t="str">
        <f>INDEX(Auxiliar!$B$16:$B$23,MATCH(Plano_V1!H192,Auxiliar!$C$16:$C$23,0),1)</f>
        <v>1. Concluído</v>
      </c>
      <c r="H192" s="73">
        <f>VLOOKUP(A192,'Aux - pivots1'!$A:$B,2,0)</f>
        <v>1</v>
      </c>
      <c r="I192" s="93">
        <f>SUMIFS(Table1[Estimação (horas)],Table1[Tabela],Plano_V1!E192,Table1[Campo],Plano_V1!F192)</f>
        <v>4.0999999999999996</v>
      </c>
      <c r="J192" s="93">
        <f t="shared" si="23"/>
        <v>0.51249999999999996</v>
      </c>
      <c r="K192" s="96" t="s">
        <v>121</v>
      </c>
      <c r="L192" s="99">
        <f t="shared" si="21"/>
        <v>0.51249999999999996</v>
      </c>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100"/>
      <c r="AU192" s="87"/>
      <c r="AV192" s="87"/>
      <c r="AW192" s="87"/>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100"/>
      <c r="EJ192" s="100"/>
      <c r="EK192" s="100"/>
      <c r="EL192" s="100"/>
      <c r="EM192" s="100"/>
      <c r="EN192" s="100"/>
      <c r="EO192" s="100"/>
      <c r="EP192" s="87"/>
      <c r="EQ192" s="87"/>
      <c r="ER192" s="87"/>
      <c r="ES192" s="87"/>
      <c r="ET192" s="87"/>
      <c r="EU192" s="87"/>
      <c r="EV192" s="87"/>
      <c r="EW192" s="87"/>
      <c r="EX192" s="87"/>
      <c r="EY192" s="87"/>
      <c r="EZ192" s="87"/>
      <c r="FA192" s="87"/>
      <c r="FB192" s="87"/>
      <c r="FC192" s="87"/>
      <c r="FD192" s="87"/>
      <c r="FE192" s="87"/>
      <c r="FF192" s="87"/>
      <c r="FG192" s="87"/>
      <c r="FH192" s="87"/>
      <c r="FI192" s="87"/>
      <c r="FJ192" s="87"/>
      <c r="FK192" s="87"/>
    </row>
    <row r="193" spans="1:167" hidden="1" outlineLevel="1">
      <c r="A193" s="31" t="str">
        <f t="shared" si="22"/>
        <v>cd_imv_out_certifvlr_rdc_anl_estmd_ftr</v>
      </c>
      <c r="B193" s="76" t="s">
        <v>28</v>
      </c>
      <c r="C193" s="77" t="s">
        <v>54</v>
      </c>
      <c r="D193" s="73" t="s">
        <v>40</v>
      </c>
      <c r="E193" s="75" t="s">
        <v>120</v>
      </c>
      <c r="F193" s="73" t="s">
        <v>173</v>
      </c>
      <c r="G193" s="73" t="str">
        <f>INDEX(Auxiliar!$B$16:$B$23,MATCH(Plano_V1!H193,Auxiliar!$C$16:$C$23,0),1)</f>
        <v>1. Concluído</v>
      </c>
      <c r="H193" s="73">
        <f>VLOOKUP(A193,'Aux - pivots1'!$A:$B,2,0)</f>
        <v>1</v>
      </c>
      <c r="I193" s="93">
        <f>SUMIFS(Table1[Estimação (horas)],Table1[Tabela],Plano_V1!E193,Table1[Campo],Plano_V1!F193)</f>
        <v>4.0999999999999996</v>
      </c>
      <c r="J193" s="93">
        <f t="shared" si="23"/>
        <v>0.51249999999999996</v>
      </c>
      <c r="K193" s="96" t="s">
        <v>121</v>
      </c>
      <c r="L193" s="99">
        <f t="shared" si="21"/>
        <v>0.51249999999999996</v>
      </c>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100"/>
      <c r="AU193" s="87"/>
      <c r="AV193" s="87"/>
      <c r="AW193" s="87"/>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100"/>
      <c r="EJ193" s="100"/>
      <c r="EK193" s="100"/>
      <c r="EL193" s="100"/>
      <c r="EM193" s="100"/>
      <c r="EN193" s="100"/>
      <c r="EO193" s="100"/>
      <c r="EP193" s="87"/>
      <c r="EQ193" s="87"/>
      <c r="ER193" s="87"/>
      <c r="ES193" s="87"/>
      <c r="ET193" s="87"/>
      <c r="EU193" s="87"/>
      <c r="EV193" s="87"/>
      <c r="EW193" s="87"/>
      <c r="EX193" s="87"/>
      <c r="EY193" s="87"/>
      <c r="EZ193" s="87"/>
      <c r="FA193" s="87"/>
      <c r="FB193" s="87"/>
      <c r="FC193" s="87"/>
      <c r="FD193" s="87"/>
      <c r="FE193" s="87"/>
      <c r="FF193" s="87"/>
      <c r="FG193" s="87"/>
      <c r="FH193" s="87"/>
      <c r="FI193" s="87"/>
      <c r="FJ193" s="87"/>
      <c r="FK193" s="87"/>
    </row>
    <row r="194" spans="1:167" hidden="1" outlineLevel="1">
      <c r="A194" s="31" t="str">
        <f t="shared" si="22"/>
        <v>cd_imv_out_certifvlr_tmprtr_md_extrr</v>
      </c>
      <c r="B194" s="76" t="s">
        <v>28</v>
      </c>
      <c r="C194" s="77" t="s">
        <v>54</v>
      </c>
      <c r="D194" s="73" t="s">
        <v>40</v>
      </c>
      <c r="E194" s="75" t="s">
        <v>120</v>
      </c>
      <c r="F194" s="73" t="s">
        <v>174</v>
      </c>
      <c r="G194" s="73" t="str">
        <f>INDEX(Auxiliar!$B$16:$B$23,MATCH(Plano_V1!H194,Auxiliar!$C$16:$C$23,0),1)</f>
        <v>1. Concluído</v>
      </c>
      <c r="H194" s="73">
        <f>VLOOKUP(A194,'Aux - pivots1'!$A:$B,2,0)</f>
        <v>1</v>
      </c>
      <c r="I194" s="93">
        <f>SUMIFS(Table1[Estimação (horas)],Table1[Tabela],Plano_V1!E194,Table1[Campo],Plano_V1!F194)</f>
        <v>4.0999999999999996</v>
      </c>
      <c r="J194" s="93">
        <f t="shared" si="23"/>
        <v>0.51249999999999996</v>
      </c>
      <c r="K194" s="96" t="s">
        <v>121</v>
      </c>
      <c r="L194" s="99">
        <f t="shared" si="21"/>
        <v>0.51249999999999996</v>
      </c>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100"/>
      <c r="AU194" s="87"/>
      <c r="AV194" s="87"/>
      <c r="AW194" s="87"/>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100"/>
      <c r="EJ194" s="100"/>
      <c r="EK194" s="100"/>
      <c r="EL194" s="100"/>
      <c r="EM194" s="100"/>
      <c r="EN194" s="100"/>
      <c r="EO194" s="100"/>
      <c r="EP194" s="87"/>
      <c r="EQ194" s="87"/>
      <c r="ER194" s="87"/>
      <c r="ES194" s="87"/>
      <c r="ET194" s="87"/>
      <c r="EU194" s="87"/>
      <c r="EV194" s="87"/>
      <c r="EW194" s="87"/>
      <c r="EX194" s="87"/>
      <c r="EY194" s="87"/>
      <c r="EZ194" s="87"/>
      <c r="FA194" s="87"/>
      <c r="FB194" s="87"/>
      <c r="FC194" s="87"/>
      <c r="FD194" s="87"/>
      <c r="FE194" s="87"/>
      <c r="FF194" s="87"/>
      <c r="FG194" s="87"/>
      <c r="FH194" s="87"/>
      <c r="FI194" s="87"/>
      <c r="FJ194" s="87"/>
      <c r="FK194" s="87"/>
    </row>
    <row r="195" spans="1:167" hidden="1" outlineLevel="1">
      <c r="A195" s="31" t="str">
        <f t="shared" si="22"/>
        <v>cd_imv_out_certifzn_clmtc_invrn</v>
      </c>
      <c r="B195" s="76" t="s">
        <v>28</v>
      </c>
      <c r="C195" s="77" t="s">
        <v>54</v>
      </c>
      <c r="D195" s="73" t="s">
        <v>40</v>
      </c>
      <c r="E195" s="75" t="s">
        <v>120</v>
      </c>
      <c r="F195" s="73" t="s">
        <v>175</v>
      </c>
      <c r="G195" s="73" t="str">
        <f>INDEX(Auxiliar!$B$16:$B$23,MATCH(Plano_V1!H195,Auxiliar!$C$16:$C$23,0),1)</f>
        <v>1. Concluído</v>
      </c>
      <c r="H195" s="73">
        <f>VLOOKUP(A195,'Aux - pivots1'!$A:$B,2,0)</f>
        <v>1</v>
      </c>
      <c r="I195" s="93">
        <f>SUMIFS(Table1[Estimação (horas)],Table1[Tabela],Plano_V1!E195,Table1[Campo],Plano_V1!F195)</f>
        <v>4.0999999999999996</v>
      </c>
      <c r="J195" s="93">
        <f t="shared" si="23"/>
        <v>0.51249999999999996</v>
      </c>
      <c r="K195" s="96" t="s">
        <v>121</v>
      </c>
      <c r="L195" s="99">
        <f t="shared" si="21"/>
        <v>0.51249999999999996</v>
      </c>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100"/>
      <c r="AU195" s="87"/>
      <c r="AV195" s="87"/>
      <c r="AW195" s="87"/>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100"/>
      <c r="EJ195" s="100"/>
      <c r="EK195" s="100"/>
      <c r="EL195" s="100"/>
      <c r="EM195" s="100"/>
      <c r="EN195" s="100"/>
      <c r="EO195" s="100"/>
      <c r="EP195" s="87"/>
      <c r="EQ195" s="87"/>
      <c r="ER195" s="87"/>
      <c r="ES195" s="87"/>
      <c r="ET195" s="87"/>
      <c r="EU195" s="87"/>
      <c r="EV195" s="87"/>
      <c r="EW195" s="87"/>
      <c r="EX195" s="87"/>
      <c r="EY195" s="87"/>
      <c r="EZ195" s="87"/>
      <c r="FA195" s="87"/>
      <c r="FB195" s="87"/>
      <c r="FC195" s="87"/>
      <c r="FD195" s="87"/>
      <c r="FE195" s="87"/>
      <c r="FF195" s="87"/>
      <c r="FG195" s="87"/>
      <c r="FH195" s="87"/>
      <c r="FI195" s="87"/>
      <c r="FJ195" s="87"/>
      <c r="FK195" s="87"/>
    </row>
    <row r="196" spans="1:167" hidden="1" outlineLevel="1">
      <c r="A196" s="31" t="str">
        <f t="shared" si="22"/>
        <v>cd_imv_out_certifzn_clmtc_vr</v>
      </c>
      <c r="B196" s="76" t="s">
        <v>28</v>
      </c>
      <c r="C196" s="77" t="s">
        <v>54</v>
      </c>
      <c r="D196" s="73" t="s">
        <v>40</v>
      </c>
      <c r="E196" s="75" t="s">
        <v>120</v>
      </c>
      <c r="F196" s="73" t="s">
        <v>176</v>
      </c>
      <c r="G196" s="73" t="str">
        <f>INDEX(Auxiliar!$B$16:$B$23,MATCH(Plano_V1!H196,Auxiliar!$C$16:$C$23,0),1)</f>
        <v>1. Concluído</v>
      </c>
      <c r="H196" s="73">
        <f>VLOOKUP(A196,'Aux - pivots1'!$A:$B,2,0)</f>
        <v>1</v>
      </c>
      <c r="I196" s="93">
        <f>SUMIFS(Table1[Estimação (horas)],Table1[Tabela],Plano_V1!E196,Table1[Campo],Plano_V1!F196)</f>
        <v>4.0999999999999996</v>
      </c>
      <c r="J196" s="93">
        <f t="shared" si="23"/>
        <v>0.51249999999999996</v>
      </c>
      <c r="K196" s="96" t="s">
        <v>121</v>
      </c>
      <c r="L196" s="99">
        <f t="shared" si="21"/>
        <v>0.51249999999999996</v>
      </c>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100"/>
      <c r="AU196" s="87"/>
      <c r="AV196" s="87"/>
      <c r="AW196" s="87"/>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100"/>
      <c r="EJ196" s="100"/>
      <c r="EK196" s="100"/>
      <c r="EL196" s="100"/>
      <c r="EM196" s="100"/>
      <c r="EN196" s="100"/>
      <c r="EO196" s="100"/>
      <c r="EP196" s="87"/>
      <c r="EQ196" s="87"/>
      <c r="ER196" s="87"/>
      <c r="ES196" s="87"/>
      <c r="ET196" s="87"/>
      <c r="EU196" s="87"/>
      <c r="EV196" s="87"/>
      <c r="EW196" s="87"/>
      <c r="EX196" s="87"/>
      <c r="EY196" s="87"/>
      <c r="EZ196" s="87"/>
      <c r="FA196" s="87"/>
      <c r="FB196" s="87"/>
      <c r="FC196" s="87"/>
      <c r="FD196" s="87"/>
      <c r="FE196" s="87"/>
      <c r="FF196" s="87"/>
      <c r="FG196" s="87"/>
      <c r="FH196" s="87"/>
      <c r="FI196" s="87"/>
      <c r="FJ196" s="87"/>
      <c r="FK196" s="87"/>
    </row>
    <row r="197" spans="1:167" hidden="1" outlineLevel="1">
      <c r="A197" s="31" t="str">
        <f t="shared" si="22"/>
        <v>Re-testesn.a.</v>
      </c>
      <c r="B197" s="76" t="s">
        <v>28</v>
      </c>
      <c r="C197" s="77" t="s">
        <v>54</v>
      </c>
      <c r="D197" s="73" t="s">
        <v>40</v>
      </c>
      <c r="E197" s="75" t="s">
        <v>53</v>
      </c>
      <c r="F197" s="73" t="s">
        <v>38</v>
      </c>
      <c r="G197" s="73" t="s">
        <v>177</v>
      </c>
      <c r="H197" s="73"/>
      <c r="I197" s="93">
        <f>SUM(I43:I196)*D7</f>
        <v>88.75000000000027</v>
      </c>
      <c r="J197" s="93">
        <f>I197/8</f>
        <v>11.093750000000034</v>
      </c>
      <c r="K197" s="96"/>
      <c r="L197" s="99">
        <f t="shared" si="21"/>
        <v>11.093750000000034</v>
      </c>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100"/>
      <c r="AU197" s="87"/>
      <c r="AV197" s="87"/>
      <c r="AW197" s="87"/>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100"/>
      <c r="EJ197" s="100"/>
      <c r="EK197" s="100"/>
      <c r="EL197" s="100"/>
      <c r="EM197" s="100"/>
      <c r="EN197" s="100"/>
      <c r="EO197" s="100"/>
      <c r="EP197" s="87"/>
      <c r="EQ197" s="87"/>
      <c r="ER197" s="87"/>
      <c r="ES197" s="87"/>
      <c r="ET197" s="87"/>
      <c r="EU197" s="87"/>
      <c r="EV197" s="87"/>
      <c r="EW197" s="87"/>
      <c r="EX197" s="87"/>
      <c r="EY197" s="87"/>
      <c r="EZ197" s="87"/>
      <c r="FA197" s="87"/>
      <c r="FB197" s="87"/>
      <c r="FC197" s="87"/>
      <c r="FD197" s="87"/>
      <c r="FE197" s="87"/>
      <c r="FF197" s="87"/>
      <c r="FG197" s="87"/>
      <c r="FH197" s="87"/>
      <c r="FI197" s="87"/>
      <c r="FJ197" s="87"/>
      <c r="FK197" s="87"/>
    </row>
    <row r="198" spans="1:167" collapsed="1">
      <c r="A198" s="31" t="str">
        <f t="shared" si="22"/>
        <v/>
      </c>
      <c r="B198" s="72" t="s">
        <v>28</v>
      </c>
      <c r="C198" s="105" t="s">
        <v>178</v>
      </c>
      <c r="D198" s="105"/>
      <c r="E198" s="112"/>
      <c r="F198" s="105"/>
      <c r="G198" s="105"/>
      <c r="H198" s="105"/>
      <c r="I198" s="108">
        <f>SUM(I199:I361)</f>
        <v>174.19999999999959</v>
      </c>
      <c r="J198" s="108">
        <f>ROUNDUP(I198/8,0)</f>
        <v>22</v>
      </c>
      <c r="K198" s="109"/>
      <c r="L198" s="99">
        <f t="shared" si="21"/>
        <v>-1</v>
      </c>
      <c r="M198" s="87"/>
      <c r="N198" s="87"/>
      <c r="O198" s="87"/>
      <c r="P198" s="87"/>
      <c r="Q198" s="87"/>
      <c r="R198" s="87"/>
      <c r="S198" s="87"/>
      <c r="T198" s="87"/>
      <c r="U198" s="87"/>
      <c r="V198" s="87"/>
      <c r="W198" s="87"/>
      <c r="X198" s="87">
        <v>0.5</v>
      </c>
      <c r="Y198" s="87">
        <v>0.5</v>
      </c>
      <c r="Z198" s="87">
        <v>1</v>
      </c>
      <c r="AA198" s="87">
        <v>0.5</v>
      </c>
      <c r="AB198" s="87"/>
      <c r="AC198" s="87">
        <v>0.5</v>
      </c>
      <c r="AD198" s="87"/>
      <c r="AE198" s="87"/>
      <c r="AF198" s="87"/>
      <c r="AG198" s="87">
        <v>0.5</v>
      </c>
      <c r="AH198" s="87">
        <v>2</v>
      </c>
      <c r="AI198" s="87">
        <v>2</v>
      </c>
      <c r="AJ198" s="87">
        <v>2</v>
      </c>
      <c r="AK198" s="87">
        <v>1.5</v>
      </c>
      <c r="AL198" s="87">
        <v>2</v>
      </c>
      <c r="AM198" s="87">
        <v>2</v>
      </c>
      <c r="AN198" s="87">
        <v>2</v>
      </c>
      <c r="AO198" s="87">
        <v>2</v>
      </c>
      <c r="AP198" s="87">
        <v>2</v>
      </c>
      <c r="AQ198" s="87">
        <v>1</v>
      </c>
      <c r="AR198" s="87">
        <v>1</v>
      </c>
      <c r="AS198" s="87"/>
      <c r="AT198" s="100"/>
      <c r="AU198" s="87"/>
      <c r="AV198" s="87"/>
      <c r="AW198" s="87"/>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100"/>
      <c r="EJ198" s="100"/>
      <c r="EK198" s="100"/>
      <c r="EL198" s="100"/>
      <c r="EM198" s="100"/>
      <c r="EN198" s="100"/>
      <c r="EO198" s="100"/>
      <c r="EP198" s="87"/>
      <c r="EQ198" s="87"/>
      <c r="ER198" s="87"/>
      <c r="ES198" s="87"/>
      <c r="ET198" s="87"/>
      <c r="EU198" s="87"/>
      <c r="EV198" s="87"/>
      <c r="EW198" s="87"/>
      <c r="EX198" s="87"/>
      <c r="EY198" s="87"/>
      <c r="EZ198" s="87"/>
      <c r="FA198" s="87"/>
      <c r="FB198" s="87"/>
      <c r="FC198" s="87"/>
      <c r="FD198" s="87"/>
      <c r="FE198" s="87"/>
      <c r="FF198" s="87"/>
      <c r="FG198" s="87"/>
      <c r="FH198" s="87"/>
      <c r="FI198" s="87"/>
      <c r="FJ198" s="87"/>
      <c r="FK198" s="87"/>
    </row>
    <row r="199" spans="1:167" outlineLevel="1">
      <c r="A199" s="31" t="str">
        <f t="shared" si="22"/>
        <v>modesg_param_sfcs_taxon_europeian.a.</v>
      </c>
      <c r="B199" s="76" t="s">
        <v>28</v>
      </c>
      <c r="C199" s="77" t="s">
        <v>178</v>
      </c>
      <c r="D199" s="73" t="s">
        <v>36</v>
      </c>
      <c r="E199" s="75" t="s">
        <v>179</v>
      </c>
      <c r="F199" s="73" t="s">
        <v>38</v>
      </c>
      <c r="G199" s="73" t="str">
        <f>INDEX(Auxiliar!$B$16:$B$23,MATCH(Plano_V1!H199,Auxiliar!$C$16:$C$23,0),1)</f>
        <v>6. Em implementação (re-especificação)</v>
      </c>
      <c r="H199" s="73">
        <f>VLOOKUP(A199,'Aux - pivots1'!$A:$B,2,0)</f>
        <v>6</v>
      </c>
      <c r="I199" s="93">
        <f>SUMIFS(Table1[Estimação (horas)],Table1[Tabela],Plano_V1!E199,Table1[Campo],Plano_V1!F199)</f>
        <v>8.5</v>
      </c>
      <c r="J199" s="93">
        <f t="shared" ref="J199:J262" si="24">I199/8</f>
        <v>1.0625</v>
      </c>
      <c r="K199" s="98" t="s">
        <v>39</v>
      </c>
      <c r="L199" s="99">
        <f t="shared" si="21"/>
        <v>1.0625</v>
      </c>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100"/>
      <c r="AU199" s="87"/>
      <c r="AV199" s="87"/>
      <c r="AW199" s="87"/>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100"/>
      <c r="EJ199" s="100"/>
      <c r="EK199" s="100"/>
      <c r="EL199" s="100"/>
      <c r="EM199" s="100"/>
      <c r="EN199" s="100"/>
      <c r="EO199" s="100"/>
      <c r="EP199" s="87"/>
      <c r="EQ199" s="87"/>
      <c r="ER199" s="87"/>
      <c r="ES199" s="87"/>
      <c r="ET199" s="87"/>
      <c r="EU199" s="87"/>
      <c r="EV199" s="87"/>
      <c r="EW199" s="87"/>
      <c r="EX199" s="87"/>
      <c r="EY199" s="87"/>
      <c r="EZ199" s="87"/>
      <c r="FA199" s="87"/>
      <c r="FB199" s="87"/>
      <c r="FC199" s="87"/>
      <c r="FD199" s="87"/>
      <c r="FE199" s="87"/>
      <c r="FF199" s="87"/>
      <c r="FG199" s="87"/>
      <c r="FH199" s="87"/>
      <c r="FI199" s="87"/>
      <c r="FJ199" s="87"/>
      <c r="FK199" s="87"/>
    </row>
    <row r="200" spans="1:167" outlineLevel="1">
      <c r="A200" s="31" t="str">
        <f t="shared" si="22"/>
        <v>modesg_param_sfcs_taxon_europeiacbalcao</v>
      </c>
      <c r="B200" s="76" t="s">
        <v>28</v>
      </c>
      <c r="C200" s="77" t="s">
        <v>178</v>
      </c>
      <c r="D200" s="73" t="s">
        <v>40</v>
      </c>
      <c r="E200" s="75" t="s">
        <v>179</v>
      </c>
      <c r="F200" s="73" t="s">
        <v>180</v>
      </c>
      <c r="G200" s="73" t="str">
        <f>INDEX(Auxiliar!$B$16:$B$23,MATCH(Plano_V1!H200,Auxiliar!$C$16:$C$23,0),1)</f>
        <v>1. Concluído</v>
      </c>
      <c r="H200" s="73">
        <f>VLOOKUP(A200,'Aux - pivots1'!$A:$B,2,0)</f>
        <v>1</v>
      </c>
      <c r="I200" s="93">
        <f>SUMIFS(Table1[Estimação (horas)],Table1[Tabela],Plano_V1!E200,Table1[Campo],Plano_V1!F200)</f>
        <v>0.6</v>
      </c>
      <c r="J200" s="93">
        <f t="shared" si="24"/>
        <v>7.4999999999999997E-2</v>
      </c>
      <c r="K200" s="98" t="s">
        <v>39</v>
      </c>
      <c r="L200" s="99">
        <f t="shared" si="21"/>
        <v>7.4999999999999997E-2</v>
      </c>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100"/>
      <c r="AU200" s="87"/>
      <c r="AV200" s="87"/>
      <c r="AW200" s="87"/>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100"/>
      <c r="EJ200" s="100"/>
      <c r="EK200" s="100"/>
      <c r="EL200" s="100"/>
      <c r="EM200" s="100"/>
      <c r="EN200" s="100"/>
      <c r="EO200" s="100"/>
      <c r="EP200" s="87"/>
      <c r="EQ200" s="87"/>
      <c r="ER200" s="87"/>
      <c r="ES200" s="87"/>
      <c r="ET200" s="87"/>
      <c r="EU200" s="87"/>
      <c r="EV200" s="87"/>
      <c r="EW200" s="87"/>
      <c r="EX200" s="87"/>
      <c r="EY200" s="87"/>
      <c r="EZ200" s="87"/>
      <c r="FA200" s="87"/>
      <c r="FB200" s="87"/>
      <c r="FC200" s="87"/>
      <c r="FD200" s="87"/>
      <c r="FE200" s="87"/>
      <c r="FF200" s="87"/>
      <c r="FG200" s="87"/>
      <c r="FH200" s="87"/>
      <c r="FI200" s="87"/>
      <c r="FJ200" s="87"/>
      <c r="FK200" s="87"/>
    </row>
    <row r="201" spans="1:167" outlineLevel="1">
      <c r="A201" s="31" t="str">
        <f t="shared" si="22"/>
        <v>modesg_param_sfcs_taxon_europeiacempresa</v>
      </c>
      <c r="B201" s="76" t="s">
        <v>28</v>
      </c>
      <c r="C201" s="77" t="s">
        <v>178</v>
      </c>
      <c r="D201" s="73" t="s">
        <v>40</v>
      </c>
      <c r="E201" s="75" t="s">
        <v>179</v>
      </c>
      <c r="F201" s="73" t="s">
        <v>57</v>
      </c>
      <c r="G201" s="73" t="str">
        <f>INDEX(Auxiliar!$B$16:$B$23,MATCH(Plano_V1!H201,Auxiliar!$C$16:$C$23,0),1)</f>
        <v>1. Concluído</v>
      </c>
      <c r="H201" s="73">
        <f>VLOOKUP(A201,'Aux - pivots1'!$A:$B,2,0)</f>
        <v>1</v>
      </c>
      <c r="I201" s="93">
        <f>SUMIFS(Table1[Estimação (horas)],Table1[Tabela],Plano_V1!E201,Table1[Campo],Plano_V1!F201)</f>
        <v>0.6</v>
      </c>
      <c r="J201" s="93">
        <f t="shared" si="24"/>
        <v>7.4999999999999997E-2</v>
      </c>
      <c r="K201" s="98" t="s">
        <v>39</v>
      </c>
      <c r="L201" s="99">
        <f t="shared" si="21"/>
        <v>7.4999999999999997E-2</v>
      </c>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100"/>
      <c r="AU201" s="87"/>
      <c r="AV201" s="87"/>
      <c r="AW201" s="87"/>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100"/>
      <c r="EJ201" s="100"/>
      <c r="EK201" s="100"/>
      <c r="EL201" s="100"/>
      <c r="EM201" s="100"/>
      <c r="EN201" s="100"/>
      <c r="EO201" s="100"/>
      <c r="EP201" s="87"/>
      <c r="EQ201" s="87"/>
      <c r="ER201" s="87"/>
      <c r="ES201" s="87"/>
      <c r="ET201" s="87"/>
      <c r="EU201" s="87"/>
      <c r="EV201" s="87"/>
      <c r="EW201" s="87"/>
      <c r="EX201" s="87"/>
      <c r="EY201" s="87"/>
      <c r="EZ201" s="87"/>
      <c r="FA201" s="87"/>
      <c r="FB201" s="87"/>
      <c r="FC201" s="87"/>
      <c r="FD201" s="87"/>
      <c r="FE201" s="87"/>
      <c r="FF201" s="87"/>
      <c r="FG201" s="87"/>
      <c r="FH201" s="87"/>
      <c r="FI201" s="87"/>
      <c r="FJ201" s="87"/>
      <c r="FK201" s="87"/>
    </row>
    <row r="202" spans="1:167" outlineLevel="1">
      <c r="A202" s="31" t="str">
        <f t="shared" si="22"/>
        <v>modesg_param_sfcs_taxon_europeiackmetamis</v>
      </c>
      <c r="B202" s="76" t="s">
        <v>28</v>
      </c>
      <c r="C202" s="77" t="s">
        <v>178</v>
      </c>
      <c r="D202" s="73" t="s">
        <v>40</v>
      </c>
      <c r="E202" s="75" t="s">
        <v>179</v>
      </c>
      <c r="F202" s="73" t="s">
        <v>181</v>
      </c>
      <c r="G202" s="73" t="str">
        <f>INDEX(Auxiliar!$B$16:$B$23,MATCH(Plano_V1!H202,Auxiliar!$C$16:$C$23,0),1)</f>
        <v>1. Concluído</v>
      </c>
      <c r="H202" s="73">
        <f>VLOOKUP(A202,'Aux - pivots1'!$A:$B,2,0)</f>
        <v>1</v>
      </c>
      <c r="I202" s="93">
        <f>SUMIFS(Table1[Estimação (horas)],Table1[Tabela],Plano_V1!E202,Table1[Campo],Plano_V1!F202)</f>
        <v>0.6</v>
      </c>
      <c r="J202" s="93">
        <f t="shared" si="24"/>
        <v>7.4999999999999997E-2</v>
      </c>
      <c r="K202" s="98" t="s">
        <v>39</v>
      </c>
      <c r="L202" s="99">
        <f t="shared" si="21"/>
        <v>7.4999999999999997E-2</v>
      </c>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100"/>
      <c r="AU202" s="87"/>
      <c r="AV202" s="87"/>
      <c r="AW202" s="87"/>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100"/>
      <c r="EJ202" s="100"/>
      <c r="EK202" s="100"/>
      <c r="EL202" s="100"/>
      <c r="EM202" s="100"/>
      <c r="EN202" s="100"/>
      <c r="EO202" s="100"/>
      <c r="EP202" s="87"/>
      <c r="EQ202" s="87"/>
      <c r="ER202" s="87"/>
      <c r="ES202" s="87"/>
      <c r="ET202" s="87"/>
      <c r="EU202" s="87"/>
      <c r="EV202" s="87"/>
      <c r="EW202" s="87"/>
      <c r="EX202" s="87"/>
      <c r="EY202" s="87"/>
      <c r="EZ202" s="87"/>
      <c r="FA202" s="87"/>
      <c r="FB202" s="87"/>
      <c r="FC202" s="87"/>
      <c r="FD202" s="87"/>
      <c r="FE202" s="87"/>
      <c r="FF202" s="87"/>
      <c r="FG202" s="87"/>
      <c r="FH202" s="87"/>
      <c r="FI202" s="87"/>
      <c r="FJ202" s="87"/>
      <c r="FK202" s="87"/>
    </row>
    <row r="203" spans="1:167" outlineLevel="1">
      <c r="A203" s="31" t="str">
        <f t="shared" si="22"/>
        <v>modesg_param_sfcs_taxon_europeiackprodmi</v>
      </c>
      <c r="B203" s="76" t="s">
        <v>28</v>
      </c>
      <c r="C203" s="77" t="s">
        <v>178</v>
      </c>
      <c r="D203" s="73" t="s">
        <v>40</v>
      </c>
      <c r="E203" s="75" t="s">
        <v>179</v>
      </c>
      <c r="F203" s="73" t="s">
        <v>182</v>
      </c>
      <c r="G203" s="73" t="str">
        <f>INDEX(Auxiliar!$B$16:$B$23,MATCH(Plano_V1!H203,Auxiliar!$C$16:$C$23,0),1)</f>
        <v>1. Concluído</v>
      </c>
      <c r="H203" s="73">
        <f>VLOOKUP(A203,'Aux - pivots1'!$A:$B,2,0)</f>
        <v>1</v>
      </c>
      <c r="I203" s="93">
        <f>SUMIFS(Table1[Estimação (horas)],Table1[Tabela],Plano_V1!E203,Table1[Campo],Plano_V1!F203)</f>
        <v>0.6</v>
      </c>
      <c r="J203" s="93">
        <f t="shared" si="24"/>
        <v>7.4999999999999997E-2</v>
      </c>
      <c r="K203" s="98" t="s">
        <v>39</v>
      </c>
      <c r="L203" s="99">
        <f t="shared" si="21"/>
        <v>7.4999999999999997E-2</v>
      </c>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100"/>
      <c r="AU203" s="87"/>
      <c r="AV203" s="87"/>
      <c r="AW203" s="87"/>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100"/>
      <c r="EJ203" s="100"/>
      <c r="EK203" s="100"/>
      <c r="EL203" s="100"/>
      <c r="EM203" s="100"/>
      <c r="EN203" s="100"/>
      <c r="EO203" s="100"/>
      <c r="EP203" s="87"/>
      <c r="EQ203" s="87"/>
      <c r="ER203" s="87"/>
      <c r="ES203" s="87"/>
      <c r="ET203" s="87"/>
      <c r="EU203" s="87"/>
      <c r="EV203" s="87"/>
      <c r="EW203" s="87"/>
      <c r="EX203" s="87"/>
      <c r="EY203" s="87"/>
      <c r="EZ203" s="87"/>
      <c r="FA203" s="87"/>
      <c r="FB203" s="87"/>
      <c r="FC203" s="87"/>
      <c r="FD203" s="87"/>
      <c r="FE203" s="87"/>
      <c r="FF203" s="87"/>
      <c r="FG203" s="87"/>
      <c r="FH203" s="87"/>
      <c r="FI203" s="87"/>
      <c r="FJ203" s="87"/>
      <c r="FK203" s="87"/>
    </row>
    <row r="204" spans="1:167" outlineLevel="1">
      <c r="A204" s="31" t="str">
        <f t="shared" si="22"/>
        <v>modesg_param_sfcs_taxon_europeiacmetanseg</v>
      </c>
      <c r="B204" s="76" t="s">
        <v>28</v>
      </c>
      <c r="C204" s="77" t="s">
        <v>178</v>
      </c>
      <c r="D204" s="73" t="s">
        <v>40</v>
      </c>
      <c r="E204" s="75" t="s">
        <v>179</v>
      </c>
      <c r="F204" s="73" t="s">
        <v>183</v>
      </c>
      <c r="G204" s="73" t="str">
        <f>INDEX(Auxiliar!$B$16:$B$23,MATCH(Plano_V1!H204,Auxiliar!$C$16:$C$23,0),1)</f>
        <v>1. Concluído</v>
      </c>
      <c r="H204" s="73">
        <f>VLOOKUP(A204,'Aux - pivots1'!$A:$B,2,0)</f>
        <v>1</v>
      </c>
      <c r="I204" s="93">
        <f>SUMIFS(Table1[Estimação (horas)],Table1[Tabela],Plano_V1!E204,Table1[Campo],Plano_V1!F204)</f>
        <v>0.6</v>
      </c>
      <c r="J204" s="93">
        <f t="shared" si="24"/>
        <v>7.4999999999999997E-2</v>
      </c>
      <c r="K204" s="98" t="s">
        <v>39</v>
      </c>
      <c r="L204" s="99">
        <f t="shared" si="21"/>
        <v>7.4999999999999997E-2</v>
      </c>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100"/>
      <c r="AU204" s="87"/>
      <c r="AV204" s="87"/>
      <c r="AW204" s="87"/>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100"/>
      <c r="EJ204" s="100"/>
      <c r="EK204" s="100"/>
      <c r="EL204" s="100"/>
      <c r="EM204" s="100"/>
      <c r="EN204" s="100"/>
      <c r="EO204" s="100"/>
      <c r="EP204" s="87"/>
      <c r="EQ204" s="87"/>
      <c r="ER204" s="87"/>
      <c r="ES204" s="87"/>
      <c r="ET204" s="87"/>
      <c r="EU204" s="87"/>
      <c r="EV204" s="87"/>
      <c r="EW204" s="87"/>
      <c r="EX204" s="87"/>
      <c r="EY204" s="87"/>
      <c r="EZ204" s="87"/>
      <c r="FA204" s="87"/>
      <c r="FB204" s="87"/>
      <c r="FC204" s="87"/>
      <c r="FD204" s="87"/>
      <c r="FE204" s="87"/>
      <c r="FF204" s="87"/>
      <c r="FG204" s="87"/>
      <c r="FH204" s="87"/>
      <c r="FI204" s="87"/>
      <c r="FJ204" s="87"/>
      <c r="FK204" s="87"/>
    </row>
    <row r="205" spans="1:167" outlineLevel="1">
      <c r="A205" s="31" t="str">
        <f t="shared" si="22"/>
        <v>modesg_param_sfcs_taxon_europeiacnsm_co2</v>
      </c>
      <c r="B205" s="76" t="s">
        <v>28</v>
      </c>
      <c r="C205" s="77" t="s">
        <v>178</v>
      </c>
      <c r="D205" s="73" t="s">
        <v>40</v>
      </c>
      <c r="E205" s="75" t="s">
        <v>179</v>
      </c>
      <c r="F205" s="73" t="s">
        <v>184</v>
      </c>
      <c r="G205" s="73" t="str">
        <f>INDEX(Auxiliar!$B$16:$B$23,MATCH(Plano_V1!H205,Auxiliar!$C$16:$C$23,0),1)</f>
        <v>1. Concluído</v>
      </c>
      <c r="H205" s="73">
        <f>VLOOKUP(A205,'Aux - pivots1'!$A:$B,2,0)</f>
        <v>1</v>
      </c>
      <c r="I205" s="93">
        <f>SUMIFS(Table1[Estimação (horas)],Table1[Tabela],Plano_V1!E205,Table1[Campo],Plano_V1!F205)</f>
        <v>0.6</v>
      </c>
      <c r="J205" s="93">
        <f t="shared" si="24"/>
        <v>7.4999999999999997E-2</v>
      </c>
      <c r="K205" s="98" t="s">
        <v>39</v>
      </c>
      <c r="L205" s="99">
        <f t="shared" si="21"/>
        <v>7.4999999999999997E-2</v>
      </c>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100"/>
      <c r="AU205" s="87"/>
      <c r="AV205" s="87"/>
      <c r="AW205" s="87"/>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100"/>
      <c r="EJ205" s="100"/>
      <c r="EK205" s="100"/>
      <c r="EL205" s="100"/>
      <c r="EM205" s="100"/>
      <c r="EN205" s="100"/>
      <c r="EO205" s="100"/>
      <c r="EP205" s="87"/>
      <c r="EQ205" s="87"/>
      <c r="ER205" s="87"/>
      <c r="ES205" s="87"/>
      <c r="ET205" s="87"/>
      <c r="EU205" s="87"/>
      <c r="EV205" s="87"/>
      <c r="EW205" s="87"/>
      <c r="EX205" s="87"/>
      <c r="EY205" s="87"/>
      <c r="EZ205" s="87"/>
      <c r="FA205" s="87"/>
      <c r="FB205" s="87"/>
      <c r="FC205" s="87"/>
      <c r="FD205" s="87"/>
      <c r="FE205" s="87"/>
      <c r="FF205" s="87"/>
      <c r="FG205" s="87"/>
      <c r="FH205" s="87"/>
      <c r="FI205" s="87"/>
      <c r="FJ205" s="87"/>
      <c r="FK205" s="87"/>
    </row>
    <row r="206" spans="1:167" outlineLevel="1">
      <c r="A206" s="31" t="str">
        <f t="shared" si="22"/>
        <v>modesg_param_sfcs_taxon_europeiacnumecta</v>
      </c>
      <c r="B206" s="76" t="s">
        <v>28</v>
      </c>
      <c r="C206" s="77" t="s">
        <v>178</v>
      </c>
      <c r="D206" s="73" t="s">
        <v>40</v>
      </c>
      <c r="E206" s="75" t="s">
        <v>179</v>
      </c>
      <c r="F206" s="73" t="s">
        <v>185</v>
      </c>
      <c r="G206" s="73" t="str">
        <f>INDEX(Auxiliar!$B$16:$B$23,MATCH(Plano_V1!H206,Auxiliar!$C$16:$C$23,0),1)</f>
        <v>1. Concluído</v>
      </c>
      <c r="H206" s="73">
        <f>VLOOKUP(A206,'Aux - pivots1'!$A:$B,2,0)</f>
        <v>1</v>
      </c>
      <c r="I206" s="93">
        <f>SUMIFS(Table1[Estimação (horas)],Table1[Tabela],Plano_V1!E206,Table1[Campo],Plano_V1!F206)</f>
        <v>0.6</v>
      </c>
      <c r="J206" s="93">
        <f t="shared" si="24"/>
        <v>7.4999999999999997E-2</v>
      </c>
      <c r="K206" s="98" t="s">
        <v>39</v>
      </c>
      <c r="L206" s="99">
        <f t="shared" si="21"/>
        <v>7.4999999999999997E-2</v>
      </c>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100"/>
      <c r="AU206" s="87"/>
      <c r="AV206" s="87"/>
      <c r="AW206" s="87"/>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100"/>
      <c r="EJ206" s="100"/>
      <c r="EK206" s="100"/>
      <c r="EL206" s="100"/>
      <c r="EM206" s="100"/>
      <c r="EN206" s="100"/>
      <c r="EO206" s="100"/>
      <c r="EP206" s="87"/>
      <c r="EQ206" s="87"/>
      <c r="ER206" s="87"/>
      <c r="ES206" s="87"/>
      <c r="ET206" s="87"/>
      <c r="EU206" s="87"/>
      <c r="EV206" s="87"/>
      <c r="EW206" s="87"/>
      <c r="EX206" s="87"/>
      <c r="EY206" s="87"/>
      <c r="EZ206" s="87"/>
      <c r="FA206" s="87"/>
      <c r="FB206" s="87"/>
      <c r="FC206" s="87"/>
      <c r="FD206" s="87"/>
      <c r="FE206" s="87"/>
      <c r="FF206" s="87"/>
      <c r="FG206" s="87"/>
      <c r="FH206" s="87"/>
      <c r="FI206" s="87"/>
      <c r="FJ206" s="87"/>
      <c r="FK206" s="87"/>
    </row>
    <row r="207" spans="1:167" outlineLevel="1">
      <c r="A207" s="31" t="str">
        <f t="shared" si="22"/>
        <v>modesg_param_sfcs_taxon_europeiacod_lease</v>
      </c>
      <c r="B207" s="76" t="s">
        <v>28</v>
      </c>
      <c r="C207" s="77" t="s">
        <v>178</v>
      </c>
      <c r="D207" s="73" t="s">
        <v>40</v>
      </c>
      <c r="E207" s="75" t="s">
        <v>179</v>
      </c>
      <c r="F207" s="73" t="s">
        <v>186</v>
      </c>
      <c r="G207" s="73" t="str">
        <f>INDEX(Auxiliar!$B$16:$B$23,MATCH(Plano_V1!H207,Auxiliar!$C$16:$C$23,0),1)</f>
        <v>1. Concluído</v>
      </c>
      <c r="H207" s="73">
        <f>VLOOKUP(A207,'Aux - pivots1'!$A:$B,2,0)</f>
        <v>1</v>
      </c>
      <c r="I207" s="93">
        <f>SUMIFS(Table1[Estimação (horas)],Table1[Tabela],Plano_V1!E207,Table1[Campo],Plano_V1!F207)</f>
        <v>0.6</v>
      </c>
      <c r="J207" s="93">
        <f t="shared" si="24"/>
        <v>7.4999999999999997E-2</v>
      </c>
      <c r="K207" s="98" t="s">
        <v>39</v>
      </c>
      <c r="L207" s="99">
        <f t="shared" si="21"/>
        <v>7.4999999999999997E-2</v>
      </c>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100"/>
      <c r="AU207" s="87"/>
      <c r="AV207" s="87"/>
      <c r="AW207" s="87"/>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100"/>
      <c r="EJ207" s="100"/>
      <c r="EK207" s="100"/>
      <c r="EL207" s="100"/>
      <c r="EM207" s="100"/>
      <c r="EN207" s="100"/>
      <c r="EO207" s="100"/>
      <c r="EP207" s="87"/>
      <c r="EQ207" s="87"/>
      <c r="ER207" s="87"/>
      <c r="ES207" s="87"/>
      <c r="ET207" s="87"/>
      <c r="EU207" s="87"/>
      <c r="EV207" s="87"/>
      <c r="EW207" s="87"/>
      <c r="EX207" s="87"/>
      <c r="EY207" s="87"/>
      <c r="EZ207" s="87"/>
      <c r="FA207" s="87"/>
      <c r="FB207" s="87"/>
      <c r="FC207" s="87"/>
      <c r="FD207" s="87"/>
      <c r="FE207" s="87"/>
      <c r="FF207" s="87"/>
      <c r="FG207" s="87"/>
      <c r="FH207" s="87"/>
      <c r="FI207" s="87"/>
      <c r="FJ207" s="87"/>
      <c r="FK207" s="87"/>
    </row>
    <row r="208" spans="1:167" outlineLevel="1">
      <c r="A208" s="31" t="str">
        <f t="shared" si="22"/>
        <v>modesg_param_sfcs_taxon_europeiacod_regra</v>
      </c>
      <c r="B208" s="76" t="s">
        <v>28</v>
      </c>
      <c r="C208" s="77" t="s">
        <v>178</v>
      </c>
      <c r="D208" s="73" t="s">
        <v>40</v>
      </c>
      <c r="E208" s="75" t="s">
        <v>179</v>
      </c>
      <c r="F208" s="73" t="s">
        <v>187</v>
      </c>
      <c r="G208" s="73" t="str">
        <f>INDEX(Auxiliar!$B$16:$B$23,MATCH(Plano_V1!H208,Auxiliar!$C$16:$C$23,0),1)</f>
        <v>6. Em implementação (re-especificação)</v>
      </c>
      <c r="H208" s="73">
        <f>VLOOKUP(A208,'Aux - pivots1'!$A:$B,2,0)</f>
        <v>6</v>
      </c>
      <c r="I208" s="93">
        <f>SUMIFS(Table1[Estimação (horas)],Table1[Tabela],Plano_V1!E208,Table1[Campo],Plano_V1!F208)</f>
        <v>0.6</v>
      </c>
      <c r="J208" s="93">
        <f t="shared" si="24"/>
        <v>7.4999999999999997E-2</v>
      </c>
      <c r="K208" s="98" t="s">
        <v>39</v>
      </c>
      <c r="L208" s="99">
        <f t="shared" si="21"/>
        <v>7.4999999999999997E-2</v>
      </c>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100"/>
      <c r="AU208" s="87"/>
      <c r="AV208" s="87"/>
      <c r="AW208" s="87"/>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100"/>
      <c r="EJ208" s="100"/>
      <c r="EK208" s="100"/>
      <c r="EL208" s="100"/>
      <c r="EM208" s="100"/>
      <c r="EN208" s="100"/>
      <c r="EO208" s="100"/>
      <c r="EP208" s="87"/>
      <c r="EQ208" s="87"/>
      <c r="ER208" s="87"/>
      <c r="ES208" s="87"/>
      <c r="ET208" s="87"/>
      <c r="EU208" s="87"/>
      <c r="EV208" s="87"/>
      <c r="EW208" s="87"/>
      <c r="EX208" s="87"/>
      <c r="EY208" s="87"/>
      <c r="EZ208" s="87"/>
      <c r="FA208" s="87"/>
      <c r="FB208" s="87"/>
      <c r="FC208" s="87"/>
      <c r="FD208" s="87"/>
      <c r="FE208" s="87"/>
      <c r="FF208" s="87"/>
      <c r="FG208" s="87"/>
      <c r="FH208" s="87"/>
      <c r="FI208" s="87"/>
      <c r="FJ208" s="87"/>
      <c r="FK208" s="87"/>
    </row>
    <row r="209" spans="1:167" outlineLevel="1">
      <c r="A209" s="31" t="str">
        <f t="shared" si="22"/>
        <v>modesg_param_sfcs_taxon_europeiacomite</v>
      </c>
      <c r="B209" s="76" t="s">
        <v>28</v>
      </c>
      <c r="C209" s="77" t="s">
        <v>178</v>
      </c>
      <c r="D209" s="73" t="s">
        <v>40</v>
      </c>
      <c r="E209" s="75" t="s">
        <v>179</v>
      </c>
      <c r="F209" s="73" t="s">
        <v>188</v>
      </c>
      <c r="G209" s="73" t="str">
        <f>INDEX(Auxiliar!$B$16:$B$23,MATCH(Plano_V1!H209,Auxiliar!$C$16:$C$23,0),1)</f>
        <v>6. Em implementação (re-especificação)</v>
      </c>
      <c r="H209" s="73">
        <f>VLOOKUP(A209,'Aux - pivots1'!$A:$B,2,0)</f>
        <v>6</v>
      </c>
      <c r="I209" s="93">
        <f>SUMIFS(Table1[Estimação (horas)],Table1[Tabela],Plano_V1!E209,Table1[Campo],Plano_V1!F209)</f>
        <v>0.6</v>
      </c>
      <c r="J209" s="93">
        <f t="shared" si="24"/>
        <v>7.4999999999999997E-2</v>
      </c>
      <c r="K209" s="98" t="s">
        <v>39</v>
      </c>
      <c r="L209" s="99">
        <f t="shared" si="21"/>
        <v>7.4999999999999997E-2</v>
      </c>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100"/>
      <c r="AU209" s="87"/>
      <c r="AV209" s="87"/>
      <c r="AW209" s="87"/>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100"/>
      <c r="EJ209" s="100"/>
      <c r="EK209" s="100"/>
      <c r="EL209" s="100"/>
      <c r="EM209" s="100"/>
      <c r="EN209" s="100"/>
      <c r="EO209" s="100"/>
      <c r="EP209" s="87"/>
      <c r="EQ209" s="87"/>
      <c r="ER209" s="87"/>
      <c r="ES209" s="87"/>
      <c r="ET209" s="87"/>
      <c r="EU209" s="87"/>
      <c r="EV209" s="87"/>
      <c r="EW209" s="87"/>
      <c r="EX209" s="87"/>
      <c r="EY209" s="87"/>
      <c r="EZ209" s="87"/>
      <c r="FA209" s="87"/>
      <c r="FB209" s="87"/>
      <c r="FC209" s="87"/>
      <c r="FD209" s="87"/>
      <c r="FE209" s="87"/>
      <c r="FF209" s="87"/>
      <c r="FG209" s="87"/>
      <c r="FH209" s="87"/>
      <c r="FI209" s="87"/>
      <c r="FJ209" s="87"/>
      <c r="FK209" s="87"/>
    </row>
    <row r="210" spans="1:167" outlineLevel="1">
      <c r="A210" s="31" t="str">
        <f t="shared" si="22"/>
        <v>modesg_param_sfcs_taxon_europeiadata_aprvc</v>
      </c>
      <c r="B210" s="76" t="s">
        <v>28</v>
      </c>
      <c r="C210" s="77" t="s">
        <v>178</v>
      </c>
      <c r="D210" s="73" t="s">
        <v>40</v>
      </c>
      <c r="E210" s="75" t="s">
        <v>179</v>
      </c>
      <c r="F210" s="73" t="s">
        <v>189</v>
      </c>
      <c r="G210" s="73" t="str">
        <f>INDEX(Auxiliar!$B$16:$B$23,MATCH(Plano_V1!H210,Auxiliar!$C$16:$C$23,0),1)</f>
        <v>6. Em implementação (re-especificação)</v>
      </c>
      <c r="H210" s="73">
        <f>VLOOKUP(A210,'Aux - pivots1'!$A:$B,2,0)</f>
        <v>6</v>
      </c>
      <c r="I210" s="93">
        <f>SUMIFS(Table1[Estimação (horas)],Table1[Tabela],Plano_V1!E210,Table1[Campo],Plano_V1!F210)</f>
        <v>0.6</v>
      </c>
      <c r="J210" s="93">
        <f t="shared" si="24"/>
        <v>7.4999999999999997E-2</v>
      </c>
      <c r="K210" s="98" t="s">
        <v>39</v>
      </c>
      <c r="L210" s="99">
        <f t="shared" si="21"/>
        <v>7.4999999999999997E-2</v>
      </c>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100"/>
      <c r="AU210" s="87"/>
      <c r="AV210" s="87"/>
      <c r="AW210" s="87"/>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100"/>
      <c r="EJ210" s="100"/>
      <c r="EK210" s="100"/>
      <c r="EL210" s="100"/>
      <c r="EM210" s="100"/>
      <c r="EN210" s="100"/>
      <c r="EO210" s="100"/>
      <c r="EP210" s="87"/>
      <c r="EQ210" s="87"/>
      <c r="ER210" s="87"/>
      <c r="ES210" s="87"/>
      <c r="ET210" s="87"/>
      <c r="EU210" s="87"/>
      <c r="EV210" s="87"/>
      <c r="EW210" s="87"/>
      <c r="EX210" s="87"/>
      <c r="EY210" s="87"/>
      <c r="EZ210" s="87"/>
      <c r="FA210" s="87"/>
      <c r="FB210" s="87"/>
      <c r="FC210" s="87"/>
      <c r="FD210" s="87"/>
      <c r="FE210" s="87"/>
      <c r="FF210" s="87"/>
      <c r="FG210" s="87"/>
      <c r="FH210" s="87"/>
      <c r="FI210" s="87"/>
      <c r="FJ210" s="87"/>
      <c r="FK210" s="87"/>
    </row>
    <row r="211" spans="1:167" outlineLevel="1">
      <c r="A211" s="31" t="str">
        <f t="shared" si="22"/>
        <v>modesg_param_sfcs_taxon_europeiadata_final</v>
      </c>
      <c r="B211" s="76" t="s">
        <v>28</v>
      </c>
      <c r="C211" s="77" t="s">
        <v>178</v>
      </c>
      <c r="D211" s="73" t="s">
        <v>40</v>
      </c>
      <c r="E211" s="75" t="s">
        <v>179</v>
      </c>
      <c r="F211" s="73" t="s">
        <v>190</v>
      </c>
      <c r="G211" s="73" t="str">
        <f>INDEX(Auxiliar!$B$16:$B$23,MATCH(Plano_V1!H211,Auxiliar!$C$16:$C$23,0),1)</f>
        <v>5. Em Correção</v>
      </c>
      <c r="H211" s="73">
        <f>VLOOKUP(A211,'Aux - pivots1'!$A:$B,2,0)</f>
        <v>5</v>
      </c>
      <c r="I211" s="93">
        <f>SUMIFS(Table1[Estimação (horas)],Table1[Tabela],Plano_V1!E211,Table1[Campo],Plano_V1!F211)</f>
        <v>0.6</v>
      </c>
      <c r="J211" s="93">
        <f t="shared" si="24"/>
        <v>7.4999999999999997E-2</v>
      </c>
      <c r="K211" s="98" t="s">
        <v>39</v>
      </c>
      <c r="L211" s="99">
        <f t="shared" si="21"/>
        <v>7.4999999999999997E-2</v>
      </c>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100"/>
      <c r="AU211" s="87"/>
      <c r="AV211" s="87"/>
      <c r="AW211" s="87"/>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100"/>
      <c r="EJ211" s="100"/>
      <c r="EK211" s="100"/>
      <c r="EL211" s="100"/>
      <c r="EM211" s="100"/>
      <c r="EN211" s="100"/>
      <c r="EO211" s="100"/>
      <c r="EP211" s="87"/>
      <c r="EQ211" s="87"/>
      <c r="ER211" s="87"/>
      <c r="ES211" s="87"/>
      <c r="ET211" s="87"/>
      <c r="EU211" s="87"/>
      <c r="EV211" s="87"/>
      <c r="EW211" s="87"/>
      <c r="EX211" s="87"/>
      <c r="EY211" s="87"/>
      <c r="EZ211" s="87"/>
      <c r="FA211" s="87"/>
      <c r="FB211" s="87"/>
      <c r="FC211" s="87"/>
      <c r="FD211" s="87"/>
      <c r="FE211" s="87"/>
      <c r="FF211" s="87"/>
      <c r="FG211" s="87"/>
      <c r="FH211" s="87"/>
      <c r="FI211" s="87"/>
      <c r="FJ211" s="87"/>
      <c r="FK211" s="87"/>
    </row>
    <row r="212" spans="1:167" outlineLevel="1">
      <c r="A212" s="31" t="str">
        <f t="shared" si="22"/>
        <v>modesg_param_sfcs_taxon_europeiadata_inicial</v>
      </c>
      <c r="B212" s="76" t="s">
        <v>28</v>
      </c>
      <c r="C212" s="77" t="s">
        <v>178</v>
      </c>
      <c r="D212" s="73" t="s">
        <v>40</v>
      </c>
      <c r="E212" s="75" t="s">
        <v>179</v>
      </c>
      <c r="F212" s="73" t="s">
        <v>191</v>
      </c>
      <c r="G212" s="73" t="str">
        <f>INDEX(Auxiliar!$B$16:$B$23,MATCH(Plano_V1!H212,Auxiliar!$C$16:$C$23,0),1)</f>
        <v>5. Em Correção</v>
      </c>
      <c r="H212" s="73">
        <f>VLOOKUP(A212,'Aux - pivots1'!$A:$B,2,0)</f>
        <v>5</v>
      </c>
      <c r="I212" s="93">
        <f>SUMIFS(Table1[Estimação (horas)],Table1[Tabela],Plano_V1!E212,Table1[Campo],Plano_V1!F212)</f>
        <v>0.6</v>
      </c>
      <c r="J212" s="93">
        <f t="shared" si="24"/>
        <v>7.4999999999999997E-2</v>
      </c>
      <c r="K212" s="98" t="s">
        <v>39</v>
      </c>
      <c r="L212" s="99">
        <f t="shared" si="21"/>
        <v>7.4999999999999997E-2</v>
      </c>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100"/>
      <c r="AU212" s="87"/>
      <c r="AV212" s="87"/>
      <c r="AW212" s="87"/>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100"/>
      <c r="EJ212" s="100"/>
      <c r="EK212" s="100"/>
      <c r="EL212" s="100"/>
      <c r="EM212" s="100"/>
      <c r="EN212" s="100"/>
      <c r="EO212" s="100"/>
      <c r="EP212" s="87"/>
      <c r="EQ212" s="87"/>
      <c r="ER212" s="87"/>
      <c r="ES212" s="87"/>
      <c r="ET212" s="87"/>
      <c r="EU212" s="87"/>
      <c r="EV212" s="87"/>
      <c r="EW212" s="87"/>
      <c r="EX212" s="87"/>
      <c r="EY212" s="87"/>
      <c r="EZ212" s="87"/>
      <c r="FA212" s="87"/>
      <c r="FB212" s="87"/>
      <c r="FC212" s="87"/>
      <c r="FD212" s="87"/>
      <c r="FE212" s="87"/>
      <c r="FF212" s="87"/>
      <c r="FG212" s="87"/>
      <c r="FH212" s="87"/>
      <c r="FI212" s="87"/>
      <c r="FJ212" s="87"/>
      <c r="FK212" s="87"/>
    </row>
    <row r="213" spans="1:167" outlineLevel="1">
      <c r="A213" s="31" t="str">
        <f t="shared" si="22"/>
        <v>modesg_param_sfcs_taxon_europeiadominio</v>
      </c>
      <c r="B213" s="76" t="s">
        <v>28</v>
      </c>
      <c r="C213" s="77" t="s">
        <v>178</v>
      </c>
      <c r="D213" s="73" t="s">
        <v>40</v>
      </c>
      <c r="E213" s="75" t="s">
        <v>179</v>
      </c>
      <c r="F213" s="73" t="s">
        <v>192</v>
      </c>
      <c r="G213" s="73" t="str">
        <f>INDEX(Auxiliar!$B$16:$B$23,MATCH(Plano_V1!H213,Auxiliar!$C$16:$C$23,0),1)</f>
        <v>1. Concluído</v>
      </c>
      <c r="H213" s="73">
        <f>VLOOKUP(A213,'Aux - pivots1'!$A:$B,2,0)</f>
        <v>1</v>
      </c>
      <c r="I213" s="93">
        <f>SUMIFS(Table1[Estimação (horas)],Table1[Tabela],Plano_V1!E213,Table1[Campo],Plano_V1!F213)</f>
        <v>0.6</v>
      </c>
      <c r="J213" s="93">
        <f t="shared" si="24"/>
        <v>7.4999999999999997E-2</v>
      </c>
      <c r="K213" s="98" t="s">
        <v>39</v>
      </c>
      <c r="L213" s="99">
        <f t="shared" si="21"/>
        <v>7.4999999999999997E-2</v>
      </c>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100"/>
      <c r="AU213" s="87"/>
      <c r="AV213" s="87"/>
      <c r="AW213" s="87"/>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100"/>
      <c r="EJ213" s="100"/>
      <c r="EK213" s="100"/>
      <c r="EL213" s="100"/>
      <c r="EM213" s="100"/>
      <c r="EN213" s="100"/>
      <c r="EO213" s="100"/>
      <c r="EP213" s="87"/>
      <c r="EQ213" s="87"/>
      <c r="ER213" s="87"/>
      <c r="ES213" s="87"/>
      <c r="ET213" s="87"/>
      <c r="EU213" s="87"/>
      <c r="EV213" s="87"/>
      <c r="EW213" s="87"/>
      <c r="EX213" s="87"/>
      <c r="EY213" s="87"/>
      <c r="EZ213" s="87"/>
      <c r="FA213" s="87"/>
      <c r="FB213" s="87"/>
      <c r="FC213" s="87"/>
      <c r="FD213" s="87"/>
      <c r="FE213" s="87"/>
      <c r="FF213" s="87"/>
      <c r="FG213" s="87"/>
      <c r="FH213" s="87"/>
      <c r="FI213" s="87"/>
      <c r="FJ213" s="87"/>
      <c r="FK213" s="87"/>
    </row>
    <row r="214" spans="1:167" outlineLevel="1">
      <c r="A214" s="31" t="str">
        <f t="shared" si="22"/>
        <v>modesg_param_sfcs_taxon_europeiadscrc</v>
      </c>
      <c r="B214" s="76" t="s">
        <v>28</v>
      </c>
      <c r="C214" s="77" t="s">
        <v>178</v>
      </c>
      <c r="D214" s="73" t="s">
        <v>40</v>
      </c>
      <c r="E214" s="75" t="s">
        <v>179</v>
      </c>
      <c r="F214" s="73" t="s">
        <v>193</v>
      </c>
      <c r="G214" s="73" t="str">
        <f>INDEX(Auxiliar!$B$16:$B$23,MATCH(Plano_V1!H214,Auxiliar!$C$16:$C$23,0),1)</f>
        <v>1. Concluído</v>
      </c>
      <c r="H214" s="73">
        <f>VLOOKUP(A214,'Aux - pivots1'!$A:$B,2,0)</f>
        <v>1</v>
      </c>
      <c r="I214" s="93">
        <f>SUMIFS(Table1[Estimação (horas)],Table1[Tabela],Plano_V1!E214,Table1[Campo],Plano_V1!F214)</f>
        <v>0.6</v>
      </c>
      <c r="J214" s="93">
        <f t="shared" si="24"/>
        <v>7.4999999999999997E-2</v>
      </c>
      <c r="K214" s="98" t="s">
        <v>39</v>
      </c>
      <c r="L214" s="99">
        <f t="shared" si="21"/>
        <v>7.4999999999999997E-2</v>
      </c>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100"/>
      <c r="AU214" s="87"/>
      <c r="AV214" s="87"/>
      <c r="AW214" s="87"/>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100"/>
      <c r="EJ214" s="100"/>
      <c r="EK214" s="100"/>
      <c r="EL214" s="100"/>
      <c r="EM214" s="100"/>
      <c r="EN214" s="100"/>
      <c r="EO214" s="100"/>
      <c r="EP214" s="87"/>
      <c r="EQ214" s="87"/>
      <c r="ER214" s="87"/>
      <c r="ES214" s="87"/>
      <c r="ET214" s="87"/>
      <c r="EU214" s="87"/>
      <c r="EV214" s="87"/>
      <c r="EW214" s="87"/>
      <c r="EX214" s="87"/>
      <c r="EY214" s="87"/>
      <c r="EZ214" s="87"/>
      <c r="FA214" s="87"/>
      <c r="FB214" s="87"/>
      <c r="FC214" s="87"/>
      <c r="FD214" s="87"/>
      <c r="FE214" s="87"/>
      <c r="FF214" s="87"/>
      <c r="FG214" s="87"/>
      <c r="FH214" s="87"/>
      <c r="FI214" s="87"/>
      <c r="FJ214" s="87"/>
      <c r="FK214" s="87"/>
    </row>
    <row r="215" spans="1:167" outlineLevel="1">
      <c r="A215" s="31" t="str">
        <f t="shared" si="22"/>
        <v>modesg_param_sfcs_taxon_europeiaepc</v>
      </c>
      <c r="B215" s="76" t="s">
        <v>28</v>
      </c>
      <c r="C215" s="77" t="s">
        <v>178</v>
      </c>
      <c r="D215" s="73" t="s">
        <v>40</v>
      </c>
      <c r="E215" s="75" t="s">
        <v>179</v>
      </c>
      <c r="F215" s="73" t="s">
        <v>47</v>
      </c>
      <c r="G215" s="73" t="str">
        <f>INDEX(Auxiliar!$B$16:$B$23,MATCH(Plano_V1!H215,Auxiliar!$C$16:$C$23,0),1)</f>
        <v>1. Concluído</v>
      </c>
      <c r="H215" s="73">
        <f>VLOOKUP(A215,'Aux - pivots1'!$A:$B,2,0)</f>
        <v>1</v>
      </c>
      <c r="I215" s="93">
        <f>SUMIFS(Table1[Estimação (horas)],Table1[Tabela],Plano_V1!E215,Table1[Campo],Plano_V1!F215)</f>
        <v>0.6</v>
      </c>
      <c r="J215" s="93">
        <f t="shared" si="24"/>
        <v>7.4999999999999997E-2</v>
      </c>
      <c r="K215" s="98" t="s">
        <v>39</v>
      </c>
      <c r="L215" s="99">
        <f t="shared" si="21"/>
        <v>7.4999999999999997E-2</v>
      </c>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100"/>
      <c r="AU215" s="87"/>
      <c r="AV215" s="87"/>
      <c r="AW215" s="87"/>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100"/>
      <c r="EJ215" s="100"/>
      <c r="EK215" s="100"/>
      <c r="EL215" s="100"/>
      <c r="EM215" s="100"/>
      <c r="EN215" s="100"/>
      <c r="EO215" s="100"/>
      <c r="EP215" s="87"/>
      <c r="EQ215" s="87"/>
      <c r="ER215" s="87"/>
      <c r="ES215" s="87"/>
      <c r="ET215" s="87"/>
      <c r="EU215" s="87"/>
      <c r="EV215" s="87"/>
      <c r="EW215" s="87"/>
      <c r="EX215" s="87"/>
      <c r="EY215" s="87"/>
      <c r="EZ215" s="87"/>
      <c r="FA215" s="87"/>
      <c r="FB215" s="87"/>
      <c r="FC215" s="87"/>
      <c r="FD215" s="87"/>
      <c r="FE215" s="87"/>
      <c r="FF215" s="87"/>
      <c r="FG215" s="87"/>
      <c r="FH215" s="87"/>
      <c r="FI215" s="87"/>
      <c r="FJ215" s="87"/>
      <c r="FK215" s="87"/>
    </row>
    <row r="216" spans="1:167" outlineLevel="1">
      <c r="A216" s="31" t="str">
        <f t="shared" si="22"/>
        <v>modesg_param_sfcs_taxon_europeiaflag_project_finance</v>
      </c>
      <c r="B216" s="76" t="s">
        <v>28</v>
      </c>
      <c r="C216" s="77" t="s">
        <v>178</v>
      </c>
      <c r="D216" s="73" t="s">
        <v>40</v>
      </c>
      <c r="E216" s="75" t="s">
        <v>179</v>
      </c>
      <c r="F216" s="73" t="s">
        <v>194</v>
      </c>
      <c r="G216" s="73" t="str">
        <f>INDEX(Auxiliar!$B$16:$B$23,MATCH(Plano_V1!H216,Auxiliar!$C$16:$C$23,0),1)</f>
        <v>6. Em implementação (re-especificação)</v>
      </c>
      <c r="H216" s="73">
        <f>VLOOKUP(A216,'Aux - pivots1'!$A:$B,2,0)</f>
        <v>6</v>
      </c>
      <c r="I216" s="93">
        <f>SUMIFS(Table1[Estimação (horas)],Table1[Tabela],Plano_V1!E216,Table1[Campo],Plano_V1!F216)</f>
        <v>0.6</v>
      </c>
      <c r="J216" s="93">
        <f t="shared" si="24"/>
        <v>7.4999999999999997E-2</v>
      </c>
      <c r="K216" s="98" t="s">
        <v>39</v>
      </c>
      <c r="L216" s="99">
        <f t="shared" si="21"/>
        <v>7.4999999999999997E-2</v>
      </c>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100"/>
      <c r="AU216" s="87"/>
      <c r="AV216" s="87"/>
      <c r="AW216" s="87"/>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100"/>
      <c r="EJ216" s="100"/>
      <c r="EK216" s="100"/>
      <c r="EL216" s="100"/>
      <c r="EM216" s="100"/>
      <c r="EN216" s="100"/>
      <c r="EO216" s="100"/>
      <c r="EP216" s="87"/>
      <c r="EQ216" s="87"/>
      <c r="ER216" s="87"/>
      <c r="ES216" s="87"/>
      <c r="ET216" s="87"/>
      <c r="EU216" s="87"/>
      <c r="EV216" s="87"/>
      <c r="EW216" s="87"/>
      <c r="EX216" s="87"/>
      <c r="EY216" s="87"/>
      <c r="EZ216" s="87"/>
      <c r="FA216" s="87"/>
      <c r="FB216" s="87"/>
      <c r="FC216" s="87"/>
      <c r="FD216" s="87"/>
      <c r="FE216" s="87"/>
      <c r="FF216" s="87"/>
      <c r="FG216" s="87"/>
      <c r="FH216" s="87"/>
      <c r="FI216" s="87"/>
      <c r="FJ216" s="87"/>
      <c r="FK216" s="87"/>
    </row>
    <row r="217" spans="1:167" outlineLevel="1">
      <c r="A217" s="31" t="str">
        <f t="shared" si="22"/>
        <v>modesg_param_sfcs_taxon_europeiacfinalidad</v>
      </c>
      <c r="B217" s="76" t="s">
        <v>28</v>
      </c>
      <c r="C217" s="77" t="s">
        <v>178</v>
      </c>
      <c r="D217" s="73" t="s">
        <v>40</v>
      </c>
      <c r="E217" s="75" t="s">
        <v>179</v>
      </c>
      <c r="F217" s="73" t="s">
        <v>195</v>
      </c>
      <c r="G217" s="73" t="str">
        <f>INDEX(Auxiliar!$B$16:$B$23,MATCH(Plano_V1!H217,Auxiliar!$C$16:$C$23,0),1)</f>
        <v>6. Em implementação (re-especificação)</v>
      </c>
      <c r="H217" s="73">
        <f>VLOOKUP(A217,'Aux - pivots1'!$A:$B,2,0)</f>
        <v>6</v>
      </c>
      <c r="I217" s="93">
        <f>SUMIFS(Table1[Estimação (horas)],Table1[Tabela],Plano_V1!E217,Table1[Campo],Plano_V1!F217)</f>
        <v>0.6</v>
      </c>
      <c r="J217" s="93">
        <f t="shared" si="24"/>
        <v>7.4999999999999997E-2</v>
      </c>
      <c r="K217" s="98" t="s">
        <v>39</v>
      </c>
      <c r="L217" s="99">
        <f t="shared" si="21"/>
        <v>7.4999999999999997E-2</v>
      </c>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100"/>
      <c r="AU217" s="87"/>
      <c r="AV217" s="87"/>
      <c r="AW217" s="87"/>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100"/>
      <c r="EJ217" s="100"/>
      <c r="EK217" s="100"/>
      <c r="EL217" s="100"/>
      <c r="EM217" s="100"/>
      <c r="EN217" s="100"/>
      <c r="EO217" s="100"/>
      <c r="EP217" s="87"/>
      <c r="EQ217" s="87"/>
      <c r="ER217" s="87"/>
      <c r="ES217" s="87"/>
      <c r="ET217" s="87"/>
      <c r="EU217" s="87"/>
      <c r="EV217" s="87"/>
      <c r="EW217" s="87"/>
      <c r="EX217" s="87"/>
      <c r="EY217" s="87"/>
      <c r="EZ217" s="87"/>
      <c r="FA217" s="87"/>
      <c r="FB217" s="87"/>
      <c r="FC217" s="87"/>
      <c r="FD217" s="87"/>
      <c r="FE217" s="87"/>
      <c r="FF217" s="87"/>
      <c r="FG217" s="87"/>
      <c r="FH217" s="87"/>
      <c r="FI217" s="87"/>
      <c r="FJ217" s="87"/>
      <c r="FK217" s="87"/>
    </row>
    <row r="218" spans="1:167" outlineLevel="1">
      <c r="A218" s="31" t="str">
        <f t="shared" si="22"/>
        <v>modesg_param_sfcs_taxon_europeiatipo_combust</v>
      </c>
      <c r="B218" s="76" t="s">
        <v>28</v>
      </c>
      <c r="C218" s="77" t="s">
        <v>178</v>
      </c>
      <c r="D218" s="73" t="s">
        <v>40</v>
      </c>
      <c r="E218" s="75" t="s">
        <v>179</v>
      </c>
      <c r="F218" s="73" t="s">
        <v>196</v>
      </c>
      <c r="G218" s="73" t="str">
        <f>INDEX(Auxiliar!$B$16:$B$23,MATCH(Plano_V1!H218,Auxiliar!$C$16:$C$23,0),1)</f>
        <v>6. Em implementação (re-especificação)</v>
      </c>
      <c r="H218" s="73">
        <f>VLOOKUP(A218,'Aux - pivots1'!$A:$B,2,0)</f>
        <v>6</v>
      </c>
      <c r="I218" s="93">
        <f>SUMIFS(Table1[Estimação (horas)],Table1[Tabela],Plano_V1!E218,Table1[Campo],Plano_V1!F218)</f>
        <v>0.6</v>
      </c>
      <c r="J218" s="93">
        <f t="shared" si="24"/>
        <v>7.4999999999999997E-2</v>
      </c>
      <c r="K218" s="98" t="s">
        <v>39</v>
      </c>
      <c r="L218" s="99">
        <f t="shared" ref="L218:L281" si="25">J218-SUM(M218:FK218)</f>
        <v>7.4999999999999997E-2</v>
      </c>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100"/>
      <c r="AU218" s="87"/>
      <c r="AV218" s="87"/>
      <c r="AW218" s="87"/>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100"/>
      <c r="EJ218" s="100"/>
      <c r="EK218" s="100"/>
      <c r="EL218" s="100"/>
      <c r="EM218" s="100"/>
      <c r="EN218" s="100"/>
      <c r="EO218" s="100"/>
      <c r="EP218" s="87"/>
      <c r="EQ218" s="87"/>
      <c r="ER218" s="87"/>
      <c r="ES218" s="87"/>
      <c r="ET218" s="87"/>
      <c r="EU218" s="87"/>
      <c r="EV218" s="87"/>
      <c r="EW218" s="87"/>
      <c r="EX218" s="87"/>
      <c r="EY218" s="87"/>
      <c r="EZ218" s="87"/>
      <c r="FA218" s="87"/>
      <c r="FB218" s="87"/>
      <c r="FC218" s="87"/>
      <c r="FD218" s="87"/>
      <c r="FE218" s="87"/>
      <c r="FF218" s="87"/>
      <c r="FG218" s="87"/>
      <c r="FH218" s="87"/>
      <c r="FI218" s="87"/>
      <c r="FJ218" s="87"/>
      <c r="FK218" s="87"/>
    </row>
    <row r="219" spans="1:167" outlineLevel="1">
      <c r="A219" s="31" t="str">
        <f t="shared" si="22"/>
        <v>modesg_param_sfcs_taxon_europeiamontante_pndrc</v>
      </c>
      <c r="B219" s="76" t="s">
        <v>28</v>
      </c>
      <c r="C219" s="77" t="s">
        <v>178</v>
      </c>
      <c r="D219" s="73" t="s">
        <v>40</v>
      </c>
      <c r="E219" s="75" t="s">
        <v>179</v>
      </c>
      <c r="F219" s="73" t="s">
        <v>197</v>
      </c>
      <c r="G219" s="73" t="str">
        <f>INDEX(Auxiliar!$B$16:$B$23,MATCH(Plano_V1!H219,Auxiliar!$C$16:$C$23,0),1)</f>
        <v>6. Em implementação (re-especificação)</v>
      </c>
      <c r="H219" s="73">
        <f>VLOOKUP(A219,'Aux - pivots1'!$A:$B,2,0)</f>
        <v>6</v>
      </c>
      <c r="I219" s="93">
        <f>SUMIFS(Table1[Estimação (horas)],Table1[Tabela],Plano_V1!E219,Table1[Campo],Plano_V1!F219)</f>
        <v>0.6</v>
      </c>
      <c r="J219" s="93">
        <f t="shared" si="24"/>
        <v>7.4999999999999997E-2</v>
      </c>
      <c r="K219" s="98" t="s">
        <v>39</v>
      </c>
      <c r="L219" s="99">
        <f t="shared" si="25"/>
        <v>7.4999999999999997E-2</v>
      </c>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100"/>
      <c r="AU219" s="87"/>
      <c r="AV219" s="87"/>
      <c r="AW219" s="87"/>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100"/>
      <c r="EJ219" s="100"/>
      <c r="EK219" s="100"/>
      <c r="EL219" s="100"/>
      <c r="EM219" s="100"/>
      <c r="EN219" s="100"/>
      <c r="EO219" s="100"/>
      <c r="EP219" s="87"/>
      <c r="EQ219" s="87"/>
      <c r="ER219" s="87"/>
      <c r="ES219" s="87"/>
      <c r="ET219" s="87"/>
      <c r="EU219" s="87"/>
      <c r="EV219" s="87"/>
      <c r="EW219" s="87"/>
      <c r="EX219" s="87"/>
      <c r="EY219" s="87"/>
      <c r="EZ219" s="87"/>
      <c r="FA219" s="87"/>
      <c r="FB219" s="87"/>
      <c r="FC219" s="87"/>
      <c r="FD219" s="87"/>
      <c r="FE219" s="87"/>
      <c r="FF219" s="87"/>
      <c r="FG219" s="87"/>
      <c r="FH219" s="87"/>
      <c r="FI219" s="87"/>
      <c r="FJ219" s="87"/>
      <c r="FK219" s="87"/>
    </row>
    <row r="220" spans="1:167" outlineLevel="1">
      <c r="A220" s="31" t="str">
        <f t="shared" si="22"/>
        <v>modesg_param_sfcs_taxon_europeianome_ctgr_sfcs</v>
      </c>
      <c r="B220" s="76" t="s">
        <v>28</v>
      </c>
      <c r="C220" s="77" t="s">
        <v>178</v>
      </c>
      <c r="D220" s="73" t="s">
        <v>40</v>
      </c>
      <c r="E220" s="75" t="s">
        <v>179</v>
      </c>
      <c r="F220" s="73" t="s">
        <v>198</v>
      </c>
      <c r="G220" s="73" t="str">
        <f>INDEX(Auxiliar!$B$16:$B$23,MATCH(Plano_V1!H220,Auxiliar!$C$16:$C$23,0),1)</f>
        <v>4. Validação EF</v>
      </c>
      <c r="H220" s="73">
        <f>VLOOKUP(A220,'Aux - pivots1'!$A:$B,2,0)</f>
        <v>4</v>
      </c>
      <c r="I220" s="93">
        <f>SUMIFS(Table1[Estimação (horas)],Table1[Tabela],Plano_V1!E220,Table1[Campo],Plano_V1!F220)</f>
        <v>0.6</v>
      </c>
      <c r="J220" s="93">
        <f t="shared" si="24"/>
        <v>7.4999999999999997E-2</v>
      </c>
      <c r="K220" s="98" t="s">
        <v>39</v>
      </c>
      <c r="L220" s="99">
        <f t="shared" si="25"/>
        <v>7.4999999999999997E-2</v>
      </c>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100"/>
      <c r="AU220" s="87"/>
      <c r="AV220" s="87"/>
      <c r="AW220" s="87"/>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100"/>
      <c r="EJ220" s="100"/>
      <c r="EK220" s="100"/>
      <c r="EL220" s="100"/>
      <c r="EM220" s="100"/>
      <c r="EN220" s="100"/>
      <c r="EO220" s="100"/>
      <c r="EP220" s="87"/>
      <c r="EQ220" s="87"/>
      <c r="ER220" s="87"/>
      <c r="ES220" s="87"/>
      <c r="ET220" s="87"/>
      <c r="EU220" s="87"/>
      <c r="EV220" s="87"/>
      <c r="EW220" s="87"/>
      <c r="EX220" s="87"/>
      <c r="EY220" s="87"/>
      <c r="EZ220" s="87"/>
      <c r="FA220" s="87"/>
      <c r="FB220" s="87"/>
      <c r="FC220" s="87"/>
      <c r="FD220" s="87"/>
      <c r="FE220" s="87"/>
      <c r="FF220" s="87"/>
      <c r="FG220" s="87"/>
      <c r="FH220" s="87"/>
      <c r="FI220" s="87"/>
      <c r="FJ220" s="87"/>
      <c r="FK220" s="87"/>
    </row>
    <row r="221" spans="1:167" outlineLevel="1">
      <c r="A221" s="31" t="str">
        <f t="shared" ref="A221:A284" si="26">E221&amp;F221</f>
        <v>modesg_param_sfcs_taxon_europeianome_general_specific_purpose</v>
      </c>
      <c r="B221" s="76" t="s">
        <v>28</v>
      </c>
      <c r="C221" s="77" t="s">
        <v>178</v>
      </c>
      <c r="D221" s="73" t="s">
        <v>40</v>
      </c>
      <c r="E221" s="75" t="s">
        <v>179</v>
      </c>
      <c r="F221" s="73" t="s">
        <v>199</v>
      </c>
      <c r="G221" s="73" t="str">
        <f>INDEX(Auxiliar!$B$16:$B$23,MATCH(Plano_V1!H221,Auxiliar!$C$16:$C$23,0),1)</f>
        <v>6. Em implementação (re-especificação)</v>
      </c>
      <c r="H221" s="73">
        <f>VLOOKUP(A221,'Aux - pivots1'!$A:$B,2,0)</f>
        <v>6</v>
      </c>
      <c r="I221" s="93">
        <f>SUMIFS(Table1[Estimação (horas)],Table1[Tabela],Plano_V1!E221,Table1[Campo],Plano_V1!F221)</f>
        <v>0.6</v>
      </c>
      <c r="J221" s="93">
        <f t="shared" si="24"/>
        <v>7.4999999999999997E-2</v>
      </c>
      <c r="K221" s="98" t="s">
        <v>39</v>
      </c>
      <c r="L221" s="99">
        <f t="shared" si="25"/>
        <v>7.4999999999999997E-2</v>
      </c>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100"/>
      <c r="AU221" s="87"/>
      <c r="AV221" s="87"/>
      <c r="AW221" s="87"/>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100"/>
      <c r="EJ221" s="100"/>
      <c r="EK221" s="100"/>
      <c r="EL221" s="100"/>
      <c r="EM221" s="100"/>
      <c r="EN221" s="100"/>
      <c r="EO221" s="100"/>
      <c r="EP221" s="87"/>
      <c r="EQ221" s="87"/>
      <c r="ER221" s="87"/>
      <c r="ES221" s="87"/>
      <c r="ET221" s="87"/>
      <c r="EU221" s="87"/>
      <c r="EV221" s="87"/>
      <c r="EW221" s="87"/>
      <c r="EX221" s="87"/>
      <c r="EY221" s="87"/>
      <c r="EZ221" s="87"/>
      <c r="FA221" s="87"/>
      <c r="FB221" s="87"/>
      <c r="FC221" s="87"/>
      <c r="FD221" s="87"/>
      <c r="FE221" s="87"/>
      <c r="FF221" s="87"/>
      <c r="FG221" s="87"/>
      <c r="FH221" s="87"/>
      <c r="FI221" s="87"/>
      <c r="FJ221" s="87"/>
      <c r="FK221" s="87"/>
    </row>
    <row r="222" spans="1:167" outlineLevel="1">
      <c r="A222" s="31" t="str">
        <f t="shared" si="26"/>
        <v>modesg_param_sfcs_taxon_europeianome_purpose_esg</v>
      </c>
      <c r="B222" s="76" t="s">
        <v>28</v>
      </c>
      <c r="C222" s="77" t="s">
        <v>178</v>
      </c>
      <c r="D222" s="73" t="s">
        <v>40</v>
      </c>
      <c r="E222" s="75" t="s">
        <v>179</v>
      </c>
      <c r="F222" s="73" t="s">
        <v>200</v>
      </c>
      <c r="G222" s="73" t="str">
        <f>INDEX(Auxiliar!$B$16:$B$23,MATCH(Plano_V1!H222,Auxiliar!$C$16:$C$23,0),1)</f>
        <v>6. Em implementação (re-especificação)</v>
      </c>
      <c r="H222" s="73">
        <f>VLOOKUP(A222,'Aux - pivots1'!$A:$B,2,0)</f>
        <v>6</v>
      </c>
      <c r="I222" s="93">
        <f>SUMIFS(Table1[Estimação (horas)],Table1[Tabela],Plano_V1!E222,Table1[Campo],Plano_V1!F222)</f>
        <v>0.6</v>
      </c>
      <c r="J222" s="93">
        <f t="shared" si="24"/>
        <v>7.4999999999999997E-2</v>
      </c>
      <c r="K222" s="98" t="s">
        <v>39</v>
      </c>
      <c r="L222" s="99">
        <f t="shared" si="25"/>
        <v>7.4999999999999997E-2</v>
      </c>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100"/>
      <c r="AU222" s="87"/>
      <c r="AV222" s="87"/>
      <c r="AW222" s="87"/>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100"/>
      <c r="EJ222" s="100"/>
      <c r="EK222" s="100"/>
      <c r="EL222" s="100"/>
      <c r="EM222" s="100"/>
      <c r="EN222" s="100"/>
      <c r="EO222" s="100"/>
      <c r="EP222" s="87"/>
      <c r="EQ222" s="87"/>
      <c r="ER222" s="87"/>
      <c r="ES222" s="87"/>
      <c r="ET222" s="87"/>
      <c r="EU222" s="87"/>
      <c r="EV222" s="87"/>
      <c r="EW222" s="87"/>
      <c r="EX222" s="87"/>
      <c r="EY222" s="87"/>
      <c r="EZ222" s="87"/>
      <c r="FA222" s="87"/>
      <c r="FB222" s="87"/>
      <c r="FC222" s="87"/>
      <c r="FD222" s="87"/>
      <c r="FE222" s="87"/>
      <c r="FF222" s="87"/>
      <c r="FG222" s="87"/>
      <c r="FH222" s="87"/>
      <c r="FI222" s="87"/>
      <c r="FJ222" s="87"/>
      <c r="FK222" s="87"/>
    </row>
    <row r="223" spans="1:167" outlineLevel="1">
      <c r="A223" s="31" t="str">
        <f t="shared" si="26"/>
        <v>modesg_param_sfcs_taxon_europeianome_specific_eligible</v>
      </c>
      <c r="B223" s="76" t="s">
        <v>28</v>
      </c>
      <c r="C223" s="77" t="s">
        <v>178</v>
      </c>
      <c r="D223" s="73" t="s">
        <v>40</v>
      </c>
      <c r="E223" s="75" t="s">
        <v>179</v>
      </c>
      <c r="F223" s="73" t="s">
        <v>201</v>
      </c>
      <c r="G223" s="73" t="str">
        <f>INDEX(Auxiliar!$B$16:$B$23,MATCH(Plano_V1!H223,Auxiliar!$C$16:$C$23,0),1)</f>
        <v>6. Em implementação (re-especificação)</v>
      </c>
      <c r="H223" s="73">
        <f>VLOOKUP(A223,'Aux - pivots1'!$A:$B,2,0)</f>
        <v>6</v>
      </c>
      <c r="I223" s="93">
        <f>SUMIFS(Table1[Estimação (horas)],Table1[Tabela],Plano_V1!E223,Table1[Campo],Plano_V1!F223)</f>
        <v>0.6</v>
      </c>
      <c r="J223" s="93">
        <f t="shared" si="24"/>
        <v>7.4999999999999997E-2</v>
      </c>
      <c r="K223" s="98" t="s">
        <v>39</v>
      </c>
      <c r="L223" s="99">
        <f t="shared" si="25"/>
        <v>7.4999999999999997E-2</v>
      </c>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100"/>
      <c r="AU223" s="87"/>
      <c r="AV223" s="87"/>
      <c r="AW223" s="87"/>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100"/>
      <c r="EJ223" s="100"/>
      <c r="EK223" s="100"/>
      <c r="EL223" s="100"/>
      <c r="EM223" s="100"/>
      <c r="EN223" s="100"/>
      <c r="EO223" s="100"/>
      <c r="EP223" s="87"/>
      <c r="EQ223" s="87"/>
      <c r="ER223" s="87"/>
      <c r="ES223" s="87"/>
      <c r="ET223" s="87"/>
      <c r="EU223" s="87"/>
      <c r="EV223" s="87"/>
      <c r="EW223" s="87"/>
      <c r="EX223" s="87"/>
      <c r="EY223" s="87"/>
      <c r="EZ223" s="87"/>
      <c r="FA223" s="87"/>
      <c r="FB223" s="87"/>
      <c r="FC223" s="87"/>
      <c r="FD223" s="87"/>
      <c r="FE223" s="87"/>
      <c r="FF223" s="87"/>
      <c r="FG223" s="87"/>
      <c r="FH223" s="87"/>
      <c r="FI223" s="87"/>
      <c r="FJ223" s="87"/>
      <c r="FK223" s="87"/>
    </row>
    <row r="224" spans="1:167" outlineLevel="1">
      <c r="A224" s="31" t="str">
        <f t="shared" si="26"/>
        <v>modesg_param_sfcs_taxon_europeianome_specific_sustainable</v>
      </c>
      <c r="B224" s="76" t="s">
        <v>28</v>
      </c>
      <c r="C224" s="77" t="s">
        <v>178</v>
      </c>
      <c r="D224" s="73" t="s">
        <v>40</v>
      </c>
      <c r="E224" s="75" t="s">
        <v>179</v>
      </c>
      <c r="F224" s="73" t="s">
        <v>202</v>
      </c>
      <c r="G224" s="73" t="str">
        <f>INDEX(Auxiliar!$B$16:$B$23,MATCH(Plano_V1!H224,Auxiliar!$C$16:$C$23,0),1)</f>
        <v>6. Em implementação (re-especificação)</v>
      </c>
      <c r="H224" s="73">
        <f>VLOOKUP(A224,'Aux - pivots1'!$A:$B,2,0)</f>
        <v>6</v>
      </c>
      <c r="I224" s="93">
        <f>SUMIFS(Table1[Estimação (horas)],Table1[Tabela],Plano_V1!E224,Table1[Campo],Plano_V1!F224)</f>
        <v>0.6</v>
      </c>
      <c r="J224" s="93">
        <f t="shared" si="24"/>
        <v>7.4999999999999997E-2</v>
      </c>
      <c r="K224" s="98" t="s">
        <v>39</v>
      </c>
      <c r="L224" s="99">
        <f t="shared" si="25"/>
        <v>7.4999999999999997E-2</v>
      </c>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100"/>
      <c r="AU224" s="87"/>
      <c r="AV224" s="87"/>
      <c r="AW224" s="87"/>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100"/>
      <c r="EJ224" s="100"/>
      <c r="EK224" s="100"/>
      <c r="EL224" s="100"/>
      <c r="EM224" s="100"/>
      <c r="EN224" s="100"/>
      <c r="EO224" s="100"/>
      <c r="EP224" s="87"/>
      <c r="EQ224" s="87"/>
      <c r="ER224" s="87"/>
      <c r="ES224" s="87"/>
      <c r="ET224" s="87"/>
      <c r="EU224" s="87"/>
      <c r="EV224" s="87"/>
      <c r="EW224" s="87"/>
      <c r="EX224" s="87"/>
      <c r="EY224" s="87"/>
      <c r="EZ224" s="87"/>
      <c r="FA224" s="87"/>
      <c r="FB224" s="87"/>
      <c r="FC224" s="87"/>
      <c r="FD224" s="87"/>
      <c r="FE224" s="87"/>
      <c r="FF224" s="87"/>
      <c r="FG224" s="87"/>
      <c r="FH224" s="87"/>
      <c r="FI224" s="87"/>
      <c r="FJ224" s="87"/>
      <c r="FK224" s="87"/>
    </row>
    <row r="225" spans="1:167" outlineLevel="1">
      <c r="A225" s="31" t="str">
        <f t="shared" si="26"/>
        <v>modesg_param_sfcs_taxon_europeiaref_date</v>
      </c>
      <c r="B225" s="76" t="s">
        <v>28</v>
      </c>
      <c r="C225" s="77" t="s">
        <v>178</v>
      </c>
      <c r="D225" s="73" t="s">
        <v>40</v>
      </c>
      <c r="E225" s="75" t="s">
        <v>179</v>
      </c>
      <c r="F225" s="73" t="s">
        <v>73</v>
      </c>
      <c r="G225" s="73" t="str">
        <f>INDEX(Auxiliar!$B$16:$B$23,MATCH(Plano_V1!H225,Auxiliar!$C$16:$C$23,0),1)</f>
        <v>1. Concluído</v>
      </c>
      <c r="H225" s="73">
        <f>VLOOKUP(A225,'Aux - pivots1'!$A:$B,2,0)</f>
        <v>1</v>
      </c>
      <c r="I225" s="93">
        <f>SUMIFS(Table1[Estimação (horas)],Table1[Tabela],Plano_V1!E225,Table1[Campo],Plano_V1!F225)</f>
        <v>0.6</v>
      </c>
      <c r="J225" s="93">
        <f t="shared" si="24"/>
        <v>7.4999999999999997E-2</v>
      </c>
      <c r="K225" s="98" t="s">
        <v>39</v>
      </c>
      <c r="L225" s="99">
        <f t="shared" si="25"/>
        <v>7.4999999999999997E-2</v>
      </c>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100"/>
      <c r="AU225" s="87"/>
      <c r="AV225" s="87"/>
      <c r="AW225" s="87"/>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100"/>
      <c r="EJ225" s="100"/>
      <c r="EK225" s="100"/>
      <c r="EL225" s="100"/>
      <c r="EM225" s="100"/>
      <c r="EN225" s="100"/>
      <c r="EO225" s="100"/>
      <c r="EP225" s="87"/>
      <c r="EQ225" s="87"/>
      <c r="ER225" s="87"/>
      <c r="ES225" s="87"/>
      <c r="ET225" s="87"/>
      <c r="EU225" s="87"/>
      <c r="EV225" s="87"/>
      <c r="EW225" s="87"/>
      <c r="EX225" s="87"/>
      <c r="EY225" s="87"/>
      <c r="EZ225" s="87"/>
      <c r="FA225" s="87"/>
      <c r="FB225" s="87"/>
      <c r="FC225" s="87"/>
      <c r="FD225" s="87"/>
      <c r="FE225" s="87"/>
      <c r="FF225" s="87"/>
      <c r="FG225" s="87"/>
      <c r="FH225" s="87"/>
      <c r="FI225" s="87"/>
      <c r="FJ225" s="87"/>
      <c r="FK225" s="87"/>
    </row>
    <row r="226" spans="1:167" outlineLevel="1">
      <c r="A226" s="31" t="str">
        <f t="shared" si="26"/>
        <v>modesg_param_sfcs_taxon_europeiazcliente</v>
      </c>
      <c r="B226" s="76" t="s">
        <v>28</v>
      </c>
      <c r="C226" s="77" t="s">
        <v>178</v>
      </c>
      <c r="D226" s="73" t="s">
        <v>40</v>
      </c>
      <c r="E226" s="75" t="s">
        <v>179</v>
      </c>
      <c r="F226" s="73" t="s">
        <v>203</v>
      </c>
      <c r="G226" s="73" t="str">
        <f>INDEX(Auxiliar!$B$16:$B$23,MATCH(Plano_V1!H226,Auxiliar!$C$16:$C$23,0),1)</f>
        <v>6. Em implementação (re-especificação)</v>
      </c>
      <c r="H226" s="73">
        <f>VLOOKUP(A226,'Aux - pivots1'!$A:$B,2,0)</f>
        <v>6</v>
      </c>
      <c r="I226" s="93">
        <f>SUMIFS(Table1[Estimação (horas)],Table1[Tabela],Plano_V1!E226,Table1[Campo],Plano_V1!F226)</f>
        <v>0.6</v>
      </c>
      <c r="J226" s="93">
        <f t="shared" si="24"/>
        <v>7.4999999999999997E-2</v>
      </c>
      <c r="K226" s="98" t="s">
        <v>39</v>
      </c>
      <c r="L226" s="99">
        <f t="shared" si="25"/>
        <v>7.4999999999999997E-2</v>
      </c>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100"/>
      <c r="AU226" s="87"/>
      <c r="AV226" s="87"/>
      <c r="AW226" s="87"/>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100"/>
      <c r="EJ226" s="100"/>
      <c r="EK226" s="100"/>
      <c r="EL226" s="100"/>
      <c r="EM226" s="100"/>
      <c r="EN226" s="100"/>
      <c r="EO226" s="100"/>
      <c r="EP226" s="87"/>
      <c r="EQ226" s="87"/>
      <c r="ER226" s="87"/>
      <c r="ES226" s="87"/>
      <c r="ET226" s="87"/>
      <c r="EU226" s="87"/>
      <c r="EV226" s="87"/>
      <c r="EW226" s="87"/>
      <c r="EX226" s="87"/>
      <c r="EY226" s="87"/>
      <c r="EZ226" s="87"/>
      <c r="FA226" s="87"/>
      <c r="FB226" s="87"/>
      <c r="FC226" s="87"/>
      <c r="FD226" s="87"/>
      <c r="FE226" s="87"/>
      <c r="FF226" s="87"/>
      <c r="FG226" s="87"/>
      <c r="FH226" s="87"/>
      <c r="FI226" s="87"/>
      <c r="FJ226" s="87"/>
      <c r="FK226" s="87"/>
    </row>
    <row r="227" spans="1:167" outlineLevel="1">
      <c r="A227" s="31" t="str">
        <f t="shared" si="26"/>
        <v>modesg_param_sfcs_taxon_europeiazdeposit</v>
      </c>
      <c r="B227" s="76" t="s">
        <v>28</v>
      </c>
      <c r="C227" s="77" t="s">
        <v>178</v>
      </c>
      <c r="D227" s="73" t="s">
        <v>40</v>
      </c>
      <c r="E227" s="75" t="s">
        <v>179</v>
      </c>
      <c r="F227" s="73" t="s">
        <v>204</v>
      </c>
      <c r="G227" s="73" t="str">
        <f>INDEX(Auxiliar!$B$16:$B$23,MATCH(Plano_V1!H227,Auxiliar!$C$16:$C$23,0),1)</f>
        <v>6. Em implementação (re-especificação)</v>
      </c>
      <c r="H227" s="73">
        <f>VLOOKUP(A227,'Aux - pivots1'!$A:$B,2,0)</f>
        <v>6</v>
      </c>
      <c r="I227" s="93">
        <f>SUMIFS(Table1[Estimação (horas)],Table1[Tabela],Plano_V1!E227,Table1[Campo],Plano_V1!F227)</f>
        <v>0.6</v>
      </c>
      <c r="J227" s="93">
        <f t="shared" si="24"/>
        <v>7.4999999999999997E-2</v>
      </c>
      <c r="K227" s="98" t="s">
        <v>39</v>
      </c>
      <c r="L227" s="99">
        <f t="shared" si="25"/>
        <v>7.4999999999999997E-2</v>
      </c>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100"/>
      <c r="AU227" s="87"/>
      <c r="AV227" s="87"/>
      <c r="AW227" s="87"/>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100"/>
      <c r="EJ227" s="100"/>
      <c r="EK227" s="100"/>
      <c r="EL227" s="100"/>
      <c r="EM227" s="100"/>
      <c r="EN227" s="100"/>
      <c r="EO227" s="100"/>
      <c r="EP227" s="87"/>
      <c r="EQ227" s="87"/>
      <c r="ER227" s="87"/>
      <c r="ES227" s="87"/>
      <c r="ET227" s="87"/>
      <c r="EU227" s="87"/>
      <c r="EV227" s="87"/>
      <c r="EW227" s="87"/>
      <c r="EX227" s="87"/>
      <c r="EY227" s="87"/>
      <c r="EZ227" s="87"/>
      <c r="FA227" s="87"/>
      <c r="FB227" s="87"/>
      <c r="FC227" s="87"/>
      <c r="FD227" s="87"/>
      <c r="FE227" s="87"/>
      <c r="FF227" s="87"/>
      <c r="FG227" s="87"/>
      <c r="FH227" s="87"/>
      <c r="FI227" s="87"/>
      <c r="FJ227" s="87"/>
      <c r="FK227" s="87"/>
    </row>
    <row r="228" spans="1:167" outlineLevel="1">
      <c r="A228" s="31" t="str">
        <f t="shared" si="26"/>
        <v>modesg_inp_emss_vclsn.a.</v>
      </c>
      <c r="B228" s="76" t="s">
        <v>28</v>
      </c>
      <c r="C228" s="77" t="s">
        <v>178</v>
      </c>
      <c r="D228" s="73" t="s">
        <v>36</v>
      </c>
      <c r="E228" s="75" t="s">
        <v>205</v>
      </c>
      <c r="F228" s="73" t="s">
        <v>38</v>
      </c>
      <c r="G228" s="73" t="str">
        <f>INDEX(Auxiliar!$B$16:$B$23,MATCH(Plano_V1!H228,Auxiliar!$C$16:$C$23,0),1)</f>
        <v>1. Concluído</v>
      </c>
      <c r="H228" s="73">
        <f>VLOOKUP(A228,'Aux - pivots1'!$A:$B,2,0)</f>
        <v>1</v>
      </c>
      <c r="I228" s="93">
        <f>SUMIFS(Table1[Estimação (horas)],Table1[Tabela],Plano_V1!E228,Table1[Campo],Plano_V1!F228)</f>
        <v>8.5</v>
      </c>
      <c r="J228" s="93">
        <f t="shared" si="24"/>
        <v>1.0625</v>
      </c>
      <c r="K228" s="98" t="s">
        <v>39</v>
      </c>
      <c r="L228" s="99">
        <f t="shared" si="25"/>
        <v>1.0625</v>
      </c>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100"/>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100"/>
      <c r="EJ228" s="100"/>
      <c r="EK228" s="100"/>
      <c r="EL228" s="100"/>
      <c r="EM228" s="100"/>
      <c r="EN228" s="100"/>
      <c r="EO228" s="100"/>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row>
    <row r="229" spans="1:167" outlineLevel="1">
      <c r="A229" s="31" t="str">
        <f t="shared" si="26"/>
        <v>modesg_inp_km_medios_emss_vclsn.a.</v>
      </c>
      <c r="B229" s="76" t="s">
        <v>28</v>
      </c>
      <c r="C229" s="77" t="s">
        <v>178</v>
      </c>
      <c r="D229" s="73" t="s">
        <v>36</v>
      </c>
      <c r="E229" s="75" t="s">
        <v>206</v>
      </c>
      <c r="F229" s="73" t="s">
        <v>38</v>
      </c>
      <c r="G229" s="73" t="str">
        <f>INDEX(Auxiliar!$B$16:$B$23,MATCH(Plano_V1!H229,Auxiliar!$C$16:$C$23,0),1)</f>
        <v>1. Concluído</v>
      </c>
      <c r="H229" s="73">
        <f>VLOOKUP(A229,'Aux - pivots1'!$A:$B,2,0)</f>
        <v>1</v>
      </c>
      <c r="I229" s="93">
        <f>SUMIFS(Table1[Estimação (horas)],Table1[Tabela],Plano_V1!E229,Table1[Campo],Plano_V1!F229)</f>
        <v>8.5</v>
      </c>
      <c r="J229" s="93">
        <f t="shared" si="24"/>
        <v>1.0625</v>
      </c>
      <c r="K229" s="98" t="s">
        <v>39</v>
      </c>
      <c r="L229" s="99">
        <f t="shared" si="25"/>
        <v>1.0625</v>
      </c>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100"/>
      <c r="AU229" s="87"/>
      <c r="AV229" s="87"/>
      <c r="AW229" s="87"/>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100"/>
      <c r="EJ229" s="100"/>
      <c r="EK229" s="100"/>
      <c r="EL229" s="100"/>
      <c r="EM229" s="100"/>
      <c r="EN229" s="100"/>
      <c r="EO229" s="100"/>
      <c r="EP229" s="87"/>
      <c r="EQ229" s="87"/>
      <c r="ER229" s="87"/>
      <c r="ES229" s="87"/>
      <c r="ET229" s="87"/>
      <c r="EU229" s="87"/>
      <c r="EV229" s="87"/>
      <c r="EW229" s="87"/>
      <c r="EX229" s="87"/>
      <c r="EY229" s="87"/>
      <c r="EZ229" s="87"/>
      <c r="FA229" s="87"/>
      <c r="FB229" s="87"/>
      <c r="FC229" s="87"/>
      <c r="FD229" s="87"/>
      <c r="FE229" s="87"/>
      <c r="FF229" s="87"/>
      <c r="FG229" s="87"/>
      <c r="FH229" s="87"/>
      <c r="FI229" s="87"/>
      <c r="FJ229" s="87"/>
      <c r="FK229" s="87"/>
    </row>
    <row r="230" spans="1:167" outlineLevel="1">
      <c r="A230" s="31" t="str">
        <f t="shared" si="26"/>
        <v>modesg_inp_empr_excl_parisn.a.</v>
      </c>
      <c r="B230" s="76" t="s">
        <v>28</v>
      </c>
      <c r="C230" s="77" t="s">
        <v>178</v>
      </c>
      <c r="D230" s="73" t="s">
        <v>36</v>
      </c>
      <c r="E230" s="75" t="s">
        <v>207</v>
      </c>
      <c r="F230" s="73" t="s">
        <v>38</v>
      </c>
      <c r="G230" s="73" t="str">
        <f>INDEX(Auxiliar!$B$16:$B$23,MATCH(Plano_V1!H230,Auxiliar!$C$16:$C$23,0),1)</f>
        <v>1. Concluído</v>
      </c>
      <c r="H230" s="73">
        <f>VLOOKUP(A230,'Aux - pivots1'!$A:$B,2,0)</f>
        <v>1</v>
      </c>
      <c r="I230" s="93">
        <f>SUMIFS(Table1[Estimação (horas)],Table1[Tabela],Plano_V1!E230,Table1[Campo],Plano_V1!F230)</f>
        <v>8.5</v>
      </c>
      <c r="J230" s="93">
        <f t="shared" si="24"/>
        <v>1.0625</v>
      </c>
      <c r="K230" s="98" t="s">
        <v>39</v>
      </c>
      <c r="L230" s="99">
        <f t="shared" si="25"/>
        <v>1.0625</v>
      </c>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100"/>
      <c r="AU230" s="87"/>
      <c r="AV230" s="87"/>
      <c r="AW230" s="87"/>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100"/>
      <c r="EJ230" s="100"/>
      <c r="EK230" s="100"/>
      <c r="EL230" s="100"/>
      <c r="EM230" s="100"/>
      <c r="EN230" s="100"/>
      <c r="EO230" s="100"/>
      <c r="EP230" s="87"/>
      <c r="EQ230" s="87"/>
      <c r="ER230" s="87"/>
      <c r="ES230" s="87"/>
      <c r="ET230" s="87"/>
      <c r="EU230" s="87"/>
      <c r="EV230" s="87"/>
      <c r="EW230" s="87"/>
      <c r="EX230" s="87"/>
      <c r="EY230" s="87"/>
      <c r="EZ230" s="87"/>
      <c r="FA230" s="87"/>
      <c r="FB230" s="87"/>
      <c r="FC230" s="87"/>
      <c r="FD230" s="87"/>
      <c r="FE230" s="87"/>
      <c r="FF230" s="87"/>
      <c r="FG230" s="87"/>
      <c r="FH230" s="87"/>
      <c r="FI230" s="87"/>
      <c r="FJ230" s="87"/>
      <c r="FK230" s="87"/>
    </row>
    <row r="231" spans="1:167" outlineLevel="1">
      <c r="A231" s="31" t="str">
        <f t="shared" si="26"/>
        <v>modesg_inp_nfrd_alinhamento_taxn.a.</v>
      </c>
      <c r="B231" s="76" t="s">
        <v>28</v>
      </c>
      <c r="C231" s="77" t="s">
        <v>178</v>
      </c>
      <c r="D231" s="73" t="s">
        <v>36</v>
      </c>
      <c r="E231" s="75" t="s">
        <v>208</v>
      </c>
      <c r="F231" s="73" t="s">
        <v>38</v>
      </c>
      <c r="G231" s="73" t="str">
        <f>INDEX(Auxiliar!$B$16:$B$23,MATCH(Plano_V1!H231,Auxiliar!$C$16:$C$23,0),1)</f>
        <v>1. Concluído</v>
      </c>
      <c r="H231" s="73">
        <f>VLOOKUP(A231,'Aux - pivots1'!$A:$B,2,0)</f>
        <v>1</v>
      </c>
      <c r="I231" s="93">
        <f>SUMIFS(Table1[Estimação (horas)],Table1[Tabela],Plano_V1!E231,Table1[Campo],Plano_V1!F231)</f>
        <v>8.5</v>
      </c>
      <c r="J231" s="93">
        <f t="shared" si="24"/>
        <v>1.0625</v>
      </c>
      <c r="K231" s="98" t="s">
        <v>39</v>
      </c>
      <c r="L231" s="99">
        <f t="shared" si="25"/>
        <v>1.0625</v>
      </c>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100"/>
      <c r="AU231" s="87"/>
      <c r="AV231" s="87"/>
      <c r="AW231" s="87"/>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100"/>
      <c r="EJ231" s="100"/>
      <c r="EK231" s="100"/>
      <c r="EL231" s="100"/>
      <c r="EM231" s="100"/>
      <c r="EN231" s="100"/>
      <c r="EO231" s="100"/>
      <c r="EP231" s="87"/>
      <c r="EQ231" s="87"/>
      <c r="ER231" s="87"/>
      <c r="ES231" s="87"/>
      <c r="ET231" s="87"/>
      <c r="EU231" s="87"/>
      <c r="EV231" s="87"/>
      <c r="EW231" s="87"/>
      <c r="EX231" s="87"/>
      <c r="EY231" s="87"/>
      <c r="EZ231" s="87"/>
      <c r="FA231" s="87"/>
      <c r="FB231" s="87"/>
      <c r="FC231" s="87"/>
      <c r="FD231" s="87"/>
      <c r="FE231" s="87"/>
      <c r="FF231" s="87"/>
      <c r="FG231" s="87"/>
      <c r="FH231" s="87"/>
      <c r="FI231" s="87"/>
      <c r="FJ231" s="87"/>
      <c r="FK231" s="87"/>
    </row>
    <row r="232" spans="1:167" outlineLevel="1">
      <c r="A232" s="31" t="str">
        <f t="shared" si="26"/>
        <v>modesg_inp_risco_fisicon.a.</v>
      </c>
      <c r="B232" s="76" t="s">
        <v>28</v>
      </c>
      <c r="C232" s="77" t="s">
        <v>178</v>
      </c>
      <c r="D232" s="73" t="s">
        <v>36</v>
      </c>
      <c r="E232" s="75" t="s">
        <v>209</v>
      </c>
      <c r="F232" s="73" t="s">
        <v>38</v>
      </c>
      <c r="G232" s="73" t="str">
        <f>INDEX(Auxiliar!$B$16:$B$23,MATCH(Plano_V1!H232,Auxiliar!$C$16:$C$23,0),1)</f>
        <v>1. Concluído</v>
      </c>
      <c r="H232" s="73">
        <f>VLOOKUP(A232,'Aux - pivots1'!$A:$B,2,0)</f>
        <v>1</v>
      </c>
      <c r="I232" s="93">
        <f>SUMIFS(Table1[Estimação (horas)],Table1[Tabela],Plano_V1!E232,Table1[Campo],Plano_V1!F232)</f>
        <v>8.5</v>
      </c>
      <c r="J232" s="93">
        <f t="shared" si="24"/>
        <v>1.0625</v>
      </c>
      <c r="K232" s="98" t="s">
        <v>39</v>
      </c>
      <c r="L232" s="99">
        <f t="shared" si="25"/>
        <v>1.0625</v>
      </c>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100"/>
      <c r="AU232" s="87"/>
      <c r="AV232" s="87"/>
      <c r="AW232" s="87"/>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100"/>
      <c r="EJ232" s="100"/>
      <c r="EK232" s="100"/>
      <c r="EL232" s="100"/>
      <c r="EM232" s="100"/>
      <c r="EN232" s="100"/>
      <c r="EO232" s="100"/>
      <c r="EP232" s="87"/>
      <c r="EQ232" s="87"/>
      <c r="ER232" s="87"/>
      <c r="ES232" s="87"/>
      <c r="ET232" s="87"/>
      <c r="EU232" s="87"/>
      <c r="EV232" s="87"/>
      <c r="EW232" s="87"/>
      <c r="EX232" s="87"/>
      <c r="EY232" s="87"/>
      <c r="EZ232" s="87"/>
      <c r="FA232" s="87"/>
      <c r="FB232" s="87"/>
      <c r="FC232" s="87"/>
      <c r="FD232" s="87"/>
      <c r="FE232" s="87"/>
      <c r="FF232" s="87"/>
      <c r="FG232" s="87"/>
      <c r="FH232" s="87"/>
      <c r="FI232" s="87"/>
      <c r="FJ232" s="87"/>
      <c r="FK232" s="87"/>
    </row>
    <row r="233" spans="1:167" outlineLevel="1">
      <c r="A233" s="31" t="str">
        <f t="shared" si="26"/>
        <v>modesg_inp_emss_scibn.a.</v>
      </c>
      <c r="B233" s="76" t="s">
        <v>28</v>
      </c>
      <c r="C233" s="77" t="s">
        <v>178</v>
      </c>
      <c r="D233" s="73" t="s">
        <v>36</v>
      </c>
      <c r="E233" s="75" t="s">
        <v>210</v>
      </c>
      <c r="F233" s="73" t="s">
        <v>38</v>
      </c>
      <c r="G233" s="73" t="str">
        <f>INDEX(Auxiliar!$B$16:$B$23,MATCH(Plano_V1!H233,Auxiliar!$C$16:$C$23,0),1)</f>
        <v>1. Concluído</v>
      </c>
      <c r="H233" s="73">
        <f>VLOOKUP(A233,'Aux - pivots1'!$A:$B,2,0)</f>
        <v>1</v>
      </c>
      <c r="I233" s="93">
        <f>SUMIFS(Table1[Estimação (horas)],Table1[Tabela],Plano_V1!E233,Table1[Campo],Plano_V1!F233)</f>
        <v>8.5</v>
      </c>
      <c r="J233" s="93">
        <f t="shared" si="24"/>
        <v>1.0625</v>
      </c>
      <c r="K233" s="98" t="s">
        <v>39</v>
      </c>
      <c r="L233" s="99">
        <f t="shared" si="25"/>
        <v>1.0625</v>
      </c>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100"/>
      <c r="AU233" s="87"/>
      <c r="AV233" s="87"/>
      <c r="AW233" s="87"/>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100"/>
      <c r="EJ233" s="100"/>
      <c r="EK233" s="100"/>
      <c r="EL233" s="100"/>
      <c r="EM233" s="100"/>
      <c r="EN233" s="100"/>
      <c r="EO233" s="100"/>
      <c r="EP233" s="87"/>
      <c r="EQ233" s="87"/>
      <c r="ER233" s="87"/>
      <c r="ES233" s="87"/>
      <c r="ET233" s="87"/>
      <c r="EU233" s="87"/>
      <c r="EV233" s="87"/>
      <c r="EW233" s="87"/>
      <c r="EX233" s="87"/>
      <c r="EY233" s="87"/>
      <c r="EZ233" s="87"/>
      <c r="FA233" s="87"/>
      <c r="FB233" s="87"/>
      <c r="FC233" s="87"/>
      <c r="FD233" s="87"/>
      <c r="FE233" s="87"/>
      <c r="FF233" s="87"/>
      <c r="FG233" s="87"/>
      <c r="FH233" s="87"/>
      <c r="FI233" s="87"/>
      <c r="FJ233" s="87"/>
      <c r="FK233" s="87"/>
    </row>
    <row r="234" spans="1:167" outlineLevel="1">
      <c r="A234" s="31" t="str">
        <f t="shared" si="26"/>
        <v>modesg_inp_emss_nacen.a.</v>
      </c>
      <c r="B234" s="76" t="s">
        <v>28</v>
      </c>
      <c r="C234" s="77" t="s">
        <v>178</v>
      </c>
      <c r="D234" s="73" t="s">
        <v>36</v>
      </c>
      <c r="E234" s="75" t="s">
        <v>211</v>
      </c>
      <c r="F234" s="73" t="s">
        <v>38</v>
      </c>
      <c r="G234" s="73" t="str">
        <f>INDEX(Auxiliar!$B$16:$B$23,MATCH(Plano_V1!H234,Auxiliar!$C$16:$C$23,0),1)</f>
        <v>1. Concluído</v>
      </c>
      <c r="H234" s="73">
        <f>VLOOKUP(A234,'Aux - pivots1'!$A:$B,2,0)</f>
        <v>1</v>
      </c>
      <c r="I234" s="93">
        <f>SUMIFS(Table1[Estimação (horas)],Table1[Tabela],Plano_V1!E234,Table1[Campo],Plano_V1!F234)</f>
        <v>8.5</v>
      </c>
      <c r="J234" s="93">
        <f t="shared" si="24"/>
        <v>1.0625</v>
      </c>
      <c r="K234" s="98" t="s">
        <v>39</v>
      </c>
      <c r="L234" s="99">
        <f t="shared" si="25"/>
        <v>1.0625</v>
      </c>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100"/>
      <c r="AU234" s="87"/>
      <c r="AV234" s="87"/>
      <c r="AW234" s="87"/>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100"/>
      <c r="EJ234" s="100"/>
      <c r="EK234" s="100"/>
      <c r="EL234" s="100"/>
      <c r="EM234" s="100"/>
      <c r="EN234" s="100"/>
      <c r="EO234" s="100"/>
      <c r="EP234" s="87"/>
      <c r="EQ234" s="87"/>
      <c r="ER234" s="87"/>
      <c r="ES234" s="87"/>
      <c r="ET234" s="87"/>
      <c r="EU234" s="87"/>
      <c r="EV234" s="87"/>
      <c r="EW234" s="87"/>
      <c r="EX234" s="87"/>
      <c r="EY234" s="87"/>
      <c r="EZ234" s="87"/>
      <c r="FA234" s="87"/>
      <c r="FB234" s="87"/>
      <c r="FC234" s="87"/>
      <c r="FD234" s="87"/>
      <c r="FE234" s="87"/>
      <c r="FF234" s="87"/>
      <c r="FG234" s="87"/>
      <c r="FH234" s="87"/>
      <c r="FI234" s="87"/>
      <c r="FJ234" s="87"/>
      <c r="FK234" s="87"/>
    </row>
    <row r="235" spans="1:167" outlineLevel="1">
      <c r="A235" s="31" t="str">
        <f t="shared" si="26"/>
        <v>modesg_inp_emss_bens_imoveisn.a.</v>
      </c>
      <c r="B235" s="76" t="s">
        <v>28</v>
      </c>
      <c r="C235" s="77" t="s">
        <v>178</v>
      </c>
      <c r="D235" s="73" t="s">
        <v>36</v>
      </c>
      <c r="E235" s="75" t="s">
        <v>212</v>
      </c>
      <c r="F235" s="73" t="s">
        <v>38</v>
      </c>
      <c r="G235" s="73" t="str">
        <f>INDEX(Auxiliar!$B$16:$B$23,MATCH(Plano_V1!H235,Auxiliar!$C$16:$C$23,0),1)</f>
        <v>1. Concluído</v>
      </c>
      <c r="H235" s="73">
        <f>VLOOKUP(A235,'Aux - pivots1'!$A:$B,2,0)</f>
        <v>1</v>
      </c>
      <c r="I235" s="93">
        <f>SUMIFS(Table1[Estimação (horas)],Table1[Tabela],Plano_V1!E235,Table1[Campo],Plano_V1!F235)</f>
        <v>8.5</v>
      </c>
      <c r="J235" s="93">
        <f t="shared" si="24"/>
        <v>1.0625</v>
      </c>
      <c r="K235" s="98" t="s">
        <v>39</v>
      </c>
      <c r="L235" s="99">
        <f t="shared" si="25"/>
        <v>1.0625</v>
      </c>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100"/>
      <c r="AU235" s="87"/>
      <c r="AV235" s="87"/>
      <c r="AW235" s="87"/>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100"/>
      <c r="EJ235" s="100"/>
      <c r="EK235" s="100"/>
      <c r="EL235" s="100"/>
      <c r="EM235" s="100"/>
      <c r="EN235" s="100"/>
      <c r="EO235" s="100"/>
      <c r="EP235" s="87"/>
      <c r="EQ235" s="87"/>
      <c r="ER235" s="87"/>
      <c r="ES235" s="87"/>
      <c r="ET235" s="87"/>
      <c r="EU235" s="87"/>
      <c r="EV235" s="87"/>
      <c r="EW235" s="87"/>
      <c r="EX235" s="87"/>
      <c r="EY235" s="87"/>
      <c r="EZ235" s="87"/>
      <c r="FA235" s="87"/>
      <c r="FB235" s="87"/>
      <c r="FC235" s="87"/>
      <c r="FD235" s="87"/>
      <c r="FE235" s="87"/>
      <c r="FF235" s="87"/>
      <c r="FG235" s="87"/>
      <c r="FH235" s="87"/>
      <c r="FI235" s="87"/>
      <c r="FJ235" s="87"/>
      <c r="FK235" s="87"/>
    </row>
    <row r="236" spans="1:167" outlineLevel="1">
      <c r="A236" s="31" t="str">
        <f t="shared" si="26"/>
        <v>modesg_inp_emss_vclsref_date</v>
      </c>
      <c r="B236" s="76" t="s">
        <v>28</v>
      </c>
      <c r="C236" s="77" t="s">
        <v>178</v>
      </c>
      <c r="D236" s="73" t="s">
        <v>40</v>
      </c>
      <c r="E236" s="75" t="s">
        <v>205</v>
      </c>
      <c r="F236" s="73" t="s">
        <v>73</v>
      </c>
      <c r="G236" s="73" t="str">
        <f>INDEX(Auxiliar!$B$16:$B$23,MATCH(Plano_V1!H236,Auxiliar!$C$16:$C$23,0),1)</f>
        <v>1. Concluído</v>
      </c>
      <c r="H236" s="73">
        <f>VLOOKUP(A236,'Aux - pivots1'!$A:$B,2,0)</f>
        <v>1</v>
      </c>
      <c r="I236" s="93">
        <f>SUMIFS(Table1[Estimação (horas)],Table1[Tabela],Plano_V1!E236,Table1[Campo],Plano_V1!F236)</f>
        <v>0.5</v>
      </c>
      <c r="J236" s="93">
        <f t="shared" si="24"/>
        <v>6.25E-2</v>
      </c>
      <c r="K236" s="98" t="s">
        <v>39</v>
      </c>
      <c r="L236" s="99">
        <f t="shared" si="25"/>
        <v>6.25E-2</v>
      </c>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100"/>
      <c r="AU236" s="87"/>
      <c r="AV236" s="87"/>
      <c r="AW236" s="87"/>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100"/>
      <c r="EJ236" s="100"/>
      <c r="EK236" s="100"/>
      <c r="EL236" s="100"/>
      <c r="EM236" s="100"/>
      <c r="EN236" s="100"/>
      <c r="EO236" s="100"/>
      <c r="EP236" s="87"/>
      <c r="EQ236" s="87"/>
      <c r="ER236" s="87"/>
      <c r="ES236" s="87"/>
      <c r="ET236" s="87"/>
      <c r="EU236" s="87"/>
      <c r="EV236" s="87"/>
      <c r="EW236" s="87"/>
      <c r="EX236" s="87"/>
      <c r="EY236" s="87"/>
      <c r="EZ236" s="87"/>
      <c r="FA236" s="87"/>
      <c r="FB236" s="87"/>
      <c r="FC236" s="87"/>
      <c r="FD236" s="87"/>
      <c r="FE236" s="87"/>
      <c r="FF236" s="87"/>
      <c r="FG236" s="87"/>
      <c r="FH236" s="87"/>
      <c r="FI236" s="87"/>
      <c r="FJ236" s="87"/>
      <c r="FK236" s="87"/>
    </row>
    <row r="237" spans="1:167" outlineLevel="1">
      <c r="A237" s="31" t="str">
        <f t="shared" si="26"/>
        <v>modesg_inp_emss_vclsnome_regiao</v>
      </c>
      <c r="B237" s="76" t="s">
        <v>28</v>
      </c>
      <c r="C237" s="77" t="s">
        <v>178</v>
      </c>
      <c r="D237" s="73" t="s">
        <v>40</v>
      </c>
      <c r="E237" s="75" t="s">
        <v>205</v>
      </c>
      <c r="F237" s="73" t="s">
        <v>213</v>
      </c>
      <c r="G237" s="73" t="str">
        <f>INDEX(Auxiliar!$B$16:$B$23,MATCH(Plano_V1!H237,Auxiliar!$C$16:$C$23,0),1)</f>
        <v>1. Concluído</v>
      </c>
      <c r="H237" s="73">
        <f>VLOOKUP(A237,'Aux - pivots1'!$A:$B,2,0)</f>
        <v>1</v>
      </c>
      <c r="I237" s="93">
        <f>SUMIFS(Table1[Estimação (horas)],Table1[Tabela],Plano_V1!E237,Table1[Campo],Plano_V1!F237)</f>
        <v>0.6</v>
      </c>
      <c r="J237" s="93">
        <f t="shared" si="24"/>
        <v>7.4999999999999997E-2</v>
      </c>
      <c r="K237" s="98" t="s">
        <v>39</v>
      </c>
      <c r="L237" s="99">
        <f t="shared" si="25"/>
        <v>7.4999999999999997E-2</v>
      </c>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100"/>
      <c r="AU237" s="87"/>
      <c r="AV237" s="87"/>
      <c r="AW237" s="87"/>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100"/>
      <c r="EJ237" s="100"/>
      <c r="EK237" s="100"/>
      <c r="EL237" s="100"/>
      <c r="EM237" s="100"/>
      <c r="EN237" s="100"/>
      <c r="EO237" s="100"/>
      <c r="EP237" s="87"/>
      <c r="EQ237" s="87"/>
      <c r="ER237" s="87"/>
      <c r="ES237" s="87"/>
      <c r="ET237" s="87"/>
      <c r="EU237" s="87"/>
      <c r="EV237" s="87"/>
      <c r="EW237" s="87"/>
      <c r="EX237" s="87"/>
      <c r="EY237" s="87"/>
      <c r="EZ237" s="87"/>
      <c r="FA237" s="87"/>
      <c r="FB237" s="87"/>
      <c r="FC237" s="87"/>
      <c r="FD237" s="87"/>
      <c r="FE237" s="87"/>
      <c r="FF237" s="87"/>
      <c r="FG237" s="87"/>
      <c r="FH237" s="87"/>
      <c r="FI237" s="87"/>
      <c r="FJ237" s="87"/>
      <c r="FK237" s="87"/>
    </row>
    <row r="238" spans="1:167" outlineLevel="1">
      <c r="A238" s="31" t="str">
        <f t="shared" si="26"/>
        <v>modesg_inp_emss_vclsnome_pais</v>
      </c>
      <c r="B238" s="76" t="s">
        <v>28</v>
      </c>
      <c r="C238" s="77" t="s">
        <v>178</v>
      </c>
      <c r="D238" s="73" t="s">
        <v>40</v>
      </c>
      <c r="E238" s="75" t="s">
        <v>205</v>
      </c>
      <c r="F238" s="73" t="s">
        <v>214</v>
      </c>
      <c r="G238" s="73" t="str">
        <f>INDEX(Auxiliar!$B$16:$B$23,MATCH(Plano_V1!H238,Auxiliar!$C$16:$C$23,0),1)</f>
        <v>1. Concluído</v>
      </c>
      <c r="H238" s="73">
        <f>VLOOKUP(A238,'Aux - pivots1'!$A:$B,2,0)</f>
        <v>1</v>
      </c>
      <c r="I238" s="93">
        <f>SUMIFS(Table1[Estimação (horas)],Table1[Tabela],Plano_V1!E238,Table1[Campo],Plano_V1!F238)</f>
        <v>0.6</v>
      </c>
      <c r="J238" s="93">
        <f t="shared" si="24"/>
        <v>7.4999999999999997E-2</v>
      </c>
      <c r="K238" s="98" t="s">
        <v>39</v>
      </c>
      <c r="L238" s="99">
        <f t="shared" si="25"/>
        <v>7.4999999999999997E-2</v>
      </c>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100"/>
      <c r="AU238" s="87"/>
      <c r="AV238" s="87"/>
      <c r="AW238" s="87"/>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100"/>
      <c r="EJ238" s="100"/>
      <c r="EK238" s="100"/>
      <c r="EL238" s="100"/>
      <c r="EM238" s="100"/>
      <c r="EN238" s="100"/>
      <c r="EO238" s="100"/>
      <c r="EP238" s="87"/>
      <c r="EQ238" s="87"/>
      <c r="ER238" s="87"/>
      <c r="ES238" s="87"/>
      <c r="ET238" s="87"/>
      <c r="EU238" s="87"/>
      <c r="EV238" s="87"/>
      <c r="EW238" s="87"/>
      <c r="EX238" s="87"/>
      <c r="EY238" s="87"/>
      <c r="EZ238" s="87"/>
      <c r="FA238" s="87"/>
      <c r="FB238" s="87"/>
      <c r="FC238" s="87"/>
      <c r="FD238" s="87"/>
      <c r="FE238" s="87"/>
      <c r="FF238" s="87"/>
      <c r="FG238" s="87"/>
      <c r="FH238" s="87"/>
      <c r="FI238" s="87"/>
      <c r="FJ238" s="87"/>
      <c r="FK238" s="87"/>
    </row>
    <row r="239" spans="1:167" outlineLevel="1">
      <c r="A239" s="31" t="str">
        <f t="shared" si="26"/>
        <v>modesg_inp_emss_vclsnome_estado</v>
      </c>
      <c r="B239" s="76" t="s">
        <v>28</v>
      </c>
      <c r="C239" s="77" t="s">
        <v>178</v>
      </c>
      <c r="D239" s="73" t="s">
        <v>40</v>
      </c>
      <c r="E239" s="75" t="s">
        <v>205</v>
      </c>
      <c r="F239" s="73" t="s">
        <v>215</v>
      </c>
      <c r="G239" s="73" t="str">
        <f>INDEX(Auxiliar!$B$16:$B$23,MATCH(Plano_V1!H239,Auxiliar!$C$16:$C$23,0),1)</f>
        <v>1. Concluído</v>
      </c>
      <c r="H239" s="73">
        <f>VLOOKUP(A239,'Aux - pivots1'!$A:$B,2,0)</f>
        <v>1</v>
      </c>
      <c r="I239" s="93">
        <f>SUMIFS(Table1[Estimação (horas)],Table1[Tabela],Plano_V1!E239,Table1[Campo],Plano_V1!F239)</f>
        <v>0.5</v>
      </c>
      <c r="J239" s="93">
        <f t="shared" si="24"/>
        <v>6.25E-2</v>
      </c>
      <c r="K239" s="98" t="s">
        <v>39</v>
      </c>
      <c r="L239" s="99">
        <f t="shared" si="25"/>
        <v>6.25E-2</v>
      </c>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100"/>
      <c r="AU239" s="87"/>
      <c r="AV239" s="87"/>
      <c r="AW239" s="87"/>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100"/>
      <c r="EJ239" s="100"/>
      <c r="EK239" s="100"/>
      <c r="EL239" s="100"/>
      <c r="EM239" s="100"/>
      <c r="EN239" s="100"/>
      <c r="EO239" s="100"/>
      <c r="EP239" s="87"/>
      <c r="EQ239" s="87"/>
      <c r="ER239" s="87"/>
      <c r="ES239" s="87"/>
      <c r="ET239" s="87"/>
      <c r="EU239" s="87"/>
      <c r="EV239" s="87"/>
      <c r="EW239" s="87"/>
      <c r="EX239" s="87"/>
      <c r="EY239" s="87"/>
      <c r="EZ239" s="87"/>
      <c r="FA239" s="87"/>
      <c r="FB239" s="87"/>
      <c r="FC239" s="87"/>
      <c r="FD239" s="87"/>
      <c r="FE239" s="87"/>
      <c r="FF239" s="87"/>
      <c r="FG239" s="87"/>
      <c r="FH239" s="87"/>
      <c r="FI239" s="87"/>
      <c r="FJ239" s="87"/>
      <c r="FK239" s="87"/>
    </row>
    <row r="240" spans="1:167" outlineLevel="1">
      <c r="A240" s="31" t="str">
        <f t="shared" si="26"/>
        <v>modesg_inp_emss_vclstipo_veiculo</v>
      </c>
      <c r="B240" s="76" t="s">
        <v>28</v>
      </c>
      <c r="C240" s="77" t="s">
        <v>178</v>
      </c>
      <c r="D240" s="73" t="s">
        <v>40</v>
      </c>
      <c r="E240" s="75" t="s">
        <v>205</v>
      </c>
      <c r="F240" s="73" t="s">
        <v>216</v>
      </c>
      <c r="G240" s="73" t="str">
        <f>INDEX(Auxiliar!$B$16:$B$23,MATCH(Plano_V1!H240,Auxiliar!$C$16:$C$23,0),1)</f>
        <v>1. Concluído</v>
      </c>
      <c r="H240" s="73">
        <f>VLOOKUP(A240,'Aux - pivots1'!$A:$B,2,0)</f>
        <v>1</v>
      </c>
      <c r="I240" s="93">
        <f>SUMIFS(Table1[Estimação (horas)],Table1[Tabela],Plano_V1!E240,Table1[Campo],Plano_V1!F240)</f>
        <v>0.6</v>
      </c>
      <c r="J240" s="93">
        <f t="shared" si="24"/>
        <v>7.4999999999999997E-2</v>
      </c>
      <c r="K240" s="98" t="s">
        <v>39</v>
      </c>
      <c r="L240" s="99">
        <f t="shared" si="25"/>
        <v>7.4999999999999997E-2</v>
      </c>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100"/>
      <c r="AU240" s="87"/>
      <c r="AV240" s="87"/>
      <c r="AW240" s="87"/>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100"/>
      <c r="EJ240" s="100"/>
      <c r="EK240" s="100"/>
      <c r="EL240" s="100"/>
      <c r="EM240" s="100"/>
      <c r="EN240" s="100"/>
      <c r="EO240" s="100"/>
      <c r="EP240" s="87"/>
      <c r="EQ240" s="87"/>
      <c r="ER240" s="87"/>
      <c r="ES240" s="87"/>
      <c r="ET240" s="87"/>
      <c r="EU240" s="87"/>
      <c r="EV240" s="87"/>
      <c r="EW240" s="87"/>
      <c r="EX240" s="87"/>
      <c r="EY240" s="87"/>
      <c r="EZ240" s="87"/>
      <c r="FA240" s="87"/>
      <c r="FB240" s="87"/>
      <c r="FC240" s="87"/>
      <c r="FD240" s="87"/>
      <c r="FE240" s="87"/>
      <c r="FF240" s="87"/>
      <c r="FG240" s="87"/>
      <c r="FH240" s="87"/>
      <c r="FI240" s="87"/>
      <c r="FJ240" s="87"/>
      <c r="FK240" s="87"/>
    </row>
    <row r="241" spans="1:167" outlineLevel="1">
      <c r="A241" s="31" t="str">
        <f t="shared" si="26"/>
        <v>modesg_inp_emss_vclstipo_motor</v>
      </c>
      <c r="B241" s="76" t="s">
        <v>28</v>
      </c>
      <c r="C241" s="77" t="s">
        <v>178</v>
      </c>
      <c r="D241" s="73" t="s">
        <v>40</v>
      </c>
      <c r="E241" s="75" t="s">
        <v>205</v>
      </c>
      <c r="F241" s="73" t="s">
        <v>217</v>
      </c>
      <c r="G241" s="73" t="str">
        <f>INDEX(Auxiliar!$B$16:$B$23,MATCH(Plano_V1!H241,Auxiliar!$C$16:$C$23,0),1)</f>
        <v>1. Concluído</v>
      </c>
      <c r="H241" s="73">
        <f>VLOOKUP(A241,'Aux - pivots1'!$A:$B,2,0)</f>
        <v>1</v>
      </c>
      <c r="I241" s="93">
        <f>SUMIFS(Table1[Estimação (horas)],Table1[Tabela],Plano_V1!E241,Table1[Campo],Plano_V1!F241)</f>
        <v>0.6</v>
      </c>
      <c r="J241" s="93">
        <f t="shared" si="24"/>
        <v>7.4999999999999997E-2</v>
      </c>
      <c r="K241" s="98" t="s">
        <v>39</v>
      </c>
      <c r="L241" s="99">
        <f t="shared" si="25"/>
        <v>7.4999999999999997E-2</v>
      </c>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100"/>
      <c r="AU241" s="87"/>
      <c r="AV241" s="87"/>
      <c r="AW241" s="87"/>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100"/>
      <c r="EJ241" s="100"/>
      <c r="EK241" s="100"/>
      <c r="EL241" s="100"/>
      <c r="EM241" s="100"/>
      <c r="EN241" s="100"/>
      <c r="EO241" s="100"/>
      <c r="EP241" s="87"/>
      <c r="EQ241" s="87"/>
      <c r="ER241" s="87"/>
      <c r="ES241" s="87"/>
      <c r="ET241" s="87"/>
      <c r="EU241" s="87"/>
      <c r="EV241" s="87"/>
      <c r="EW241" s="87"/>
      <c r="EX241" s="87"/>
      <c r="EY241" s="87"/>
      <c r="EZ241" s="87"/>
      <c r="FA241" s="87"/>
      <c r="FB241" s="87"/>
      <c r="FC241" s="87"/>
      <c r="FD241" s="87"/>
      <c r="FE241" s="87"/>
      <c r="FF241" s="87"/>
      <c r="FG241" s="87"/>
      <c r="FH241" s="87"/>
      <c r="FI241" s="87"/>
      <c r="FJ241" s="87"/>
      <c r="FK241" s="87"/>
    </row>
    <row r="242" spans="1:167" outlineLevel="1">
      <c r="A242" s="31" t="str">
        <f t="shared" si="26"/>
        <v>modesg_inp_emss_vclsmarca</v>
      </c>
      <c r="B242" s="76" t="s">
        <v>28</v>
      </c>
      <c r="C242" s="77" t="s">
        <v>178</v>
      </c>
      <c r="D242" s="73" t="s">
        <v>40</v>
      </c>
      <c r="E242" s="75" t="s">
        <v>205</v>
      </c>
      <c r="F242" s="73" t="s">
        <v>218</v>
      </c>
      <c r="G242" s="73" t="str">
        <f>INDEX(Auxiliar!$B$16:$B$23,MATCH(Plano_V1!H242,Auxiliar!$C$16:$C$23,0),1)</f>
        <v>1. Concluído</v>
      </c>
      <c r="H242" s="73">
        <f>VLOOKUP(A242,'Aux - pivots1'!$A:$B,2,0)</f>
        <v>1</v>
      </c>
      <c r="I242" s="93">
        <f>SUMIFS(Table1[Estimação (horas)],Table1[Tabela],Plano_V1!E242,Table1[Campo],Plano_V1!F242)</f>
        <v>0.6</v>
      </c>
      <c r="J242" s="93">
        <f t="shared" si="24"/>
        <v>7.4999999999999997E-2</v>
      </c>
      <c r="K242" s="98" t="s">
        <v>39</v>
      </c>
      <c r="L242" s="99">
        <f t="shared" si="25"/>
        <v>7.4999999999999997E-2</v>
      </c>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100"/>
      <c r="AU242" s="87"/>
      <c r="AV242" s="87"/>
      <c r="AW242" s="87"/>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100"/>
      <c r="EJ242" s="100"/>
      <c r="EK242" s="100"/>
      <c r="EL242" s="100"/>
      <c r="EM242" s="100"/>
      <c r="EN242" s="100"/>
      <c r="EO242" s="100"/>
      <c r="EP242" s="87"/>
      <c r="EQ242" s="87"/>
      <c r="ER242" s="87"/>
      <c r="ES242" s="87"/>
      <c r="ET242" s="87"/>
      <c r="EU242" s="87"/>
      <c r="EV242" s="87"/>
      <c r="EW242" s="87"/>
      <c r="EX242" s="87"/>
      <c r="EY242" s="87"/>
      <c r="EZ242" s="87"/>
      <c r="FA242" s="87"/>
      <c r="FB242" s="87"/>
      <c r="FC242" s="87"/>
      <c r="FD242" s="87"/>
      <c r="FE242" s="87"/>
      <c r="FF242" s="87"/>
      <c r="FG242" s="87"/>
      <c r="FH242" s="87"/>
      <c r="FI242" s="87"/>
      <c r="FJ242" s="87"/>
      <c r="FK242" s="87"/>
    </row>
    <row r="243" spans="1:167" outlineLevel="1">
      <c r="A243" s="31" t="str">
        <f t="shared" si="26"/>
        <v>modesg_inp_emss_vclsmodelo</v>
      </c>
      <c r="B243" s="76" t="s">
        <v>28</v>
      </c>
      <c r="C243" s="77" t="s">
        <v>178</v>
      </c>
      <c r="D243" s="73" t="s">
        <v>40</v>
      </c>
      <c r="E243" s="75" t="s">
        <v>205</v>
      </c>
      <c r="F243" s="73" t="s">
        <v>219</v>
      </c>
      <c r="G243" s="73" t="str">
        <f>INDEX(Auxiliar!$B$16:$B$23,MATCH(Plano_V1!H243,Auxiliar!$C$16:$C$23,0),1)</f>
        <v>1. Concluído</v>
      </c>
      <c r="H243" s="73">
        <f>VLOOKUP(A243,'Aux - pivots1'!$A:$B,2,0)</f>
        <v>1</v>
      </c>
      <c r="I243" s="93">
        <f>SUMIFS(Table1[Estimação (horas)],Table1[Tabela],Plano_V1!E243,Table1[Campo],Plano_V1!F243)</f>
        <v>0.6</v>
      </c>
      <c r="J243" s="93">
        <f t="shared" si="24"/>
        <v>7.4999999999999997E-2</v>
      </c>
      <c r="K243" s="98" t="s">
        <v>39</v>
      </c>
      <c r="L243" s="99">
        <f t="shared" si="25"/>
        <v>7.4999999999999997E-2</v>
      </c>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100"/>
      <c r="AU243" s="87"/>
      <c r="AV243" s="87"/>
      <c r="AW243" s="87"/>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100"/>
      <c r="EJ243" s="100"/>
      <c r="EK243" s="100"/>
      <c r="EL243" s="100"/>
      <c r="EM243" s="100"/>
      <c r="EN243" s="100"/>
      <c r="EO243" s="100"/>
      <c r="EP243" s="87"/>
      <c r="EQ243" s="87"/>
      <c r="ER243" s="87"/>
      <c r="ES243" s="87"/>
      <c r="ET243" s="87"/>
      <c r="EU243" s="87"/>
      <c r="EV243" s="87"/>
      <c r="EW243" s="87"/>
      <c r="EX243" s="87"/>
      <c r="EY243" s="87"/>
      <c r="EZ243" s="87"/>
      <c r="FA243" s="87"/>
      <c r="FB243" s="87"/>
      <c r="FC243" s="87"/>
      <c r="FD243" s="87"/>
      <c r="FE243" s="87"/>
      <c r="FF243" s="87"/>
      <c r="FG243" s="87"/>
      <c r="FH243" s="87"/>
      <c r="FI243" s="87"/>
      <c r="FJ243" s="87"/>
      <c r="FK243" s="87"/>
    </row>
    <row r="244" spans="1:167" outlineLevel="1">
      <c r="A244" s="31" t="str">
        <f t="shared" si="26"/>
        <v>modesg_inp_emss_vclsdata_level_5</v>
      </c>
      <c r="B244" s="76" t="s">
        <v>28</v>
      </c>
      <c r="C244" s="77" t="s">
        <v>178</v>
      </c>
      <c r="D244" s="73" t="s">
        <v>40</v>
      </c>
      <c r="E244" s="75" t="s">
        <v>205</v>
      </c>
      <c r="F244" s="73" t="s">
        <v>220</v>
      </c>
      <c r="G244" s="73" t="e">
        <f>INDEX(Auxiliar!$B$16:$B$23,MATCH(Plano_V1!H244,Auxiliar!$C$16:$C$23,0),1)</f>
        <v>#N/A</v>
      </c>
      <c r="H244" s="73" t="e">
        <f>VLOOKUP(A244,'Aux - pivots1'!$A:$B,2,0)</f>
        <v>#N/A</v>
      </c>
      <c r="I244" s="93">
        <f>SUMIFS(Table1[Estimação (horas)],Table1[Tabela],Plano_V1!E244,Table1[Campo],Plano_V1!F244)</f>
        <v>0</v>
      </c>
      <c r="J244" s="93">
        <f t="shared" si="24"/>
        <v>0</v>
      </c>
      <c r="K244" s="98" t="s">
        <v>39</v>
      </c>
      <c r="L244" s="99">
        <f t="shared" si="25"/>
        <v>0</v>
      </c>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100"/>
      <c r="AU244" s="87"/>
      <c r="AV244" s="87"/>
      <c r="AW244" s="87"/>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100"/>
      <c r="EJ244" s="100"/>
      <c r="EK244" s="100"/>
      <c r="EL244" s="100"/>
      <c r="EM244" s="100"/>
      <c r="EN244" s="100"/>
      <c r="EO244" s="100"/>
      <c r="EP244" s="87"/>
      <c r="EQ244" s="87"/>
      <c r="ER244" s="87"/>
      <c r="ES244" s="87"/>
      <c r="ET244" s="87"/>
      <c r="EU244" s="87"/>
      <c r="EV244" s="87"/>
      <c r="EW244" s="87"/>
      <c r="EX244" s="87"/>
      <c r="EY244" s="87"/>
      <c r="EZ244" s="87"/>
      <c r="FA244" s="87"/>
      <c r="FB244" s="87"/>
      <c r="FC244" s="87"/>
      <c r="FD244" s="87"/>
      <c r="FE244" s="87"/>
      <c r="FF244" s="87"/>
      <c r="FG244" s="87"/>
      <c r="FH244" s="87"/>
      <c r="FI244" s="87"/>
      <c r="FJ244" s="87"/>
      <c r="FK244" s="87"/>
    </row>
    <row r="245" spans="1:167" outlineLevel="1">
      <c r="A245" s="31" t="str">
        <f t="shared" si="26"/>
        <v>modesg_inp_emss_vclsnome_unidade_funcional</v>
      </c>
      <c r="B245" s="76" t="s">
        <v>28</v>
      </c>
      <c r="C245" s="77" t="s">
        <v>178</v>
      </c>
      <c r="D245" s="73" t="s">
        <v>40</v>
      </c>
      <c r="E245" s="75" t="s">
        <v>205</v>
      </c>
      <c r="F245" s="73" t="s">
        <v>221</v>
      </c>
      <c r="G245" s="73" t="str">
        <f>INDEX(Auxiliar!$B$16:$B$23,MATCH(Plano_V1!H245,Auxiliar!$C$16:$C$23,0),1)</f>
        <v>1. Concluído</v>
      </c>
      <c r="H245" s="73">
        <f>VLOOKUP(A245,'Aux - pivots1'!$A:$B,2,0)</f>
        <v>1</v>
      </c>
      <c r="I245" s="93">
        <f>SUMIFS(Table1[Estimação (horas)],Table1[Tabela],Plano_V1!E245,Table1[Campo],Plano_V1!F245)</f>
        <v>0.6</v>
      </c>
      <c r="J245" s="93">
        <f t="shared" si="24"/>
        <v>7.4999999999999997E-2</v>
      </c>
      <c r="K245" s="98" t="s">
        <v>39</v>
      </c>
      <c r="L245" s="99">
        <f t="shared" si="25"/>
        <v>7.4999999999999997E-2</v>
      </c>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100"/>
      <c r="AU245" s="87"/>
      <c r="AV245" s="87"/>
      <c r="AW245" s="87"/>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100"/>
      <c r="EJ245" s="100"/>
      <c r="EK245" s="100"/>
      <c r="EL245" s="100"/>
      <c r="EM245" s="100"/>
      <c r="EN245" s="100"/>
      <c r="EO245" s="100"/>
      <c r="EP245" s="87"/>
      <c r="EQ245" s="87"/>
      <c r="ER245" s="87"/>
      <c r="ES245" s="87"/>
      <c r="ET245" s="87"/>
      <c r="EU245" s="87"/>
      <c r="EV245" s="87"/>
      <c r="EW245" s="87"/>
      <c r="EX245" s="87"/>
      <c r="EY245" s="87"/>
      <c r="EZ245" s="87"/>
      <c r="FA245" s="87"/>
      <c r="FB245" s="87"/>
      <c r="FC245" s="87"/>
      <c r="FD245" s="87"/>
      <c r="FE245" s="87"/>
      <c r="FF245" s="87"/>
      <c r="FG245" s="87"/>
      <c r="FH245" s="87"/>
      <c r="FI245" s="87"/>
      <c r="FJ245" s="87"/>
      <c r="FK245" s="87"/>
    </row>
    <row r="246" spans="1:167" outlineLevel="1">
      <c r="A246" s="31" t="str">
        <f t="shared" si="26"/>
        <v>modesg_inp_emss_vclsunidade_funcional</v>
      </c>
      <c r="B246" s="76" t="s">
        <v>28</v>
      </c>
      <c r="C246" s="77" t="s">
        <v>178</v>
      </c>
      <c r="D246" s="73" t="s">
        <v>40</v>
      </c>
      <c r="E246" s="75" t="s">
        <v>205</v>
      </c>
      <c r="F246" s="73" t="s">
        <v>222</v>
      </c>
      <c r="G246" s="73" t="str">
        <f>INDEX(Auxiliar!$B$16:$B$23,MATCH(Plano_V1!H246,Auxiliar!$C$16:$C$23,0),1)</f>
        <v>1. Concluído</v>
      </c>
      <c r="H246" s="73">
        <f>VLOOKUP(A246,'Aux - pivots1'!$A:$B,2,0)</f>
        <v>1</v>
      </c>
      <c r="I246" s="93">
        <f>SUMIFS(Table1[Estimação (horas)],Table1[Tabela],Plano_V1!E246,Table1[Campo],Plano_V1!F246)</f>
        <v>0.6</v>
      </c>
      <c r="J246" s="93">
        <f t="shared" si="24"/>
        <v>7.4999999999999997E-2</v>
      </c>
      <c r="K246" s="98" t="s">
        <v>39</v>
      </c>
      <c r="L246" s="99">
        <f t="shared" si="25"/>
        <v>7.4999999999999997E-2</v>
      </c>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100"/>
      <c r="AU246" s="87"/>
      <c r="AV246" s="87"/>
      <c r="AW246" s="87"/>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100"/>
      <c r="EJ246" s="100"/>
      <c r="EK246" s="100"/>
      <c r="EL246" s="100"/>
      <c r="EM246" s="100"/>
      <c r="EN246" s="100"/>
      <c r="EO246" s="100"/>
      <c r="EP246" s="87"/>
      <c r="EQ246" s="87"/>
      <c r="ER246" s="87"/>
      <c r="ES246" s="87"/>
      <c r="ET246" s="87"/>
      <c r="EU246" s="87"/>
      <c r="EV246" s="87"/>
      <c r="EW246" s="87"/>
      <c r="EX246" s="87"/>
      <c r="EY246" s="87"/>
      <c r="EZ246" s="87"/>
      <c r="FA246" s="87"/>
      <c r="FB246" s="87"/>
      <c r="FC246" s="87"/>
      <c r="FD246" s="87"/>
      <c r="FE246" s="87"/>
      <c r="FF246" s="87"/>
      <c r="FG246" s="87"/>
      <c r="FH246" s="87"/>
      <c r="FI246" s="87"/>
      <c r="FJ246" s="87"/>
      <c r="FK246" s="87"/>
    </row>
    <row r="247" spans="1:167" outlineLevel="1">
      <c r="A247" s="31" t="str">
        <f t="shared" si="26"/>
        <v>modesg_inp_emss_vclsnome_fator_emissao</v>
      </c>
      <c r="B247" s="76" t="s">
        <v>28</v>
      </c>
      <c r="C247" s="77" t="s">
        <v>178</v>
      </c>
      <c r="D247" s="73" t="s">
        <v>40</v>
      </c>
      <c r="E247" s="75" t="s">
        <v>205</v>
      </c>
      <c r="F247" s="73" t="s">
        <v>223</v>
      </c>
      <c r="G247" s="73" t="str">
        <f>INDEX(Auxiliar!$B$16:$B$23,MATCH(Plano_V1!H247,Auxiliar!$C$16:$C$23,0),1)</f>
        <v>1. Concluído</v>
      </c>
      <c r="H247" s="73">
        <f>VLOOKUP(A247,'Aux - pivots1'!$A:$B,2,0)</f>
        <v>1</v>
      </c>
      <c r="I247" s="93">
        <f>SUMIFS(Table1[Estimação (horas)],Table1[Tabela],Plano_V1!E247,Table1[Campo],Plano_V1!F247)</f>
        <v>0.6</v>
      </c>
      <c r="J247" s="93">
        <f t="shared" si="24"/>
        <v>7.4999999999999997E-2</v>
      </c>
      <c r="K247" s="98" t="s">
        <v>39</v>
      </c>
      <c r="L247" s="99">
        <f t="shared" si="25"/>
        <v>7.4999999999999997E-2</v>
      </c>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100"/>
      <c r="AU247" s="87"/>
      <c r="AV247" s="87"/>
      <c r="AW247" s="87"/>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100"/>
      <c r="EJ247" s="100"/>
      <c r="EK247" s="100"/>
      <c r="EL247" s="100"/>
      <c r="EM247" s="100"/>
      <c r="EN247" s="100"/>
      <c r="EO247" s="100"/>
      <c r="EP247" s="87"/>
      <c r="EQ247" s="87"/>
      <c r="ER247" s="87"/>
      <c r="ES247" s="87"/>
      <c r="ET247" s="87"/>
      <c r="EU247" s="87"/>
      <c r="EV247" s="87"/>
      <c r="EW247" s="87"/>
      <c r="EX247" s="87"/>
      <c r="EY247" s="87"/>
      <c r="EZ247" s="87"/>
      <c r="FA247" s="87"/>
      <c r="FB247" s="87"/>
      <c r="FC247" s="87"/>
      <c r="FD247" s="87"/>
      <c r="FE247" s="87"/>
      <c r="FF247" s="87"/>
      <c r="FG247" s="87"/>
      <c r="FH247" s="87"/>
      <c r="FI247" s="87"/>
      <c r="FJ247" s="87"/>
      <c r="FK247" s="87"/>
    </row>
    <row r="248" spans="1:167" outlineLevel="1">
      <c r="A248" s="31" t="str">
        <f t="shared" si="26"/>
        <v>modesg_inp_emss_vclsunidade_fator_de_emissao</v>
      </c>
      <c r="B248" s="76" t="s">
        <v>28</v>
      </c>
      <c r="C248" s="77" t="s">
        <v>178</v>
      </c>
      <c r="D248" s="73" t="s">
        <v>40</v>
      </c>
      <c r="E248" s="75" t="s">
        <v>205</v>
      </c>
      <c r="F248" s="73" t="s">
        <v>224</v>
      </c>
      <c r="G248" s="73" t="str">
        <f>INDEX(Auxiliar!$B$16:$B$23,MATCH(Plano_V1!H248,Auxiliar!$C$16:$C$23,0),1)</f>
        <v>1. Concluído</v>
      </c>
      <c r="H248" s="73">
        <f>VLOOKUP(A248,'Aux - pivots1'!$A:$B,2,0)</f>
        <v>1</v>
      </c>
      <c r="I248" s="93">
        <f>SUMIFS(Table1[Estimação (horas)],Table1[Tabela],Plano_V1!E248,Table1[Campo],Plano_V1!F248)</f>
        <v>0.6</v>
      </c>
      <c r="J248" s="93">
        <f t="shared" si="24"/>
        <v>7.4999999999999997E-2</v>
      </c>
      <c r="K248" s="98" t="s">
        <v>39</v>
      </c>
      <c r="L248" s="99">
        <f t="shared" si="25"/>
        <v>7.4999999999999997E-2</v>
      </c>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100"/>
      <c r="AU248" s="87"/>
      <c r="AV248" s="87"/>
      <c r="AW248" s="87"/>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100"/>
      <c r="EJ248" s="100"/>
      <c r="EK248" s="100"/>
      <c r="EL248" s="100"/>
      <c r="EM248" s="100"/>
      <c r="EN248" s="100"/>
      <c r="EO248" s="100"/>
      <c r="EP248" s="87"/>
      <c r="EQ248" s="87"/>
      <c r="ER248" s="87"/>
      <c r="ES248" s="87"/>
      <c r="ET248" s="87"/>
      <c r="EU248" s="87"/>
      <c r="EV248" s="87"/>
      <c r="EW248" s="87"/>
      <c r="EX248" s="87"/>
      <c r="EY248" s="87"/>
      <c r="EZ248" s="87"/>
      <c r="FA248" s="87"/>
      <c r="FB248" s="87"/>
      <c r="FC248" s="87"/>
      <c r="FD248" s="87"/>
      <c r="FE248" s="87"/>
      <c r="FF248" s="87"/>
      <c r="FG248" s="87"/>
      <c r="FH248" s="87"/>
      <c r="FI248" s="87"/>
      <c r="FJ248" s="87"/>
      <c r="FK248" s="87"/>
    </row>
    <row r="249" spans="1:167" outlineLevel="1">
      <c r="A249" s="31" t="str">
        <f t="shared" si="26"/>
        <v>modesg_inp_emss_vclsscore_qualidade</v>
      </c>
      <c r="B249" s="76" t="s">
        <v>28</v>
      </c>
      <c r="C249" s="77" t="s">
        <v>178</v>
      </c>
      <c r="D249" s="73" t="s">
        <v>40</v>
      </c>
      <c r="E249" s="75" t="s">
        <v>205</v>
      </c>
      <c r="F249" s="73" t="s">
        <v>50</v>
      </c>
      <c r="G249" s="73" t="str">
        <f>INDEX(Auxiliar!$B$16:$B$23,MATCH(Plano_V1!H249,Auxiliar!$C$16:$C$23,0),1)</f>
        <v>1. Concluído</v>
      </c>
      <c r="H249" s="73">
        <f>VLOOKUP(A249,'Aux - pivots1'!$A:$B,2,0)</f>
        <v>1</v>
      </c>
      <c r="I249" s="93">
        <f>SUMIFS(Table1[Estimação (horas)],Table1[Tabela],Plano_V1!E249,Table1[Campo],Plano_V1!F249)</f>
        <v>0.6</v>
      </c>
      <c r="J249" s="93">
        <f t="shared" si="24"/>
        <v>7.4999999999999997E-2</v>
      </c>
      <c r="K249" s="98" t="s">
        <v>39</v>
      </c>
      <c r="L249" s="99">
        <f t="shared" si="25"/>
        <v>7.4999999999999997E-2</v>
      </c>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100"/>
      <c r="AU249" s="87"/>
      <c r="AV249" s="87"/>
      <c r="AW249" s="87"/>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100"/>
      <c r="EJ249" s="100"/>
      <c r="EK249" s="100"/>
      <c r="EL249" s="100"/>
      <c r="EM249" s="100"/>
      <c r="EN249" s="100"/>
      <c r="EO249" s="100"/>
      <c r="EP249" s="87"/>
      <c r="EQ249" s="87"/>
      <c r="ER249" s="87"/>
      <c r="ES249" s="87"/>
      <c r="ET249" s="87"/>
      <c r="EU249" s="87"/>
      <c r="EV249" s="87"/>
      <c r="EW249" s="87"/>
      <c r="EX249" s="87"/>
      <c r="EY249" s="87"/>
      <c r="EZ249" s="87"/>
      <c r="FA249" s="87"/>
      <c r="FB249" s="87"/>
      <c r="FC249" s="87"/>
      <c r="FD249" s="87"/>
      <c r="FE249" s="87"/>
      <c r="FF249" s="87"/>
      <c r="FG249" s="87"/>
      <c r="FH249" s="87"/>
      <c r="FI249" s="87"/>
      <c r="FJ249" s="87"/>
      <c r="FK249" s="87"/>
    </row>
    <row r="250" spans="1:167" outlineLevel="1">
      <c r="A250" s="31" t="str">
        <f t="shared" si="26"/>
        <v>modesg_inp_emss_vclsscp1_ftr_emss</v>
      </c>
      <c r="B250" s="76" t="s">
        <v>28</v>
      </c>
      <c r="C250" s="77" t="s">
        <v>178</v>
      </c>
      <c r="D250" s="73" t="s">
        <v>40</v>
      </c>
      <c r="E250" s="75" t="s">
        <v>205</v>
      </c>
      <c r="F250" s="73" t="s">
        <v>225</v>
      </c>
      <c r="G250" s="73" t="str">
        <f>INDEX(Auxiliar!$B$16:$B$23,MATCH(Plano_V1!H250,Auxiliar!$C$16:$C$23,0),1)</f>
        <v>1. Concluído</v>
      </c>
      <c r="H250" s="73">
        <f>VLOOKUP(A250,'Aux - pivots1'!$A:$B,2,0)</f>
        <v>1</v>
      </c>
      <c r="I250" s="93">
        <f>SUMIFS(Table1[Estimação (horas)],Table1[Tabela],Plano_V1!E250,Table1[Campo],Plano_V1!F250)</f>
        <v>0.6</v>
      </c>
      <c r="J250" s="93">
        <f t="shared" si="24"/>
        <v>7.4999999999999997E-2</v>
      </c>
      <c r="K250" s="98" t="s">
        <v>39</v>
      </c>
      <c r="L250" s="99">
        <f t="shared" si="25"/>
        <v>7.4999999999999997E-2</v>
      </c>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100"/>
      <c r="AU250" s="87"/>
      <c r="AV250" s="87"/>
      <c r="AW250" s="87"/>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100"/>
      <c r="EJ250" s="100"/>
      <c r="EK250" s="100"/>
      <c r="EL250" s="100"/>
      <c r="EM250" s="100"/>
      <c r="EN250" s="100"/>
      <c r="EO250" s="100"/>
      <c r="EP250" s="87"/>
      <c r="EQ250" s="87"/>
      <c r="ER250" s="87"/>
      <c r="ES250" s="87"/>
      <c r="ET250" s="87"/>
      <c r="EU250" s="87"/>
      <c r="EV250" s="87"/>
      <c r="EW250" s="87"/>
      <c r="EX250" s="87"/>
      <c r="EY250" s="87"/>
      <c r="EZ250" s="87"/>
      <c r="FA250" s="87"/>
      <c r="FB250" s="87"/>
      <c r="FC250" s="87"/>
      <c r="FD250" s="87"/>
      <c r="FE250" s="87"/>
      <c r="FF250" s="87"/>
      <c r="FG250" s="87"/>
      <c r="FH250" s="87"/>
      <c r="FI250" s="87"/>
      <c r="FJ250" s="87"/>
      <c r="FK250" s="87"/>
    </row>
    <row r="251" spans="1:167" outlineLevel="1">
      <c r="A251" s="31" t="str">
        <f t="shared" si="26"/>
        <v>modesg_inp_emss_vclsscp2_ftr_emss</v>
      </c>
      <c r="B251" s="76" t="s">
        <v>28</v>
      </c>
      <c r="C251" s="77" t="s">
        <v>178</v>
      </c>
      <c r="D251" s="73" t="s">
        <v>40</v>
      </c>
      <c r="E251" s="75" t="s">
        <v>205</v>
      </c>
      <c r="F251" s="73" t="s">
        <v>226</v>
      </c>
      <c r="G251" s="73" t="str">
        <f>INDEX(Auxiliar!$B$16:$B$23,MATCH(Plano_V1!H251,Auxiliar!$C$16:$C$23,0),1)</f>
        <v>1. Concluído</v>
      </c>
      <c r="H251" s="73">
        <f>VLOOKUP(A251,'Aux - pivots1'!$A:$B,2,0)</f>
        <v>1</v>
      </c>
      <c r="I251" s="93">
        <f>SUMIFS(Table1[Estimação (horas)],Table1[Tabela],Plano_V1!E251,Table1[Campo],Plano_V1!F251)</f>
        <v>0.6</v>
      </c>
      <c r="J251" s="93">
        <f t="shared" si="24"/>
        <v>7.4999999999999997E-2</v>
      </c>
      <c r="K251" s="98" t="s">
        <v>39</v>
      </c>
      <c r="L251" s="99">
        <f t="shared" si="25"/>
        <v>7.4999999999999997E-2</v>
      </c>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100"/>
      <c r="AU251" s="87"/>
      <c r="AV251" s="87"/>
      <c r="AW251" s="87"/>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100"/>
      <c r="EJ251" s="100"/>
      <c r="EK251" s="100"/>
      <c r="EL251" s="100"/>
      <c r="EM251" s="100"/>
      <c r="EN251" s="100"/>
      <c r="EO251" s="100"/>
      <c r="EP251" s="87"/>
      <c r="EQ251" s="87"/>
      <c r="ER251" s="87"/>
      <c r="ES251" s="87"/>
      <c r="ET251" s="87"/>
      <c r="EU251" s="87"/>
      <c r="EV251" s="87"/>
      <c r="EW251" s="87"/>
      <c r="EX251" s="87"/>
      <c r="EY251" s="87"/>
      <c r="EZ251" s="87"/>
      <c r="FA251" s="87"/>
      <c r="FB251" s="87"/>
      <c r="FC251" s="87"/>
      <c r="FD251" s="87"/>
      <c r="FE251" s="87"/>
      <c r="FF251" s="87"/>
      <c r="FG251" s="87"/>
      <c r="FH251" s="87"/>
      <c r="FI251" s="87"/>
      <c r="FJ251" s="87"/>
      <c r="FK251" s="87"/>
    </row>
    <row r="252" spans="1:167" outlineLevel="1">
      <c r="A252" s="31" t="str">
        <f t="shared" si="26"/>
        <v>modesg_inp_emss_vclsscp3_ftr_emss</v>
      </c>
      <c r="B252" s="76" t="s">
        <v>28</v>
      </c>
      <c r="C252" s="77" t="s">
        <v>178</v>
      </c>
      <c r="D252" s="73" t="s">
        <v>40</v>
      </c>
      <c r="E252" s="75" t="s">
        <v>205</v>
      </c>
      <c r="F252" s="73" t="s">
        <v>227</v>
      </c>
      <c r="G252" s="73" t="str">
        <f>INDEX(Auxiliar!$B$16:$B$23,MATCH(Plano_V1!H252,Auxiliar!$C$16:$C$23,0),1)</f>
        <v>1. Concluído</v>
      </c>
      <c r="H252" s="73">
        <f>VLOOKUP(A252,'Aux - pivots1'!$A:$B,2,0)</f>
        <v>1</v>
      </c>
      <c r="I252" s="93">
        <f>SUMIFS(Table1[Estimação (horas)],Table1[Tabela],Plano_V1!E252,Table1[Campo],Plano_V1!F252)</f>
        <v>0.6</v>
      </c>
      <c r="J252" s="93">
        <f t="shared" si="24"/>
        <v>7.4999999999999997E-2</v>
      </c>
      <c r="K252" s="98" t="s">
        <v>39</v>
      </c>
      <c r="L252" s="99">
        <f t="shared" si="25"/>
        <v>7.4999999999999997E-2</v>
      </c>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100"/>
      <c r="AU252" s="87"/>
      <c r="AV252" s="87"/>
      <c r="AW252" s="87"/>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100"/>
      <c r="EJ252" s="100"/>
      <c r="EK252" s="100"/>
      <c r="EL252" s="100"/>
      <c r="EM252" s="100"/>
      <c r="EN252" s="100"/>
      <c r="EO252" s="100"/>
      <c r="EP252" s="87"/>
      <c r="EQ252" s="87"/>
      <c r="ER252" s="87"/>
      <c r="ES252" s="87"/>
      <c r="ET252" s="87"/>
      <c r="EU252" s="87"/>
      <c r="EV252" s="87"/>
      <c r="EW252" s="87"/>
      <c r="EX252" s="87"/>
      <c r="EY252" s="87"/>
      <c r="EZ252" s="87"/>
      <c r="FA252" s="87"/>
      <c r="FB252" s="87"/>
      <c r="FC252" s="87"/>
      <c r="FD252" s="87"/>
      <c r="FE252" s="87"/>
      <c r="FF252" s="87"/>
      <c r="FG252" s="87"/>
      <c r="FH252" s="87"/>
      <c r="FI252" s="87"/>
      <c r="FJ252" s="87"/>
      <c r="FK252" s="87"/>
    </row>
    <row r="253" spans="1:167" outlineLevel="1">
      <c r="A253" s="31" t="str">
        <f t="shared" si="26"/>
        <v>modesg_inp_km_medios_emss_vclsref_date</v>
      </c>
      <c r="B253" s="76" t="s">
        <v>28</v>
      </c>
      <c r="C253" s="77" t="s">
        <v>178</v>
      </c>
      <c r="D253" s="73" t="s">
        <v>40</v>
      </c>
      <c r="E253" s="75" t="s">
        <v>206</v>
      </c>
      <c r="F253" s="73" t="s">
        <v>73</v>
      </c>
      <c r="G253" s="73" t="str">
        <f>INDEX(Auxiliar!$B$16:$B$23,MATCH(Plano_V1!H253,Auxiliar!$C$16:$C$23,0),1)</f>
        <v>1. Concluído</v>
      </c>
      <c r="H253" s="73">
        <f>VLOOKUP(A253,'Aux - pivots1'!$A:$B,2,0)</f>
        <v>1</v>
      </c>
      <c r="I253" s="93">
        <f>SUMIFS(Table1[Estimação (horas)],Table1[Tabela],Plano_V1!E253,Table1[Campo],Plano_V1!F253)</f>
        <v>0.5</v>
      </c>
      <c r="J253" s="93">
        <f t="shared" si="24"/>
        <v>6.25E-2</v>
      </c>
      <c r="K253" s="98" t="s">
        <v>39</v>
      </c>
      <c r="L253" s="99">
        <f t="shared" si="25"/>
        <v>6.25E-2</v>
      </c>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100"/>
      <c r="AU253" s="87"/>
      <c r="AV253" s="87"/>
      <c r="AW253" s="87"/>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100"/>
      <c r="EJ253" s="100"/>
      <c r="EK253" s="100"/>
      <c r="EL253" s="100"/>
      <c r="EM253" s="100"/>
      <c r="EN253" s="100"/>
      <c r="EO253" s="100"/>
      <c r="EP253" s="87"/>
      <c r="EQ253" s="87"/>
      <c r="ER253" s="87"/>
      <c r="ES253" s="87"/>
      <c r="ET253" s="87"/>
      <c r="EU253" s="87"/>
      <c r="EV253" s="87"/>
      <c r="EW253" s="87"/>
      <c r="EX253" s="87"/>
      <c r="EY253" s="87"/>
      <c r="EZ253" s="87"/>
      <c r="FA253" s="87"/>
      <c r="FB253" s="87"/>
      <c r="FC253" s="87"/>
      <c r="FD253" s="87"/>
      <c r="FE253" s="87"/>
      <c r="FF253" s="87"/>
      <c r="FG253" s="87"/>
      <c r="FH253" s="87"/>
      <c r="FI253" s="87"/>
      <c r="FJ253" s="87"/>
      <c r="FK253" s="87"/>
    </row>
    <row r="254" spans="1:167" outlineLevel="1">
      <c r="A254" s="31" t="str">
        <f t="shared" si="26"/>
        <v>modesg_inp_km_medios_emss_vclsnome_pais</v>
      </c>
      <c r="B254" s="76" t="s">
        <v>28</v>
      </c>
      <c r="C254" s="77" t="s">
        <v>178</v>
      </c>
      <c r="D254" s="73" t="s">
        <v>40</v>
      </c>
      <c r="E254" s="75" t="s">
        <v>206</v>
      </c>
      <c r="F254" s="73" t="s">
        <v>214</v>
      </c>
      <c r="G254" s="73" t="str">
        <f>INDEX(Auxiliar!$B$16:$B$23,MATCH(Plano_V1!H254,Auxiliar!$C$16:$C$23,0),1)</f>
        <v>1. Concluído</v>
      </c>
      <c r="H254" s="73">
        <f>VLOOKUP(A254,'Aux - pivots1'!$A:$B,2,0)</f>
        <v>1</v>
      </c>
      <c r="I254" s="93">
        <f>SUMIFS(Table1[Estimação (horas)],Table1[Tabela],Plano_V1!E254,Table1[Campo],Plano_V1!F254)</f>
        <v>0.6</v>
      </c>
      <c r="J254" s="93">
        <f t="shared" si="24"/>
        <v>7.4999999999999997E-2</v>
      </c>
      <c r="K254" s="98" t="s">
        <v>39</v>
      </c>
      <c r="L254" s="99">
        <f t="shared" si="25"/>
        <v>7.4999999999999997E-2</v>
      </c>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100"/>
      <c r="AU254" s="87"/>
      <c r="AV254" s="87"/>
      <c r="AW254" s="87"/>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100"/>
      <c r="EJ254" s="100"/>
      <c r="EK254" s="100"/>
      <c r="EL254" s="100"/>
      <c r="EM254" s="100"/>
      <c r="EN254" s="100"/>
      <c r="EO254" s="100"/>
      <c r="EP254" s="87"/>
      <c r="EQ254" s="87"/>
      <c r="ER254" s="87"/>
      <c r="ES254" s="87"/>
      <c r="ET254" s="87"/>
      <c r="EU254" s="87"/>
      <c r="EV254" s="87"/>
      <c r="EW254" s="87"/>
      <c r="EX254" s="87"/>
      <c r="EY254" s="87"/>
      <c r="EZ254" s="87"/>
      <c r="FA254" s="87"/>
      <c r="FB254" s="87"/>
      <c r="FC254" s="87"/>
      <c r="FD254" s="87"/>
      <c r="FE254" s="87"/>
      <c r="FF254" s="87"/>
      <c r="FG254" s="87"/>
      <c r="FH254" s="87"/>
      <c r="FI254" s="87"/>
      <c r="FJ254" s="87"/>
      <c r="FK254" s="87"/>
    </row>
    <row r="255" spans="1:167" outlineLevel="1">
      <c r="A255" s="31" t="str">
        <f t="shared" si="26"/>
        <v>modesg_inp_km_medios_emss_vclstipo_vcl</v>
      </c>
      <c r="B255" s="76" t="s">
        <v>28</v>
      </c>
      <c r="C255" s="77" t="s">
        <v>178</v>
      </c>
      <c r="D255" s="73" t="s">
        <v>40</v>
      </c>
      <c r="E255" s="75" t="s">
        <v>206</v>
      </c>
      <c r="F255" s="73" t="s">
        <v>228</v>
      </c>
      <c r="G255" s="73" t="str">
        <f>INDEX(Auxiliar!$B$16:$B$23,MATCH(Plano_V1!H255,Auxiliar!$C$16:$C$23,0),1)</f>
        <v>1. Concluído</v>
      </c>
      <c r="H255" s="73">
        <f>VLOOKUP(A255,'Aux - pivots1'!$A:$B,2,0)</f>
        <v>1</v>
      </c>
      <c r="I255" s="93">
        <f>SUMIFS(Table1[Estimação (horas)],Table1[Tabela],Plano_V1!E255,Table1[Campo],Plano_V1!F255)</f>
        <v>0.6</v>
      </c>
      <c r="J255" s="93">
        <f t="shared" si="24"/>
        <v>7.4999999999999997E-2</v>
      </c>
      <c r="K255" s="98" t="s">
        <v>39</v>
      </c>
      <c r="L255" s="99">
        <f t="shared" si="25"/>
        <v>7.4999999999999997E-2</v>
      </c>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100"/>
      <c r="AU255" s="87"/>
      <c r="AV255" s="87"/>
      <c r="AW255" s="87"/>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100"/>
      <c r="EJ255" s="100"/>
      <c r="EK255" s="100"/>
      <c r="EL255" s="100"/>
      <c r="EM255" s="100"/>
      <c r="EN255" s="100"/>
      <c r="EO255" s="100"/>
      <c r="EP255" s="87"/>
      <c r="EQ255" s="87"/>
      <c r="ER255" s="87"/>
      <c r="ES255" s="87"/>
      <c r="ET255" s="87"/>
      <c r="EU255" s="87"/>
      <c r="EV255" s="87"/>
      <c r="EW255" s="87"/>
      <c r="EX255" s="87"/>
      <c r="EY255" s="87"/>
      <c r="EZ255" s="87"/>
      <c r="FA255" s="87"/>
      <c r="FB255" s="87"/>
      <c r="FC255" s="87"/>
      <c r="FD255" s="87"/>
      <c r="FE255" s="87"/>
      <c r="FF255" s="87"/>
      <c r="FG255" s="87"/>
      <c r="FH255" s="87"/>
      <c r="FI255" s="87"/>
      <c r="FJ255" s="87"/>
      <c r="FK255" s="87"/>
    </row>
    <row r="256" spans="1:167" outlineLevel="1">
      <c r="A256" s="31" t="str">
        <f t="shared" si="26"/>
        <v>modesg_inp_km_medios_emss_vclstipo_motor</v>
      </c>
      <c r="B256" s="76" t="s">
        <v>28</v>
      </c>
      <c r="C256" s="77" t="s">
        <v>178</v>
      </c>
      <c r="D256" s="73" t="s">
        <v>40</v>
      </c>
      <c r="E256" s="75" t="s">
        <v>206</v>
      </c>
      <c r="F256" s="73" t="s">
        <v>217</v>
      </c>
      <c r="G256" s="73" t="str">
        <f>INDEX(Auxiliar!$B$16:$B$23,MATCH(Plano_V1!H256,Auxiliar!$C$16:$C$23,0),1)</f>
        <v>1. Concluído</v>
      </c>
      <c r="H256" s="73">
        <f>VLOOKUP(A256,'Aux - pivots1'!$A:$B,2,0)</f>
        <v>1</v>
      </c>
      <c r="I256" s="93">
        <f>SUMIFS(Table1[Estimação (horas)],Table1[Tabela],Plano_V1!E256,Table1[Campo],Plano_V1!F256)</f>
        <v>0.6</v>
      </c>
      <c r="J256" s="93">
        <f t="shared" si="24"/>
        <v>7.4999999999999997E-2</v>
      </c>
      <c r="K256" s="98" t="s">
        <v>39</v>
      </c>
      <c r="L256" s="99">
        <f t="shared" si="25"/>
        <v>7.4999999999999997E-2</v>
      </c>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100"/>
      <c r="AU256" s="87"/>
      <c r="AV256" s="87"/>
      <c r="AW256" s="87"/>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100"/>
      <c r="EJ256" s="100"/>
      <c r="EK256" s="100"/>
      <c r="EL256" s="100"/>
      <c r="EM256" s="100"/>
      <c r="EN256" s="100"/>
      <c r="EO256" s="100"/>
      <c r="EP256" s="87"/>
      <c r="EQ256" s="87"/>
      <c r="ER256" s="87"/>
      <c r="ES256" s="87"/>
      <c r="ET256" s="87"/>
      <c r="EU256" s="87"/>
      <c r="EV256" s="87"/>
      <c r="EW256" s="87"/>
      <c r="EX256" s="87"/>
      <c r="EY256" s="87"/>
      <c r="EZ256" s="87"/>
      <c r="FA256" s="87"/>
      <c r="FB256" s="87"/>
      <c r="FC256" s="87"/>
      <c r="FD256" s="87"/>
      <c r="FE256" s="87"/>
      <c r="FF256" s="87"/>
      <c r="FG256" s="87"/>
      <c r="FH256" s="87"/>
      <c r="FI256" s="87"/>
      <c r="FJ256" s="87"/>
      <c r="FK256" s="87"/>
    </row>
    <row r="257" spans="1:167" outlineLevel="1">
      <c r="A257" s="31" t="str">
        <f t="shared" si="26"/>
        <v>modesg_inp_km_medios_emss_vclsdata_level_5</v>
      </c>
      <c r="B257" s="76" t="s">
        <v>28</v>
      </c>
      <c r="C257" s="77" t="s">
        <v>178</v>
      </c>
      <c r="D257" s="73" t="s">
        <v>40</v>
      </c>
      <c r="E257" s="75" t="s">
        <v>206</v>
      </c>
      <c r="F257" s="73" t="s">
        <v>220</v>
      </c>
      <c r="G257" s="73" t="e">
        <f>INDEX(Auxiliar!$B$16:$B$23,MATCH(Plano_V1!H257,Auxiliar!$C$16:$C$23,0),1)</f>
        <v>#N/A</v>
      </c>
      <c r="H257" s="73" t="e">
        <f>VLOOKUP(A257,'Aux - pivots1'!$A:$B,2,0)</f>
        <v>#N/A</v>
      </c>
      <c r="I257" s="93">
        <f>SUMIFS(Table1[Estimação (horas)],Table1[Tabela],Plano_V1!E257,Table1[Campo],Plano_V1!F257)</f>
        <v>0</v>
      </c>
      <c r="J257" s="93">
        <f t="shared" si="24"/>
        <v>0</v>
      </c>
      <c r="K257" s="98" t="s">
        <v>39</v>
      </c>
      <c r="L257" s="99">
        <f t="shared" si="25"/>
        <v>0</v>
      </c>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100"/>
      <c r="AU257" s="87"/>
      <c r="AV257" s="87"/>
      <c r="AW257" s="87"/>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100"/>
      <c r="EJ257" s="100"/>
      <c r="EK257" s="100"/>
      <c r="EL257" s="100"/>
      <c r="EM257" s="100"/>
      <c r="EN257" s="100"/>
      <c r="EO257" s="100"/>
      <c r="EP257" s="87"/>
      <c r="EQ257" s="87"/>
      <c r="ER257" s="87"/>
      <c r="ES257" s="87"/>
      <c r="ET257" s="87"/>
      <c r="EU257" s="87"/>
      <c r="EV257" s="87"/>
      <c r="EW257" s="87"/>
      <c r="EX257" s="87"/>
      <c r="EY257" s="87"/>
      <c r="EZ257" s="87"/>
      <c r="FA257" s="87"/>
      <c r="FB257" s="87"/>
      <c r="FC257" s="87"/>
      <c r="FD257" s="87"/>
      <c r="FE257" s="87"/>
      <c r="FF257" s="87"/>
      <c r="FG257" s="87"/>
      <c r="FH257" s="87"/>
      <c r="FI257" s="87"/>
      <c r="FJ257" s="87"/>
      <c r="FK257" s="87"/>
    </row>
    <row r="258" spans="1:167" outlineLevel="1">
      <c r="A258" s="31" t="str">
        <f t="shared" si="26"/>
        <v>modesg_inp_km_medios_emss_vclsmedia_km</v>
      </c>
      <c r="B258" s="76" t="s">
        <v>28</v>
      </c>
      <c r="C258" s="77" t="s">
        <v>178</v>
      </c>
      <c r="D258" s="73" t="s">
        <v>40</v>
      </c>
      <c r="E258" s="75" t="s">
        <v>206</v>
      </c>
      <c r="F258" s="73" t="s">
        <v>229</v>
      </c>
      <c r="G258" s="73" t="str">
        <f>INDEX(Auxiliar!$B$16:$B$23,MATCH(Plano_V1!H258,Auxiliar!$C$16:$C$23,0),1)</f>
        <v>1. Concluído</v>
      </c>
      <c r="H258" s="73">
        <f>VLOOKUP(A258,'Aux - pivots1'!$A:$B,2,0)</f>
        <v>1</v>
      </c>
      <c r="I258" s="93">
        <f>SUMIFS(Table1[Estimação (horas)],Table1[Tabela],Plano_V1!E258,Table1[Campo],Plano_V1!F258)</f>
        <v>0.6</v>
      </c>
      <c r="J258" s="93">
        <f t="shared" si="24"/>
        <v>7.4999999999999997E-2</v>
      </c>
      <c r="K258" s="98" t="s">
        <v>39</v>
      </c>
      <c r="L258" s="99">
        <f t="shared" si="25"/>
        <v>7.4999999999999997E-2</v>
      </c>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100"/>
      <c r="AU258" s="87"/>
      <c r="AV258" s="87"/>
      <c r="AW258" s="87"/>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100"/>
      <c r="EJ258" s="100"/>
      <c r="EK258" s="100"/>
      <c r="EL258" s="100"/>
      <c r="EM258" s="100"/>
      <c r="EN258" s="100"/>
      <c r="EO258" s="100"/>
      <c r="EP258" s="87"/>
      <c r="EQ258" s="87"/>
      <c r="ER258" s="87"/>
      <c r="ES258" s="87"/>
      <c r="ET258" s="87"/>
      <c r="EU258" s="87"/>
      <c r="EV258" s="87"/>
      <c r="EW258" s="87"/>
      <c r="EX258" s="87"/>
      <c r="EY258" s="87"/>
      <c r="EZ258" s="87"/>
      <c r="FA258" s="87"/>
      <c r="FB258" s="87"/>
      <c r="FC258" s="87"/>
      <c r="FD258" s="87"/>
      <c r="FE258" s="87"/>
      <c r="FF258" s="87"/>
      <c r="FG258" s="87"/>
      <c r="FH258" s="87"/>
      <c r="FI258" s="87"/>
      <c r="FJ258" s="87"/>
      <c r="FK258" s="87"/>
    </row>
    <row r="259" spans="1:167" outlineLevel="1">
      <c r="A259" s="31" t="str">
        <f t="shared" si="26"/>
        <v>modesg_inp_empr_excl_parisref_date</v>
      </c>
      <c r="B259" s="76" t="s">
        <v>28</v>
      </c>
      <c r="C259" s="77" t="s">
        <v>178</v>
      </c>
      <c r="D259" s="73" t="s">
        <v>40</v>
      </c>
      <c r="E259" s="75" t="s">
        <v>207</v>
      </c>
      <c r="F259" s="73" t="s">
        <v>73</v>
      </c>
      <c r="G259" s="73" t="str">
        <f>INDEX(Auxiliar!$B$16:$B$23,MATCH(Plano_V1!H259,Auxiliar!$C$16:$C$23,0),1)</f>
        <v>1. Concluído</v>
      </c>
      <c r="H259" s="73">
        <f>VLOOKUP(A259,'Aux - pivots1'!$A:$B,2,0)</f>
        <v>1</v>
      </c>
      <c r="I259" s="93">
        <f>SUMIFS(Table1[Estimação (horas)],Table1[Tabela],Plano_V1!E259,Table1[Campo],Plano_V1!F259)</f>
        <v>0.5</v>
      </c>
      <c r="J259" s="93">
        <f t="shared" si="24"/>
        <v>6.25E-2</v>
      </c>
      <c r="K259" s="98" t="s">
        <v>39</v>
      </c>
      <c r="L259" s="99">
        <f t="shared" si="25"/>
        <v>6.25E-2</v>
      </c>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100"/>
      <c r="AU259" s="87"/>
      <c r="AV259" s="87"/>
      <c r="AW259" s="87"/>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100"/>
      <c r="EJ259" s="100"/>
      <c r="EK259" s="100"/>
      <c r="EL259" s="100"/>
      <c r="EM259" s="100"/>
      <c r="EN259" s="100"/>
      <c r="EO259" s="100"/>
      <c r="EP259" s="87"/>
      <c r="EQ259" s="87"/>
      <c r="ER259" s="87"/>
      <c r="ES259" s="87"/>
      <c r="ET259" s="87"/>
      <c r="EU259" s="87"/>
      <c r="EV259" s="87"/>
      <c r="EW259" s="87"/>
      <c r="EX259" s="87"/>
      <c r="EY259" s="87"/>
      <c r="EZ259" s="87"/>
      <c r="FA259" s="87"/>
      <c r="FB259" s="87"/>
      <c r="FC259" s="87"/>
      <c r="FD259" s="87"/>
      <c r="FE259" s="87"/>
      <c r="FF259" s="87"/>
      <c r="FG259" s="87"/>
      <c r="FH259" s="87"/>
      <c r="FI259" s="87"/>
      <c r="FJ259" s="87"/>
      <c r="FK259" s="87"/>
    </row>
    <row r="260" spans="1:167" outlineLevel="1">
      <c r="A260" s="31" t="str">
        <f t="shared" si="26"/>
        <v>modesg_inp_empr_excl_parisisin</v>
      </c>
      <c r="B260" s="76" t="s">
        <v>28</v>
      </c>
      <c r="C260" s="77" t="s">
        <v>178</v>
      </c>
      <c r="D260" s="73" t="s">
        <v>40</v>
      </c>
      <c r="E260" s="75" t="s">
        <v>207</v>
      </c>
      <c r="F260" s="73" t="s">
        <v>230</v>
      </c>
      <c r="G260" s="73" t="str">
        <f>INDEX(Auxiliar!$B$16:$B$23,MATCH(Plano_V1!H260,Auxiliar!$C$16:$C$23,0),1)</f>
        <v>1. Concluído</v>
      </c>
      <c r="H260" s="73">
        <f>VLOOKUP(A260,'Aux - pivots1'!$A:$B,2,0)</f>
        <v>1</v>
      </c>
      <c r="I260" s="93">
        <f>SUMIFS(Table1[Estimação (horas)],Table1[Tabela],Plano_V1!E260,Table1[Campo],Plano_V1!F260)</f>
        <v>0.6</v>
      </c>
      <c r="J260" s="93">
        <f t="shared" si="24"/>
        <v>7.4999999999999997E-2</v>
      </c>
      <c r="K260" s="98" t="s">
        <v>39</v>
      </c>
      <c r="L260" s="99">
        <f t="shared" si="25"/>
        <v>7.4999999999999997E-2</v>
      </c>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100"/>
      <c r="AU260" s="87"/>
      <c r="AV260" s="87"/>
      <c r="AW260" s="87"/>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100"/>
      <c r="EJ260" s="100"/>
      <c r="EK260" s="100"/>
      <c r="EL260" s="100"/>
      <c r="EM260" s="100"/>
      <c r="EN260" s="100"/>
      <c r="EO260" s="100"/>
      <c r="EP260" s="87"/>
      <c r="EQ260" s="87"/>
      <c r="ER260" s="87"/>
      <c r="ES260" s="87"/>
      <c r="ET260" s="87"/>
      <c r="EU260" s="87"/>
      <c r="EV260" s="87"/>
      <c r="EW260" s="87"/>
      <c r="EX260" s="87"/>
      <c r="EY260" s="87"/>
      <c r="EZ260" s="87"/>
      <c r="FA260" s="87"/>
      <c r="FB260" s="87"/>
      <c r="FC260" s="87"/>
      <c r="FD260" s="87"/>
      <c r="FE260" s="87"/>
      <c r="FF260" s="87"/>
      <c r="FG260" s="87"/>
      <c r="FH260" s="87"/>
      <c r="FI260" s="87"/>
      <c r="FJ260" s="87"/>
      <c r="FK260" s="87"/>
    </row>
    <row r="261" spans="1:167" outlineLevel="1">
      <c r="A261" s="31" t="str">
        <f t="shared" si="26"/>
        <v>modesg_inp_empr_excl_parisclei</v>
      </c>
      <c r="B261" s="76" t="s">
        <v>28</v>
      </c>
      <c r="C261" s="77" t="s">
        <v>178</v>
      </c>
      <c r="D261" s="73" t="s">
        <v>40</v>
      </c>
      <c r="E261" s="75" t="s">
        <v>207</v>
      </c>
      <c r="F261" s="73" t="s">
        <v>231</v>
      </c>
      <c r="G261" s="73" t="str">
        <f>INDEX(Auxiliar!$B$16:$B$23,MATCH(Plano_V1!H261,Auxiliar!$C$16:$C$23,0),1)</f>
        <v>1. Concluído</v>
      </c>
      <c r="H261" s="73">
        <f>VLOOKUP(A261,'Aux - pivots1'!$A:$B,2,0)</f>
        <v>1</v>
      </c>
      <c r="I261" s="93">
        <f>SUMIFS(Table1[Estimação (horas)],Table1[Tabela],Plano_V1!E261,Table1[Campo],Plano_V1!F261)</f>
        <v>0.6</v>
      </c>
      <c r="J261" s="93">
        <f t="shared" si="24"/>
        <v>7.4999999999999997E-2</v>
      </c>
      <c r="K261" s="98" t="s">
        <v>39</v>
      </c>
      <c r="L261" s="99">
        <f t="shared" si="25"/>
        <v>7.4999999999999997E-2</v>
      </c>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100"/>
      <c r="AU261" s="87"/>
      <c r="AV261" s="87"/>
      <c r="AW261" s="87"/>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100"/>
      <c r="EJ261" s="100"/>
      <c r="EK261" s="100"/>
      <c r="EL261" s="100"/>
      <c r="EM261" s="100"/>
      <c r="EN261" s="100"/>
      <c r="EO261" s="100"/>
      <c r="EP261" s="87"/>
      <c r="EQ261" s="87"/>
      <c r="ER261" s="87"/>
      <c r="ES261" s="87"/>
      <c r="ET261" s="87"/>
      <c r="EU261" s="87"/>
      <c r="EV261" s="87"/>
      <c r="EW261" s="87"/>
      <c r="EX261" s="87"/>
      <c r="EY261" s="87"/>
      <c r="EZ261" s="87"/>
      <c r="FA261" s="87"/>
      <c r="FB261" s="87"/>
      <c r="FC261" s="87"/>
      <c r="FD261" s="87"/>
      <c r="FE261" s="87"/>
      <c r="FF261" s="87"/>
      <c r="FG261" s="87"/>
      <c r="FH261" s="87"/>
      <c r="FI261" s="87"/>
      <c r="FJ261" s="87"/>
      <c r="FK261" s="87"/>
    </row>
    <row r="262" spans="1:167" outlineLevel="1">
      <c r="A262" s="31" t="str">
        <f t="shared" si="26"/>
        <v>modesg_inp_empr_excl_parisccli_kgl</v>
      </c>
      <c r="B262" s="76" t="s">
        <v>28</v>
      </c>
      <c r="C262" s="77" t="s">
        <v>178</v>
      </c>
      <c r="D262" s="73" t="s">
        <v>40</v>
      </c>
      <c r="E262" s="75" t="s">
        <v>207</v>
      </c>
      <c r="F262" s="73" t="s">
        <v>232</v>
      </c>
      <c r="G262" s="73" t="str">
        <f>INDEX(Auxiliar!$B$16:$B$23,MATCH(Plano_V1!H262,Auxiliar!$C$16:$C$23,0),1)</f>
        <v>1. Concluído</v>
      </c>
      <c r="H262" s="73">
        <f>VLOOKUP(A262,'Aux - pivots1'!$A:$B,2,0)</f>
        <v>1</v>
      </c>
      <c r="I262" s="93">
        <f>SUMIFS(Table1[Estimação (horas)],Table1[Tabela],Plano_V1!E262,Table1[Campo],Plano_V1!F262)</f>
        <v>0.6</v>
      </c>
      <c r="J262" s="93">
        <f t="shared" si="24"/>
        <v>7.4999999999999997E-2</v>
      </c>
      <c r="K262" s="98" t="s">
        <v>39</v>
      </c>
      <c r="L262" s="99">
        <f t="shared" si="25"/>
        <v>7.4999999999999997E-2</v>
      </c>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100"/>
      <c r="AU262" s="87"/>
      <c r="AV262" s="87"/>
      <c r="AW262" s="87"/>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100"/>
      <c r="EJ262" s="100"/>
      <c r="EK262" s="100"/>
      <c r="EL262" s="100"/>
      <c r="EM262" s="100"/>
      <c r="EN262" s="100"/>
      <c r="EO262" s="100"/>
      <c r="EP262" s="87"/>
      <c r="EQ262" s="87"/>
      <c r="ER262" s="87"/>
      <c r="ES262" s="87"/>
      <c r="ET262" s="87"/>
      <c r="EU262" s="87"/>
      <c r="EV262" s="87"/>
      <c r="EW262" s="87"/>
      <c r="EX262" s="87"/>
      <c r="EY262" s="87"/>
      <c r="EZ262" s="87"/>
      <c r="FA262" s="87"/>
      <c r="FB262" s="87"/>
      <c r="FC262" s="87"/>
      <c r="FD262" s="87"/>
      <c r="FE262" s="87"/>
      <c r="FF262" s="87"/>
      <c r="FG262" s="87"/>
      <c r="FH262" s="87"/>
      <c r="FI262" s="87"/>
      <c r="FJ262" s="87"/>
      <c r="FK262" s="87"/>
    </row>
    <row r="263" spans="1:167" outlineLevel="1">
      <c r="A263" s="31" t="str">
        <f t="shared" si="26"/>
        <v>modesg_inp_empr_excl_parisnome_entidade</v>
      </c>
      <c r="B263" s="76" t="s">
        <v>28</v>
      </c>
      <c r="C263" s="77" t="s">
        <v>178</v>
      </c>
      <c r="D263" s="73" t="s">
        <v>40</v>
      </c>
      <c r="E263" s="75" t="s">
        <v>207</v>
      </c>
      <c r="F263" s="73" t="s">
        <v>233</v>
      </c>
      <c r="G263" s="73" t="str">
        <f>INDEX(Auxiliar!$B$16:$B$23,MATCH(Plano_V1!H263,Auxiliar!$C$16:$C$23,0),1)</f>
        <v>1. Concluído</v>
      </c>
      <c r="H263" s="73">
        <f>VLOOKUP(A263,'Aux - pivots1'!$A:$B,2,0)</f>
        <v>1</v>
      </c>
      <c r="I263" s="93">
        <f>SUMIFS(Table1[Estimação (horas)],Table1[Tabela],Plano_V1!E263,Table1[Campo],Plano_V1!F263)</f>
        <v>0.5</v>
      </c>
      <c r="J263" s="93">
        <f t="shared" ref="J263:J326" si="27">I263/8</f>
        <v>6.25E-2</v>
      </c>
      <c r="K263" s="98" t="s">
        <v>39</v>
      </c>
      <c r="L263" s="99">
        <f t="shared" si="25"/>
        <v>6.25E-2</v>
      </c>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100"/>
      <c r="AU263" s="87"/>
      <c r="AV263" s="87"/>
      <c r="AW263" s="87"/>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100"/>
      <c r="EJ263" s="100"/>
      <c r="EK263" s="100"/>
      <c r="EL263" s="100"/>
      <c r="EM263" s="100"/>
      <c r="EN263" s="100"/>
      <c r="EO263" s="100"/>
      <c r="EP263" s="87"/>
      <c r="EQ263" s="87"/>
      <c r="ER263" s="87"/>
      <c r="ES263" s="87"/>
      <c r="ET263" s="87"/>
      <c r="EU263" s="87"/>
      <c r="EV263" s="87"/>
      <c r="EW263" s="87"/>
      <c r="EX263" s="87"/>
      <c r="EY263" s="87"/>
      <c r="EZ263" s="87"/>
      <c r="FA263" s="87"/>
      <c r="FB263" s="87"/>
      <c r="FC263" s="87"/>
      <c r="FD263" s="87"/>
      <c r="FE263" s="87"/>
      <c r="FF263" s="87"/>
      <c r="FG263" s="87"/>
      <c r="FH263" s="87"/>
      <c r="FI263" s="87"/>
      <c r="FJ263" s="87"/>
      <c r="FK263" s="87"/>
    </row>
    <row r="264" spans="1:167" outlineLevel="1">
      <c r="A264" s="31" t="str">
        <f t="shared" si="26"/>
        <v>modesg_inp_empr_excl_parisflg_scib</v>
      </c>
      <c r="B264" s="76" t="s">
        <v>28</v>
      </c>
      <c r="C264" s="77" t="s">
        <v>178</v>
      </c>
      <c r="D264" s="73" t="s">
        <v>40</v>
      </c>
      <c r="E264" s="75" t="s">
        <v>207</v>
      </c>
      <c r="F264" s="73" t="s">
        <v>234</v>
      </c>
      <c r="G264" s="73" t="str">
        <f>INDEX(Auxiliar!$B$16:$B$23,MATCH(Plano_V1!H264,Auxiliar!$C$16:$C$23,0),1)</f>
        <v>1. Concluído</v>
      </c>
      <c r="H264" s="73">
        <f>VLOOKUP(A264,'Aux - pivots1'!$A:$B,2,0)</f>
        <v>1</v>
      </c>
      <c r="I264" s="93">
        <f>SUMIFS(Table1[Estimação (horas)],Table1[Tabela],Plano_V1!E264,Table1[Campo],Plano_V1!F264)</f>
        <v>0.5</v>
      </c>
      <c r="J264" s="93">
        <f t="shared" si="27"/>
        <v>6.25E-2</v>
      </c>
      <c r="K264" s="98" t="s">
        <v>39</v>
      </c>
      <c r="L264" s="99">
        <f t="shared" si="25"/>
        <v>6.25E-2</v>
      </c>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100"/>
      <c r="AU264" s="87"/>
      <c r="AV264" s="87"/>
      <c r="AW264" s="87"/>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100"/>
      <c r="EJ264" s="100"/>
      <c r="EK264" s="100"/>
      <c r="EL264" s="100"/>
      <c r="EM264" s="100"/>
      <c r="EN264" s="100"/>
      <c r="EO264" s="100"/>
      <c r="EP264" s="87"/>
      <c r="EQ264" s="87"/>
      <c r="ER264" s="87"/>
      <c r="ES264" s="87"/>
      <c r="ET264" s="87"/>
      <c r="EU264" s="87"/>
      <c r="EV264" s="87"/>
      <c r="EW264" s="87"/>
      <c r="EX264" s="87"/>
      <c r="EY264" s="87"/>
      <c r="EZ264" s="87"/>
      <c r="FA264" s="87"/>
      <c r="FB264" s="87"/>
      <c r="FC264" s="87"/>
      <c r="FD264" s="87"/>
      <c r="FE264" s="87"/>
      <c r="FF264" s="87"/>
      <c r="FG264" s="87"/>
      <c r="FH264" s="87"/>
      <c r="FI264" s="87"/>
      <c r="FJ264" s="87"/>
      <c r="FK264" s="87"/>
    </row>
    <row r="265" spans="1:167" outlineLevel="1">
      <c r="A265" s="31" t="str">
        <f t="shared" si="26"/>
        <v>modesg_inp_empr_excl_parisnome_pais</v>
      </c>
      <c r="B265" s="76" t="s">
        <v>28</v>
      </c>
      <c r="C265" s="77" t="s">
        <v>178</v>
      </c>
      <c r="D265" s="73" t="s">
        <v>40</v>
      </c>
      <c r="E265" s="75" t="s">
        <v>207</v>
      </c>
      <c r="F265" s="73" t="s">
        <v>214</v>
      </c>
      <c r="G265" s="73" t="str">
        <f>INDEX(Auxiliar!$B$16:$B$23,MATCH(Plano_V1!H265,Auxiliar!$C$16:$C$23,0),1)</f>
        <v>1. Concluído</v>
      </c>
      <c r="H265" s="73">
        <f>VLOOKUP(A265,'Aux - pivots1'!$A:$B,2,0)</f>
        <v>1</v>
      </c>
      <c r="I265" s="93">
        <f>SUMIFS(Table1[Estimação (horas)],Table1[Tabela],Plano_V1!E265,Table1[Campo],Plano_V1!F265)</f>
        <v>0.5</v>
      </c>
      <c r="J265" s="93">
        <f t="shared" si="27"/>
        <v>6.25E-2</v>
      </c>
      <c r="K265" s="98" t="s">
        <v>39</v>
      </c>
      <c r="L265" s="99">
        <f t="shared" si="25"/>
        <v>6.25E-2</v>
      </c>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100"/>
      <c r="AU265" s="87"/>
      <c r="AV265" s="87"/>
      <c r="AW265" s="87"/>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100"/>
      <c r="EJ265" s="100"/>
      <c r="EK265" s="100"/>
      <c r="EL265" s="100"/>
      <c r="EM265" s="100"/>
      <c r="EN265" s="100"/>
      <c r="EO265" s="100"/>
      <c r="EP265" s="87"/>
      <c r="EQ265" s="87"/>
      <c r="ER265" s="87"/>
      <c r="ES265" s="87"/>
      <c r="ET265" s="87"/>
      <c r="EU265" s="87"/>
      <c r="EV265" s="87"/>
      <c r="EW265" s="87"/>
      <c r="EX265" s="87"/>
      <c r="EY265" s="87"/>
      <c r="EZ265" s="87"/>
      <c r="FA265" s="87"/>
      <c r="FB265" s="87"/>
      <c r="FC265" s="87"/>
      <c r="FD265" s="87"/>
      <c r="FE265" s="87"/>
      <c r="FF265" s="87"/>
      <c r="FG265" s="87"/>
      <c r="FH265" s="87"/>
      <c r="FI265" s="87"/>
      <c r="FJ265" s="87"/>
      <c r="FK265" s="87"/>
    </row>
    <row r="266" spans="1:167" outlineLevel="1">
      <c r="A266" s="31" t="str">
        <f t="shared" si="26"/>
        <v>modesg_inp_nfrd_alinhamento_taxref_date</v>
      </c>
      <c r="B266" s="76" t="s">
        <v>28</v>
      </c>
      <c r="C266" s="77" t="s">
        <v>178</v>
      </c>
      <c r="D266" s="73" t="s">
        <v>40</v>
      </c>
      <c r="E266" s="75" t="s">
        <v>208</v>
      </c>
      <c r="F266" s="73" t="s">
        <v>73</v>
      </c>
      <c r="G266" s="73" t="str">
        <f>INDEX(Auxiliar!$B$16:$B$23,MATCH(Plano_V1!H266,Auxiliar!$C$16:$C$23,0),1)</f>
        <v>1. Concluído</v>
      </c>
      <c r="H266" s="73">
        <f>VLOOKUP(A266,'Aux - pivots1'!$A:$B,2,0)</f>
        <v>1</v>
      </c>
      <c r="I266" s="93">
        <f>SUMIFS(Table1[Estimação (horas)],Table1[Tabela],Plano_V1!E266,Table1[Campo],Plano_V1!F266)</f>
        <v>0.5</v>
      </c>
      <c r="J266" s="93">
        <f t="shared" si="27"/>
        <v>6.25E-2</v>
      </c>
      <c r="K266" s="98" t="s">
        <v>39</v>
      </c>
      <c r="L266" s="99">
        <f t="shared" si="25"/>
        <v>6.25E-2</v>
      </c>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100"/>
      <c r="AU266" s="87"/>
      <c r="AV266" s="87"/>
      <c r="AW266" s="87"/>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100"/>
      <c r="EJ266" s="100"/>
      <c r="EK266" s="100"/>
      <c r="EL266" s="100"/>
      <c r="EM266" s="100"/>
      <c r="EN266" s="100"/>
      <c r="EO266" s="100"/>
      <c r="EP266" s="87"/>
      <c r="EQ266" s="87"/>
      <c r="ER266" s="87"/>
      <c r="ES266" s="87"/>
      <c r="ET266" s="87"/>
      <c r="EU266" s="87"/>
      <c r="EV266" s="87"/>
      <c r="EW266" s="87"/>
      <c r="EX266" s="87"/>
      <c r="EY266" s="87"/>
      <c r="EZ266" s="87"/>
      <c r="FA266" s="87"/>
      <c r="FB266" s="87"/>
      <c r="FC266" s="87"/>
      <c r="FD266" s="87"/>
      <c r="FE266" s="87"/>
      <c r="FF266" s="87"/>
      <c r="FG266" s="87"/>
      <c r="FH266" s="87"/>
      <c r="FI266" s="87"/>
      <c r="FJ266" s="87"/>
      <c r="FK266" s="87"/>
    </row>
    <row r="267" spans="1:167" outlineLevel="1">
      <c r="A267" s="31" t="str">
        <f t="shared" si="26"/>
        <v>modesg_inp_nfrd_alinhamento_taxccli_kgl</v>
      </c>
      <c r="B267" s="76" t="s">
        <v>28</v>
      </c>
      <c r="C267" s="77" t="s">
        <v>178</v>
      </c>
      <c r="D267" s="73" t="s">
        <v>40</v>
      </c>
      <c r="E267" s="75" t="s">
        <v>208</v>
      </c>
      <c r="F267" s="73" t="s">
        <v>232</v>
      </c>
      <c r="G267" s="73" t="str">
        <f>INDEX(Auxiliar!$B$16:$B$23,MATCH(Plano_V1!H267,Auxiliar!$C$16:$C$23,0),1)</f>
        <v>1. Concluído</v>
      </c>
      <c r="H267" s="73">
        <f>VLOOKUP(A267,'Aux - pivots1'!$A:$B,2,0)</f>
        <v>1</v>
      </c>
      <c r="I267" s="93">
        <f>SUMIFS(Table1[Estimação (horas)],Table1[Tabela],Plano_V1!E267,Table1[Campo],Plano_V1!F267)</f>
        <v>0.6</v>
      </c>
      <c r="J267" s="93">
        <f t="shared" si="27"/>
        <v>7.4999999999999997E-2</v>
      </c>
      <c r="K267" s="98" t="s">
        <v>39</v>
      </c>
      <c r="L267" s="99">
        <f t="shared" si="25"/>
        <v>7.4999999999999997E-2</v>
      </c>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100"/>
      <c r="AU267" s="87"/>
      <c r="AV267" s="87"/>
      <c r="AW267" s="87"/>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100"/>
      <c r="EJ267" s="100"/>
      <c r="EK267" s="100"/>
      <c r="EL267" s="100"/>
      <c r="EM267" s="100"/>
      <c r="EN267" s="100"/>
      <c r="EO267" s="100"/>
      <c r="EP267" s="87"/>
      <c r="EQ267" s="87"/>
      <c r="ER267" s="87"/>
      <c r="ES267" s="87"/>
      <c r="ET267" s="87"/>
      <c r="EU267" s="87"/>
      <c r="EV267" s="87"/>
      <c r="EW267" s="87"/>
      <c r="EX267" s="87"/>
      <c r="EY267" s="87"/>
      <c r="EZ267" s="87"/>
      <c r="FA267" s="87"/>
      <c r="FB267" s="87"/>
      <c r="FC267" s="87"/>
      <c r="FD267" s="87"/>
      <c r="FE267" s="87"/>
      <c r="FF267" s="87"/>
      <c r="FG267" s="87"/>
      <c r="FH267" s="87"/>
      <c r="FI267" s="87"/>
      <c r="FJ267" s="87"/>
      <c r="FK267" s="87"/>
    </row>
    <row r="268" spans="1:167" outlineLevel="1">
      <c r="A268" s="31" t="str">
        <f t="shared" si="26"/>
        <v>modesg_inp_nfrd_alinhamento_taxclei</v>
      </c>
      <c r="B268" s="76" t="s">
        <v>28</v>
      </c>
      <c r="C268" s="77" t="s">
        <v>178</v>
      </c>
      <c r="D268" s="73" t="s">
        <v>40</v>
      </c>
      <c r="E268" s="75" t="s">
        <v>208</v>
      </c>
      <c r="F268" s="73" t="s">
        <v>231</v>
      </c>
      <c r="G268" s="73" t="str">
        <f>INDEX(Auxiliar!$B$16:$B$23,MATCH(Plano_V1!H268,Auxiliar!$C$16:$C$23,0),1)</f>
        <v>1. Concluído</v>
      </c>
      <c r="H268" s="73">
        <f>VLOOKUP(A268,'Aux - pivots1'!$A:$B,2,0)</f>
        <v>1</v>
      </c>
      <c r="I268" s="93">
        <f>SUMIFS(Table1[Estimação (horas)],Table1[Tabela],Plano_V1!E268,Table1[Campo],Plano_V1!F268)</f>
        <v>0.6</v>
      </c>
      <c r="J268" s="93">
        <f t="shared" si="27"/>
        <v>7.4999999999999997E-2</v>
      </c>
      <c r="K268" s="98" t="s">
        <v>39</v>
      </c>
      <c r="L268" s="99">
        <f t="shared" si="25"/>
        <v>7.4999999999999997E-2</v>
      </c>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100"/>
      <c r="AU268" s="87"/>
      <c r="AV268" s="87"/>
      <c r="AW268" s="87"/>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100"/>
      <c r="EJ268" s="100"/>
      <c r="EK268" s="100"/>
      <c r="EL268" s="100"/>
      <c r="EM268" s="100"/>
      <c r="EN268" s="100"/>
      <c r="EO268" s="100"/>
      <c r="EP268" s="87"/>
      <c r="EQ268" s="87"/>
      <c r="ER268" s="87"/>
      <c r="ES268" s="87"/>
      <c r="ET268" s="87"/>
      <c r="EU268" s="87"/>
      <c r="EV268" s="87"/>
      <c r="EW268" s="87"/>
      <c r="EX268" s="87"/>
      <c r="EY268" s="87"/>
      <c r="EZ268" s="87"/>
      <c r="FA268" s="87"/>
      <c r="FB268" s="87"/>
      <c r="FC268" s="87"/>
      <c r="FD268" s="87"/>
      <c r="FE268" s="87"/>
      <c r="FF268" s="87"/>
      <c r="FG268" s="87"/>
      <c r="FH268" s="87"/>
      <c r="FI268" s="87"/>
      <c r="FJ268" s="87"/>
      <c r="FK268" s="87"/>
    </row>
    <row r="269" spans="1:167" outlineLevel="1">
      <c r="A269" s="31" t="str">
        <f t="shared" si="26"/>
        <v>modesg_inp_nfrd_alinhamento_taxperm_id</v>
      </c>
      <c r="B269" s="76" t="s">
        <v>28</v>
      </c>
      <c r="C269" s="77" t="s">
        <v>178</v>
      </c>
      <c r="D269" s="73" t="s">
        <v>40</v>
      </c>
      <c r="E269" s="75" t="s">
        <v>208</v>
      </c>
      <c r="F269" s="73" t="s">
        <v>235</v>
      </c>
      <c r="G269" s="73" t="str">
        <f>INDEX(Auxiliar!$B$16:$B$23,MATCH(Plano_V1!H269,Auxiliar!$C$16:$C$23,0),1)</f>
        <v>1. Concluído</v>
      </c>
      <c r="H269" s="73">
        <f>VLOOKUP(A269,'Aux - pivots1'!$A:$B,2,0)</f>
        <v>1</v>
      </c>
      <c r="I269" s="93">
        <f>SUMIFS(Table1[Estimação (horas)],Table1[Tabela],Plano_V1!E269,Table1[Campo],Plano_V1!F269)</f>
        <v>0.5</v>
      </c>
      <c r="J269" s="93">
        <f t="shared" si="27"/>
        <v>6.25E-2</v>
      </c>
      <c r="K269" s="98" t="s">
        <v>39</v>
      </c>
      <c r="L269" s="99">
        <f t="shared" si="25"/>
        <v>6.25E-2</v>
      </c>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100"/>
      <c r="AU269" s="87"/>
      <c r="AV269" s="87"/>
      <c r="AW269" s="87"/>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100"/>
      <c r="EJ269" s="100"/>
      <c r="EK269" s="100"/>
      <c r="EL269" s="100"/>
      <c r="EM269" s="100"/>
      <c r="EN269" s="100"/>
      <c r="EO269" s="100"/>
      <c r="EP269" s="87"/>
      <c r="EQ269" s="87"/>
      <c r="ER269" s="87"/>
      <c r="ES269" s="87"/>
      <c r="ET269" s="87"/>
      <c r="EU269" s="87"/>
      <c r="EV269" s="87"/>
      <c r="EW269" s="87"/>
      <c r="EX269" s="87"/>
      <c r="EY269" s="87"/>
      <c r="EZ269" s="87"/>
      <c r="FA269" s="87"/>
      <c r="FB269" s="87"/>
      <c r="FC269" s="87"/>
      <c r="FD269" s="87"/>
      <c r="FE269" s="87"/>
      <c r="FF269" s="87"/>
      <c r="FG269" s="87"/>
      <c r="FH269" s="87"/>
      <c r="FI269" s="87"/>
      <c r="FJ269" s="87"/>
      <c r="FK269" s="87"/>
    </row>
    <row r="270" spans="1:167" outlineLevel="1">
      <c r="A270" s="31" t="str">
        <f t="shared" si="26"/>
        <v>modesg_inp_nfrd_alinhamento_taxnome_entidade</v>
      </c>
      <c r="B270" s="76" t="s">
        <v>28</v>
      </c>
      <c r="C270" s="77" t="s">
        <v>178</v>
      </c>
      <c r="D270" s="73" t="s">
        <v>40</v>
      </c>
      <c r="E270" s="75" t="s">
        <v>208</v>
      </c>
      <c r="F270" s="73" t="s">
        <v>233</v>
      </c>
      <c r="G270" s="73" t="str">
        <f>INDEX(Auxiliar!$B$16:$B$23,MATCH(Plano_V1!H270,Auxiliar!$C$16:$C$23,0),1)</f>
        <v>1. Concluído</v>
      </c>
      <c r="H270" s="73">
        <f>VLOOKUP(A270,'Aux - pivots1'!$A:$B,2,0)</f>
        <v>1</v>
      </c>
      <c r="I270" s="93">
        <f>SUMIFS(Table1[Estimação (horas)],Table1[Tabela],Plano_V1!E270,Table1[Campo],Plano_V1!F270)</f>
        <v>0.5</v>
      </c>
      <c r="J270" s="93">
        <f t="shared" si="27"/>
        <v>6.25E-2</v>
      </c>
      <c r="K270" s="98" t="s">
        <v>39</v>
      </c>
      <c r="L270" s="99">
        <f t="shared" si="25"/>
        <v>6.25E-2</v>
      </c>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100"/>
      <c r="AU270" s="87"/>
      <c r="AV270" s="87"/>
      <c r="AW270" s="87"/>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100"/>
      <c r="EJ270" s="100"/>
      <c r="EK270" s="100"/>
      <c r="EL270" s="100"/>
      <c r="EM270" s="100"/>
      <c r="EN270" s="100"/>
      <c r="EO270" s="100"/>
      <c r="EP270" s="87"/>
      <c r="EQ270" s="87"/>
      <c r="ER270" s="87"/>
      <c r="ES270" s="87"/>
      <c r="ET270" s="87"/>
      <c r="EU270" s="87"/>
      <c r="EV270" s="87"/>
      <c r="EW270" s="87"/>
      <c r="EX270" s="87"/>
      <c r="EY270" s="87"/>
      <c r="EZ270" s="87"/>
      <c r="FA270" s="87"/>
      <c r="FB270" s="87"/>
      <c r="FC270" s="87"/>
      <c r="FD270" s="87"/>
      <c r="FE270" s="87"/>
      <c r="FF270" s="87"/>
      <c r="FG270" s="87"/>
      <c r="FH270" s="87"/>
      <c r="FI270" s="87"/>
      <c r="FJ270" s="87"/>
      <c r="FK270" s="87"/>
    </row>
    <row r="271" spans="1:167" outlineLevel="1">
      <c r="A271" s="31" t="str">
        <f t="shared" si="26"/>
        <v>modesg_inp_nfrd_alinhamento_taxflg_nfrd</v>
      </c>
      <c r="B271" s="76" t="s">
        <v>28</v>
      </c>
      <c r="C271" s="77" t="s">
        <v>178</v>
      </c>
      <c r="D271" s="73" t="s">
        <v>40</v>
      </c>
      <c r="E271" s="75" t="s">
        <v>208</v>
      </c>
      <c r="F271" s="73" t="s">
        <v>236</v>
      </c>
      <c r="G271" s="73" t="str">
        <f>INDEX(Auxiliar!$B$16:$B$23,MATCH(Plano_V1!H271,Auxiliar!$C$16:$C$23,0),1)</f>
        <v>1. Concluído</v>
      </c>
      <c r="H271" s="73">
        <f>VLOOKUP(A271,'Aux - pivots1'!$A:$B,2,0)</f>
        <v>1</v>
      </c>
      <c r="I271" s="93">
        <f>SUMIFS(Table1[Estimação (horas)],Table1[Tabela],Plano_V1!E271,Table1[Campo],Plano_V1!F271)</f>
        <v>0.5</v>
      </c>
      <c r="J271" s="93">
        <f t="shared" si="27"/>
        <v>6.25E-2</v>
      </c>
      <c r="K271" s="98" t="s">
        <v>39</v>
      </c>
      <c r="L271" s="99">
        <f t="shared" si="25"/>
        <v>6.25E-2</v>
      </c>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100"/>
      <c r="AU271" s="87"/>
      <c r="AV271" s="87"/>
      <c r="AW271" s="87"/>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100"/>
      <c r="EJ271" s="100"/>
      <c r="EK271" s="100"/>
      <c r="EL271" s="100"/>
      <c r="EM271" s="100"/>
      <c r="EN271" s="100"/>
      <c r="EO271" s="100"/>
      <c r="EP271" s="87"/>
      <c r="EQ271" s="87"/>
      <c r="ER271" s="87"/>
      <c r="ES271" s="87"/>
      <c r="ET271" s="87"/>
      <c r="EU271" s="87"/>
      <c r="EV271" s="87"/>
      <c r="EW271" s="87"/>
      <c r="EX271" s="87"/>
      <c r="EY271" s="87"/>
      <c r="EZ271" s="87"/>
      <c r="FA271" s="87"/>
      <c r="FB271" s="87"/>
      <c r="FC271" s="87"/>
      <c r="FD271" s="87"/>
      <c r="FE271" s="87"/>
      <c r="FF271" s="87"/>
      <c r="FG271" s="87"/>
      <c r="FH271" s="87"/>
      <c r="FI271" s="87"/>
      <c r="FJ271" s="87"/>
      <c r="FK271" s="87"/>
    </row>
    <row r="272" spans="1:167" outlineLevel="1">
      <c r="A272" s="31" t="str">
        <f t="shared" si="26"/>
        <v>modesg_inp_nfrd_alinhamento_taxcca_trnvr_ttl_elgbl</v>
      </c>
      <c r="B272" s="76" t="s">
        <v>28</v>
      </c>
      <c r="C272" s="77" t="s">
        <v>178</v>
      </c>
      <c r="D272" s="73" t="s">
        <v>40</v>
      </c>
      <c r="E272" s="75" t="s">
        <v>208</v>
      </c>
      <c r="F272" s="73" t="s">
        <v>237</v>
      </c>
      <c r="G272" s="73" t="str">
        <f>INDEX(Auxiliar!$B$16:$B$23,MATCH(Plano_V1!H272,Auxiliar!$C$16:$C$23,0),1)</f>
        <v>1. Concluído</v>
      </c>
      <c r="H272" s="73">
        <f>VLOOKUP(A272,'Aux - pivots1'!$A:$B,2,0)</f>
        <v>1</v>
      </c>
      <c r="I272" s="93">
        <f>SUMIFS(Table1[Estimação (horas)],Table1[Tabela],Plano_V1!E272,Table1[Campo],Plano_V1!F272)</f>
        <v>0.6</v>
      </c>
      <c r="J272" s="93">
        <f t="shared" si="27"/>
        <v>7.4999999999999997E-2</v>
      </c>
      <c r="K272" s="98" t="s">
        <v>39</v>
      </c>
      <c r="L272" s="99">
        <f t="shared" si="25"/>
        <v>7.4999999999999997E-2</v>
      </c>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100"/>
      <c r="AU272" s="87"/>
      <c r="AV272" s="87"/>
      <c r="AW272" s="87"/>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100"/>
      <c r="EJ272" s="100"/>
      <c r="EK272" s="100"/>
      <c r="EL272" s="100"/>
      <c r="EM272" s="100"/>
      <c r="EN272" s="100"/>
      <c r="EO272" s="100"/>
      <c r="EP272" s="87"/>
      <c r="EQ272" s="87"/>
      <c r="ER272" s="87"/>
      <c r="ES272" s="87"/>
      <c r="ET272" s="87"/>
      <c r="EU272" s="87"/>
      <c r="EV272" s="87"/>
      <c r="EW272" s="87"/>
      <c r="EX272" s="87"/>
      <c r="EY272" s="87"/>
      <c r="EZ272" s="87"/>
      <c r="FA272" s="87"/>
      <c r="FB272" s="87"/>
      <c r="FC272" s="87"/>
      <c r="FD272" s="87"/>
      <c r="FE272" s="87"/>
      <c r="FF272" s="87"/>
      <c r="FG272" s="87"/>
      <c r="FH272" s="87"/>
      <c r="FI272" s="87"/>
      <c r="FJ272" s="87"/>
      <c r="FK272" s="87"/>
    </row>
    <row r="273" spans="1:167" outlineLevel="1">
      <c r="A273" s="31" t="str">
        <f t="shared" si="26"/>
        <v>modesg_inp_nfrd_alinhamento_taxcca_trnvr_enblng_alignd</v>
      </c>
      <c r="B273" s="76" t="s">
        <v>28</v>
      </c>
      <c r="C273" s="77" t="s">
        <v>178</v>
      </c>
      <c r="D273" s="73" t="s">
        <v>40</v>
      </c>
      <c r="E273" s="75" t="s">
        <v>208</v>
      </c>
      <c r="F273" s="73" t="s">
        <v>238</v>
      </c>
      <c r="G273" s="73" t="str">
        <f>INDEX(Auxiliar!$B$16:$B$23,MATCH(Plano_V1!H273,Auxiliar!$C$16:$C$23,0),1)</f>
        <v>1. Concluído</v>
      </c>
      <c r="H273" s="73">
        <f>VLOOKUP(A273,'Aux - pivots1'!$A:$B,2,0)</f>
        <v>1</v>
      </c>
      <c r="I273" s="93">
        <f>SUMIFS(Table1[Estimação (horas)],Table1[Tabela],Plano_V1!E273,Table1[Campo],Plano_V1!F273)</f>
        <v>0.6</v>
      </c>
      <c r="J273" s="93">
        <f t="shared" si="27"/>
        <v>7.4999999999999997E-2</v>
      </c>
      <c r="K273" s="98" t="s">
        <v>39</v>
      </c>
      <c r="L273" s="99">
        <f t="shared" si="25"/>
        <v>7.4999999999999997E-2</v>
      </c>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100"/>
      <c r="AU273" s="87"/>
      <c r="AV273" s="87"/>
      <c r="AW273" s="87"/>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100"/>
      <c r="EJ273" s="100"/>
      <c r="EK273" s="100"/>
      <c r="EL273" s="100"/>
      <c r="EM273" s="100"/>
      <c r="EN273" s="100"/>
      <c r="EO273" s="100"/>
      <c r="EP273" s="87"/>
      <c r="EQ273" s="87"/>
      <c r="ER273" s="87"/>
      <c r="ES273" s="87"/>
      <c r="ET273" s="87"/>
      <c r="EU273" s="87"/>
      <c r="EV273" s="87"/>
      <c r="EW273" s="87"/>
      <c r="EX273" s="87"/>
      <c r="EY273" s="87"/>
      <c r="EZ273" s="87"/>
      <c r="FA273" s="87"/>
      <c r="FB273" s="87"/>
      <c r="FC273" s="87"/>
      <c r="FD273" s="87"/>
      <c r="FE273" s="87"/>
      <c r="FF273" s="87"/>
      <c r="FG273" s="87"/>
      <c r="FH273" s="87"/>
      <c r="FI273" s="87"/>
      <c r="FJ273" s="87"/>
      <c r="FK273" s="87"/>
    </row>
    <row r="274" spans="1:167" outlineLevel="1">
      <c r="A274" s="31" t="str">
        <f t="shared" si="26"/>
        <v>modesg_inp_nfrd_alinhamento_taxcca_turnover_own_prfrmnce_algnd</v>
      </c>
      <c r="B274" s="76" t="s">
        <v>28</v>
      </c>
      <c r="C274" s="77" t="s">
        <v>178</v>
      </c>
      <c r="D274" s="73" t="s">
        <v>40</v>
      </c>
      <c r="E274" s="75" t="s">
        <v>208</v>
      </c>
      <c r="F274" s="73" t="s">
        <v>239</v>
      </c>
      <c r="G274" s="73" t="str">
        <f>INDEX(Auxiliar!$B$16:$B$23,MATCH(Plano_V1!H274,Auxiliar!$C$16:$C$23,0),1)</f>
        <v>1. Concluído</v>
      </c>
      <c r="H274" s="73">
        <f>VLOOKUP(A274,'Aux - pivots1'!$A:$B,2,0)</f>
        <v>1</v>
      </c>
      <c r="I274" s="93">
        <f>SUMIFS(Table1[Estimação (horas)],Table1[Tabela],Plano_V1!E274,Table1[Campo],Plano_V1!F274)</f>
        <v>0.6</v>
      </c>
      <c r="J274" s="93">
        <f t="shared" si="27"/>
        <v>7.4999999999999997E-2</v>
      </c>
      <c r="K274" s="98" t="s">
        <v>39</v>
      </c>
      <c r="L274" s="99">
        <f t="shared" si="25"/>
        <v>7.4999999999999997E-2</v>
      </c>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100"/>
      <c r="AU274" s="87"/>
      <c r="AV274" s="87"/>
      <c r="AW274" s="87"/>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100"/>
      <c r="EJ274" s="100"/>
      <c r="EK274" s="100"/>
      <c r="EL274" s="100"/>
      <c r="EM274" s="100"/>
      <c r="EN274" s="100"/>
      <c r="EO274" s="100"/>
      <c r="EP274" s="87"/>
      <c r="EQ274" s="87"/>
      <c r="ER274" s="87"/>
      <c r="ES274" s="87"/>
      <c r="ET274" s="87"/>
      <c r="EU274" s="87"/>
      <c r="EV274" s="87"/>
      <c r="EW274" s="87"/>
      <c r="EX274" s="87"/>
      <c r="EY274" s="87"/>
      <c r="EZ274" s="87"/>
      <c r="FA274" s="87"/>
      <c r="FB274" s="87"/>
      <c r="FC274" s="87"/>
      <c r="FD274" s="87"/>
      <c r="FE274" s="87"/>
      <c r="FF274" s="87"/>
      <c r="FG274" s="87"/>
      <c r="FH274" s="87"/>
      <c r="FI274" s="87"/>
      <c r="FJ274" s="87"/>
      <c r="FK274" s="87"/>
    </row>
    <row r="275" spans="1:167" outlineLevel="1">
      <c r="A275" s="31" t="str">
        <f t="shared" si="26"/>
        <v>modesg_inp_nfrd_alinhamento_taxcca_capex_ttl_elgbl</v>
      </c>
      <c r="B275" s="76" t="s">
        <v>28</v>
      </c>
      <c r="C275" s="77" t="s">
        <v>178</v>
      </c>
      <c r="D275" s="73" t="s">
        <v>40</v>
      </c>
      <c r="E275" s="75" t="s">
        <v>208</v>
      </c>
      <c r="F275" s="73" t="s">
        <v>240</v>
      </c>
      <c r="G275" s="73" t="str">
        <f>INDEX(Auxiliar!$B$16:$B$23,MATCH(Plano_V1!H275,Auxiliar!$C$16:$C$23,0),1)</f>
        <v>1. Concluído</v>
      </c>
      <c r="H275" s="73">
        <f>VLOOKUP(A275,'Aux - pivots1'!$A:$B,2,0)</f>
        <v>1</v>
      </c>
      <c r="I275" s="93">
        <f>SUMIFS(Table1[Estimação (horas)],Table1[Tabela],Plano_V1!E275,Table1[Campo],Plano_V1!F275)</f>
        <v>0.6</v>
      </c>
      <c r="J275" s="93">
        <f t="shared" si="27"/>
        <v>7.4999999999999997E-2</v>
      </c>
      <c r="K275" s="98" t="s">
        <v>39</v>
      </c>
      <c r="L275" s="99">
        <f t="shared" si="25"/>
        <v>7.4999999999999997E-2</v>
      </c>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100"/>
      <c r="AU275" s="87"/>
      <c r="AV275" s="87"/>
      <c r="AW275" s="87"/>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100"/>
      <c r="EJ275" s="100"/>
      <c r="EK275" s="100"/>
      <c r="EL275" s="100"/>
      <c r="EM275" s="100"/>
      <c r="EN275" s="100"/>
      <c r="EO275" s="100"/>
      <c r="EP275" s="87"/>
      <c r="EQ275" s="87"/>
      <c r="ER275" s="87"/>
      <c r="ES275" s="87"/>
      <c r="ET275" s="87"/>
      <c r="EU275" s="87"/>
      <c r="EV275" s="87"/>
      <c r="EW275" s="87"/>
      <c r="EX275" s="87"/>
      <c r="EY275" s="87"/>
      <c r="EZ275" s="87"/>
      <c r="FA275" s="87"/>
      <c r="FB275" s="87"/>
      <c r="FC275" s="87"/>
      <c r="FD275" s="87"/>
      <c r="FE275" s="87"/>
      <c r="FF275" s="87"/>
      <c r="FG275" s="87"/>
      <c r="FH275" s="87"/>
      <c r="FI275" s="87"/>
      <c r="FJ275" s="87"/>
      <c r="FK275" s="87"/>
    </row>
    <row r="276" spans="1:167" outlineLevel="1">
      <c r="A276" s="31" t="str">
        <f t="shared" si="26"/>
        <v>modesg_inp_nfrd_alinhamento_taxcca_capex_enblng_algnd</v>
      </c>
      <c r="B276" s="76" t="s">
        <v>28</v>
      </c>
      <c r="C276" s="77" t="s">
        <v>178</v>
      </c>
      <c r="D276" s="73" t="s">
        <v>40</v>
      </c>
      <c r="E276" s="75" t="s">
        <v>208</v>
      </c>
      <c r="F276" s="73" t="s">
        <v>241</v>
      </c>
      <c r="G276" s="73" t="str">
        <f>INDEX(Auxiliar!$B$16:$B$23,MATCH(Plano_V1!H276,Auxiliar!$C$16:$C$23,0),1)</f>
        <v>1. Concluído</v>
      </c>
      <c r="H276" s="73">
        <f>VLOOKUP(A276,'Aux - pivots1'!$A:$B,2,0)</f>
        <v>1</v>
      </c>
      <c r="I276" s="93">
        <f>SUMIFS(Table1[Estimação (horas)],Table1[Tabela],Plano_V1!E276,Table1[Campo],Plano_V1!F276)</f>
        <v>0.6</v>
      </c>
      <c r="J276" s="93">
        <f t="shared" si="27"/>
        <v>7.4999999999999997E-2</v>
      </c>
      <c r="K276" s="98" t="s">
        <v>39</v>
      </c>
      <c r="L276" s="99">
        <f t="shared" si="25"/>
        <v>7.4999999999999997E-2</v>
      </c>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100"/>
      <c r="AU276" s="87"/>
      <c r="AV276" s="87"/>
      <c r="AW276" s="87"/>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100"/>
      <c r="EJ276" s="100"/>
      <c r="EK276" s="100"/>
      <c r="EL276" s="100"/>
      <c r="EM276" s="100"/>
      <c r="EN276" s="100"/>
      <c r="EO276" s="100"/>
      <c r="EP276" s="87"/>
      <c r="EQ276" s="87"/>
      <c r="ER276" s="87"/>
      <c r="ES276" s="87"/>
      <c r="ET276" s="87"/>
      <c r="EU276" s="87"/>
      <c r="EV276" s="87"/>
      <c r="EW276" s="87"/>
      <c r="EX276" s="87"/>
      <c r="EY276" s="87"/>
      <c r="EZ276" s="87"/>
      <c r="FA276" s="87"/>
      <c r="FB276" s="87"/>
      <c r="FC276" s="87"/>
      <c r="FD276" s="87"/>
      <c r="FE276" s="87"/>
      <c r="FF276" s="87"/>
      <c r="FG276" s="87"/>
      <c r="FH276" s="87"/>
      <c r="FI276" s="87"/>
      <c r="FJ276" s="87"/>
      <c r="FK276" s="87"/>
    </row>
    <row r="277" spans="1:167" outlineLevel="1">
      <c r="A277" s="31" t="str">
        <f t="shared" si="26"/>
        <v>modesg_inp_nfrd_alinhamento_taxcca_capex_own_prfrmnce_algnd</v>
      </c>
      <c r="B277" s="76" t="s">
        <v>28</v>
      </c>
      <c r="C277" s="77" t="s">
        <v>178</v>
      </c>
      <c r="D277" s="73" t="s">
        <v>40</v>
      </c>
      <c r="E277" s="75" t="s">
        <v>208</v>
      </c>
      <c r="F277" s="73" t="s">
        <v>242</v>
      </c>
      <c r="G277" s="73" t="str">
        <f>INDEX(Auxiliar!$B$16:$B$23,MATCH(Plano_V1!H277,Auxiliar!$C$16:$C$23,0),1)</f>
        <v>1. Concluído</v>
      </c>
      <c r="H277" s="73">
        <f>VLOOKUP(A277,'Aux - pivots1'!$A:$B,2,0)</f>
        <v>1</v>
      </c>
      <c r="I277" s="93">
        <f>SUMIFS(Table1[Estimação (horas)],Table1[Tabela],Plano_V1!E277,Table1[Campo],Plano_V1!F277)</f>
        <v>0.6</v>
      </c>
      <c r="J277" s="93">
        <f t="shared" si="27"/>
        <v>7.4999999999999997E-2</v>
      </c>
      <c r="K277" s="98" t="s">
        <v>39</v>
      </c>
      <c r="L277" s="99">
        <f t="shared" si="25"/>
        <v>7.4999999999999997E-2</v>
      </c>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100"/>
      <c r="AU277" s="87"/>
      <c r="AV277" s="87"/>
      <c r="AW277" s="87"/>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100"/>
      <c r="EJ277" s="100"/>
      <c r="EK277" s="100"/>
      <c r="EL277" s="100"/>
      <c r="EM277" s="100"/>
      <c r="EN277" s="100"/>
      <c r="EO277" s="100"/>
      <c r="EP277" s="87"/>
      <c r="EQ277" s="87"/>
      <c r="ER277" s="87"/>
      <c r="ES277" s="87"/>
      <c r="ET277" s="87"/>
      <c r="EU277" s="87"/>
      <c r="EV277" s="87"/>
      <c r="EW277" s="87"/>
      <c r="EX277" s="87"/>
      <c r="EY277" s="87"/>
      <c r="EZ277" s="87"/>
      <c r="FA277" s="87"/>
      <c r="FB277" s="87"/>
      <c r="FC277" s="87"/>
      <c r="FD277" s="87"/>
      <c r="FE277" s="87"/>
      <c r="FF277" s="87"/>
      <c r="FG277" s="87"/>
      <c r="FH277" s="87"/>
      <c r="FI277" s="87"/>
      <c r="FJ277" s="87"/>
      <c r="FK277" s="87"/>
    </row>
    <row r="278" spans="1:167" outlineLevel="1">
      <c r="A278" s="31" t="str">
        <f t="shared" si="26"/>
        <v>modesg_inp_nfrd_alinhamento_taxccm_trnvr_ttl_elgbl</v>
      </c>
      <c r="B278" s="76" t="s">
        <v>28</v>
      </c>
      <c r="C278" s="77" t="s">
        <v>178</v>
      </c>
      <c r="D278" s="73" t="s">
        <v>40</v>
      </c>
      <c r="E278" s="75" t="s">
        <v>208</v>
      </c>
      <c r="F278" s="73" t="s">
        <v>243</v>
      </c>
      <c r="G278" s="73" t="str">
        <f>INDEX(Auxiliar!$B$16:$B$23,MATCH(Plano_V1!H278,Auxiliar!$C$16:$C$23,0),1)</f>
        <v>1. Concluído</v>
      </c>
      <c r="H278" s="73">
        <f>VLOOKUP(A278,'Aux - pivots1'!$A:$B,2,0)</f>
        <v>1</v>
      </c>
      <c r="I278" s="93">
        <f>SUMIFS(Table1[Estimação (horas)],Table1[Tabela],Plano_V1!E278,Table1[Campo],Plano_V1!F278)</f>
        <v>0.6</v>
      </c>
      <c r="J278" s="93">
        <f t="shared" si="27"/>
        <v>7.4999999999999997E-2</v>
      </c>
      <c r="K278" s="98" t="s">
        <v>39</v>
      </c>
      <c r="L278" s="99">
        <f t="shared" si="25"/>
        <v>7.4999999999999997E-2</v>
      </c>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100"/>
      <c r="AU278" s="87"/>
      <c r="AV278" s="87"/>
      <c r="AW278" s="87"/>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100"/>
      <c r="EJ278" s="100"/>
      <c r="EK278" s="100"/>
      <c r="EL278" s="100"/>
      <c r="EM278" s="100"/>
      <c r="EN278" s="100"/>
      <c r="EO278" s="100"/>
      <c r="EP278" s="87"/>
      <c r="EQ278" s="87"/>
      <c r="ER278" s="87"/>
      <c r="ES278" s="87"/>
      <c r="ET278" s="87"/>
      <c r="EU278" s="87"/>
      <c r="EV278" s="87"/>
      <c r="EW278" s="87"/>
      <c r="EX278" s="87"/>
      <c r="EY278" s="87"/>
      <c r="EZ278" s="87"/>
      <c r="FA278" s="87"/>
      <c r="FB278" s="87"/>
      <c r="FC278" s="87"/>
      <c r="FD278" s="87"/>
      <c r="FE278" s="87"/>
      <c r="FF278" s="87"/>
      <c r="FG278" s="87"/>
      <c r="FH278" s="87"/>
      <c r="FI278" s="87"/>
      <c r="FJ278" s="87"/>
      <c r="FK278" s="87"/>
    </row>
    <row r="279" spans="1:167" outlineLevel="1">
      <c r="A279" s="31" t="str">
        <f t="shared" si="26"/>
        <v>modesg_inp_nfrd_alinhamento_taxccm_trnvr_enblng_algnd</v>
      </c>
      <c r="B279" s="76" t="s">
        <v>28</v>
      </c>
      <c r="C279" s="77" t="s">
        <v>178</v>
      </c>
      <c r="D279" s="73" t="s">
        <v>40</v>
      </c>
      <c r="E279" s="75" t="s">
        <v>208</v>
      </c>
      <c r="F279" s="73" t="s">
        <v>244</v>
      </c>
      <c r="G279" s="73" t="str">
        <f>INDEX(Auxiliar!$B$16:$B$23,MATCH(Plano_V1!H279,Auxiliar!$C$16:$C$23,0),1)</f>
        <v>1. Concluído</v>
      </c>
      <c r="H279" s="73">
        <f>VLOOKUP(A279,'Aux - pivots1'!$A:$B,2,0)</f>
        <v>1</v>
      </c>
      <c r="I279" s="93">
        <f>SUMIFS(Table1[Estimação (horas)],Table1[Tabela],Plano_V1!E279,Table1[Campo],Plano_V1!F279)</f>
        <v>0.6</v>
      </c>
      <c r="J279" s="93">
        <f t="shared" si="27"/>
        <v>7.4999999999999997E-2</v>
      </c>
      <c r="K279" s="98" t="s">
        <v>39</v>
      </c>
      <c r="L279" s="99">
        <f t="shared" si="25"/>
        <v>7.4999999999999997E-2</v>
      </c>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100"/>
      <c r="AU279" s="87"/>
      <c r="AV279" s="87"/>
      <c r="AW279" s="87"/>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100"/>
      <c r="EJ279" s="100"/>
      <c r="EK279" s="100"/>
      <c r="EL279" s="100"/>
      <c r="EM279" s="100"/>
      <c r="EN279" s="100"/>
      <c r="EO279" s="100"/>
      <c r="EP279" s="87"/>
      <c r="EQ279" s="87"/>
      <c r="ER279" s="87"/>
      <c r="ES279" s="87"/>
      <c r="ET279" s="87"/>
      <c r="EU279" s="87"/>
      <c r="EV279" s="87"/>
      <c r="EW279" s="87"/>
      <c r="EX279" s="87"/>
      <c r="EY279" s="87"/>
      <c r="EZ279" s="87"/>
      <c r="FA279" s="87"/>
      <c r="FB279" s="87"/>
      <c r="FC279" s="87"/>
      <c r="FD279" s="87"/>
      <c r="FE279" s="87"/>
      <c r="FF279" s="87"/>
      <c r="FG279" s="87"/>
      <c r="FH279" s="87"/>
      <c r="FI279" s="87"/>
      <c r="FJ279" s="87"/>
      <c r="FK279" s="87"/>
    </row>
    <row r="280" spans="1:167" outlineLevel="1">
      <c r="A280" s="31" t="str">
        <f t="shared" si="26"/>
        <v>modesg_inp_nfrd_alinhamento_taxccm_trnvr_trnstn_alignd</v>
      </c>
      <c r="B280" s="76" t="s">
        <v>28</v>
      </c>
      <c r="C280" s="77" t="s">
        <v>178</v>
      </c>
      <c r="D280" s="73" t="s">
        <v>40</v>
      </c>
      <c r="E280" s="75" t="s">
        <v>208</v>
      </c>
      <c r="F280" s="73" t="s">
        <v>245</v>
      </c>
      <c r="G280" s="73" t="str">
        <f>INDEX(Auxiliar!$B$16:$B$23,MATCH(Plano_V1!H280,Auxiliar!$C$16:$C$23,0),1)</f>
        <v>1. Concluído</v>
      </c>
      <c r="H280" s="73">
        <f>VLOOKUP(A280,'Aux - pivots1'!$A:$B,2,0)</f>
        <v>1</v>
      </c>
      <c r="I280" s="93">
        <f>SUMIFS(Table1[Estimação (horas)],Table1[Tabela],Plano_V1!E280,Table1[Campo],Plano_V1!F280)</f>
        <v>0.6</v>
      </c>
      <c r="J280" s="93">
        <f t="shared" si="27"/>
        <v>7.4999999999999997E-2</v>
      </c>
      <c r="K280" s="98" t="s">
        <v>39</v>
      </c>
      <c r="L280" s="99">
        <f t="shared" si="25"/>
        <v>7.4999999999999997E-2</v>
      </c>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100"/>
      <c r="AU280" s="87"/>
      <c r="AV280" s="87"/>
      <c r="AW280" s="87"/>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100"/>
      <c r="EJ280" s="100"/>
      <c r="EK280" s="100"/>
      <c r="EL280" s="100"/>
      <c r="EM280" s="100"/>
      <c r="EN280" s="100"/>
      <c r="EO280" s="100"/>
      <c r="EP280" s="87"/>
      <c r="EQ280" s="87"/>
      <c r="ER280" s="87"/>
      <c r="ES280" s="87"/>
      <c r="ET280" s="87"/>
      <c r="EU280" s="87"/>
      <c r="EV280" s="87"/>
      <c r="EW280" s="87"/>
      <c r="EX280" s="87"/>
      <c r="EY280" s="87"/>
      <c r="EZ280" s="87"/>
      <c r="FA280" s="87"/>
      <c r="FB280" s="87"/>
      <c r="FC280" s="87"/>
      <c r="FD280" s="87"/>
      <c r="FE280" s="87"/>
      <c r="FF280" s="87"/>
      <c r="FG280" s="87"/>
      <c r="FH280" s="87"/>
      <c r="FI280" s="87"/>
      <c r="FJ280" s="87"/>
      <c r="FK280" s="87"/>
    </row>
    <row r="281" spans="1:167" outlineLevel="1">
      <c r="A281" s="31" t="str">
        <f t="shared" si="26"/>
        <v>modesg_inp_nfrd_alinhamento_taxccm_trnvr_own_prfrmnce_algnd</v>
      </c>
      <c r="B281" s="76" t="s">
        <v>28</v>
      </c>
      <c r="C281" s="77" t="s">
        <v>178</v>
      </c>
      <c r="D281" s="73" t="s">
        <v>40</v>
      </c>
      <c r="E281" s="75" t="s">
        <v>208</v>
      </c>
      <c r="F281" s="73" t="s">
        <v>246</v>
      </c>
      <c r="G281" s="73" t="str">
        <f>INDEX(Auxiliar!$B$16:$B$23,MATCH(Plano_V1!H281,Auxiliar!$C$16:$C$23,0),1)</f>
        <v>1. Concluído</v>
      </c>
      <c r="H281" s="73">
        <f>VLOOKUP(A281,'Aux - pivots1'!$A:$B,2,0)</f>
        <v>1</v>
      </c>
      <c r="I281" s="93">
        <f>SUMIFS(Table1[Estimação (horas)],Table1[Tabela],Plano_V1!E281,Table1[Campo],Plano_V1!F281)</f>
        <v>0.6</v>
      </c>
      <c r="J281" s="93">
        <f t="shared" si="27"/>
        <v>7.4999999999999997E-2</v>
      </c>
      <c r="K281" s="98" t="s">
        <v>39</v>
      </c>
      <c r="L281" s="99">
        <f t="shared" si="25"/>
        <v>7.4999999999999997E-2</v>
      </c>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100"/>
      <c r="AU281" s="87"/>
      <c r="AV281" s="87"/>
      <c r="AW281" s="87"/>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100"/>
      <c r="EJ281" s="100"/>
      <c r="EK281" s="100"/>
      <c r="EL281" s="100"/>
      <c r="EM281" s="100"/>
      <c r="EN281" s="100"/>
      <c r="EO281" s="100"/>
      <c r="EP281" s="87"/>
      <c r="EQ281" s="87"/>
      <c r="ER281" s="87"/>
      <c r="ES281" s="87"/>
      <c r="ET281" s="87"/>
      <c r="EU281" s="87"/>
      <c r="EV281" s="87"/>
      <c r="EW281" s="87"/>
      <c r="EX281" s="87"/>
      <c r="EY281" s="87"/>
      <c r="EZ281" s="87"/>
      <c r="FA281" s="87"/>
      <c r="FB281" s="87"/>
      <c r="FC281" s="87"/>
      <c r="FD281" s="87"/>
      <c r="FE281" s="87"/>
      <c r="FF281" s="87"/>
      <c r="FG281" s="87"/>
      <c r="FH281" s="87"/>
      <c r="FI281" s="87"/>
      <c r="FJ281" s="87"/>
      <c r="FK281" s="87"/>
    </row>
    <row r="282" spans="1:167" outlineLevel="1">
      <c r="A282" s="31" t="str">
        <f t="shared" si="26"/>
        <v>modesg_inp_nfrd_alinhamento_taxccm_capex_ttl_elgbl</v>
      </c>
      <c r="B282" s="76" t="s">
        <v>28</v>
      </c>
      <c r="C282" s="77" t="s">
        <v>178</v>
      </c>
      <c r="D282" s="73" t="s">
        <v>40</v>
      </c>
      <c r="E282" s="75" t="s">
        <v>208</v>
      </c>
      <c r="F282" s="73" t="s">
        <v>247</v>
      </c>
      <c r="G282" s="73" t="str">
        <f>INDEX(Auxiliar!$B$16:$B$23,MATCH(Plano_V1!H282,Auxiliar!$C$16:$C$23,0),1)</f>
        <v>1. Concluído</v>
      </c>
      <c r="H282" s="73">
        <f>VLOOKUP(A282,'Aux - pivots1'!$A:$B,2,0)</f>
        <v>1</v>
      </c>
      <c r="I282" s="93">
        <f>SUMIFS(Table1[Estimação (horas)],Table1[Tabela],Plano_V1!E282,Table1[Campo],Plano_V1!F282)</f>
        <v>0.6</v>
      </c>
      <c r="J282" s="93">
        <f t="shared" si="27"/>
        <v>7.4999999999999997E-2</v>
      </c>
      <c r="K282" s="98" t="s">
        <v>39</v>
      </c>
      <c r="L282" s="99">
        <f t="shared" ref="L282:L345" si="28">J282-SUM(M282:FK282)</f>
        <v>7.4999999999999997E-2</v>
      </c>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100"/>
      <c r="AU282" s="87"/>
      <c r="AV282" s="87"/>
      <c r="AW282" s="87"/>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100"/>
      <c r="EJ282" s="100"/>
      <c r="EK282" s="100"/>
      <c r="EL282" s="100"/>
      <c r="EM282" s="100"/>
      <c r="EN282" s="100"/>
      <c r="EO282" s="100"/>
      <c r="EP282" s="87"/>
      <c r="EQ282" s="87"/>
      <c r="ER282" s="87"/>
      <c r="ES282" s="87"/>
      <c r="ET282" s="87"/>
      <c r="EU282" s="87"/>
      <c r="EV282" s="87"/>
      <c r="EW282" s="87"/>
      <c r="EX282" s="87"/>
      <c r="EY282" s="87"/>
      <c r="EZ282" s="87"/>
      <c r="FA282" s="87"/>
      <c r="FB282" s="87"/>
      <c r="FC282" s="87"/>
      <c r="FD282" s="87"/>
      <c r="FE282" s="87"/>
      <c r="FF282" s="87"/>
      <c r="FG282" s="87"/>
      <c r="FH282" s="87"/>
      <c r="FI282" s="87"/>
      <c r="FJ282" s="87"/>
      <c r="FK282" s="87"/>
    </row>
    <row r="283" spans="1:167" outlineLevel="1">
      <c r="A283" s="31" t="str">
        <f t="shared" si="26"/>
        <v>modesg_inp_nfrd_alinhamento_taxccm_capex_enblng_algnd</v>
      </c>
      <c r="B283" s="76" t="s">
        <v>28</v>
      </c>
      <c r="C283" s="77" t="s">
        <v>178</v>
      </c>
      <c r="D283" s="73" t="s">
        <v>40</v>
      </c>
      <c r="E283" s="75" t="s">
        <v>208</v>
      </c>
      <c r="F283" s="73" t="s">
        <v>248</v>
      </c>
      <c r="G283" s="73" t="str">
        <f>INDEX(Auxiliar!$B$16:$B$23,MATCH(Plano_V1!H283,Auxiliar!$C$16:$C$23,0),1)</f>
        <v>1. Concluído</v>
      </c>
      <c r="H283" s="73">
        <f>VLOOKUP(A283,'Aux - pivots1'!$A:$B,2,0)</f>
        <v>1</v>
      </c>
      <c r="I283" s="93">
        <f>SUMIFS(Table1[Estimação (horas)],Table1[Tabela],Plano_V1!E283,Table1[Campo],Plano_V1!F283)</f>
        <v>0.6</v>
      </c>
      <c r="J283" s="93">
        <f t="shared" si="27"/>
        <v>7.4999999999999997E-2</v>
      </c>
      <c r="K283" s="98" t="s">
        <v>39</v>
      </c>
      <c r="L283" s="99">
        <f t="shared" si="28"/>
        <v>7.4999999999999997E-2</v>
      </c>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100"/>
      <c r="AU283" s="87"/>
      <c r="AV283" s="87"/>
      <c r="AW283" s="87"/>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100"/>
      <c r="EJ283" s="100"/>
      <c r="EK283" s="100"/>
      <c r="EL283" s="100"/>
      <c r="EM283" s="100"/>
      <c r="EN283" s="100"/>
      <c r="EO283" s="100"/>
      <c r="EP283" s="87"/>
      <c r="EQ283" s="87"/>
      <c r="ER283" s="87"/>
      <c r="ES283" s="87"/>
      <c r="ET283" s="87"/>
      <c r="EU283" s="87"/>
      <c r="EV283" s="87"/>
      <c r="EW283" s="87"/>
      <c r="EX283" s="87"/>
      <c r="EY283" s="87"/>
      <c r="EZ283" s="87"/>
      <c r="FA283" s="87"/>
      <c r="FB283" s="87"/>
      <c r="FC283" s="87"/>
      <c r="FD283" s="87"/>
      <c r="FE283" s="87"/>
      <c r="FF283" s="87"/>
      <c r="FG283" s="87"/>
      <c r="FH283" s="87"/>
      <c r="FI283" s="87"/>
      <c r="FJ283" s="87"/>
      <c r="FK283" s="87"/>
    </row>
    <row r="284" spans="1:167" outlineLevel="1">
      <c r="A284" s="31" t="str">
        <f t="shared" si="26"/>
        <v>modesg_inp_nfrd_alinhamento_taxccm_capex_trnstn_algnd</v>
      </c>
      <c r="B284" s="76" t="s">
        <v>28</v>
      </c>
      <c r="C284" s="77" t="s">
        <v>178</v>
      </c>
      <c r="D284" s="73" t="s">
        <v>40</v>
      </c>
      <c r="E284" s="75" t="s">
        <v>208</v>
      </c>
      <c r="F284" s="73" t="s">
        <v>249</v>
      </c>
      <c r="G284" s="73" t="str">
        <f>INDEX(Auxiliar!$B$16:$B$23,MATCH(Plano_V1!H284,Auxiliar!$C$16:$C$23,0),1)</f>
        <v>1. Concluído</v>
      </c>
      <c r="H284" s="73">
        <f>VLOOKUP(A284,'Aux - pivots1'!$A:$B,2,0)</f>
        <v>1</v>
      </c>
      <c r="I284" s="93">
        <f>SUMIFS(Table1[Estimação (horas)],Table1[Tabela],Plano_V1!E284,Table1[Campo],Plano_V1!F284)</f>
        <v>0.6</v>
      </c>
      <c r="J284" s="93">
        <f t="shared" si="27"/>
        <v>7.4999999999999997E-2</v>
      </c>
      <c r="K284" s="98" t="s">
        <v>39</v>
      </c>
      <c r="L284" s="99">
        <f t="shared" si="28"/>
        <v>7.4999999999999997E-2</v>
      </c>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100"/>
      <c r="AU284" s="87"/>
      <c r="AV284" s="87"/>
      <c r="AW284" s="87"/>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100"/>
      <c r="EJ284" s="100"/>
      <c r="EK284" s="100"/>
      <c r="EL284" s="100"/>
      <c r="EM284" s="100"/>
      <c r="EN284" s="100"/>
      <c r="EO284" s="100"/>
      <c r="EP284" s="87"/>
      <c r="EQ284" s="87"/>
      <c r="ER284" s="87"/>
      <c r="ES284" s="87"/>
      <c r="ET284" s="87"/>
      <c r="EU284" s="87"/>
      <c r="EV284" s="87"/>
      <c r="EW284" s="87"/>
      <c r="EX284" s="87"/>
      <c r="EY284" s="87"/>
      <c r="EZ284" s="87"/>
      <c r="FA284" s="87"/>
      <c r="FB284" s="87"/>
      <c r="FC284" s="87"/>
      <c r="FD284" s="87"/>
      <c r="FE284" s="87"/>
      <c r="FF284" s="87"/>
      <c r="FG284" s="87"/>
      <c r="FH284" s="87"/>
      <c r="FI284" s="87"/>
      <c r="FJ284" s="87"/>
      <c r="FK284" s="87"/>
    </row>
    <row r="285" spans="1:167" outlineLevel="1">
      <c r="A285" s="31" t="str">
        <f t="shared" ref="A285:A348" si="29">E285&amp;F285</f>
        <v>modesg_inp_nfrd_alinhamento_taxccm_capex_own_prfrmnce_algnd</v>
      </c>
      <c r="B285" s="76" t="s">
        <v>28</v>
      </c>
      <c r="C285" s="77" t="s">
        <v>178</v>
      </c>
      <c r="D285" s="73" t="s">
        <v>40</v>
      </c>
      <c r="E285" s="75" t="s">
        <v>208</v>
      </c>
      <c r="F285" s="73" t="s">
        <v>250</v>
      </c>
      <c r="G285" s="73" t="str">
        <f>INDEX(Auxiliar!$B$16:$B$23,MATCH(Plano_V1!H285,Auxiliar!$C$16:$C$23,0),1)</f>
        <v>1. Concluído</v>
      </c>
      <c r="H285" s="73">
        <f>VLOOKUP(A285,'Aux - pivots1'!$A:$B,2,0)</f>
        <v>1</v>
      </c>
      <c r="I285" s="93">
        <f>SUMIFS(Table1[Estimação (horas)],Table1[Tabela],Plano_V1!E285,Table1[Campo],Plano_V1!F285)</f>
        <v>0.6</v>
      </c>
      <c r="J285" s="93">
        <f t="shared" si="27"/>
        <v>7.4999999999999997E-2</v>
      </c>
      <c r="K285" s="98" t="s">
        <v>39</v>
      </c>
      <c r="L285" s="99">
        <f t="shared" si="28"/>
        <v>7.4999999999999997E-2</v>
      </c>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100"/>
      <c r="AU285" s="87"/>
      <c r="AV285" s="87"/>
      <c r="AW285" s="87"/>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100"/>
      <c r="EJ285" s="100"/>
      <c r="EK285" s="100"/>
      <c r="EL285" s="100"/>
      <c r="EM285" s="100"/>
      <c r="EN285" s="100"/>
      <c r="EO285" s="100"/>
      <c r="EP285" s="87"/>
      <c r="EQ285" s="87"/>
      <c r="ER285" s="87"/>
      <c r="ES285" s="87"/>
      <c r="ET285" s="87"/>
      <c r="EU285" s="87"/>
      <c r="EV285" s="87"/>
      <c r="EW285" s="87"/>
      <c r="EX285" s="87"/>
      <c r="EY285" s="87"/>
      <c r="EZ285" s="87"/>
      <c r="FA285" s="87"/>
      <c r="FB285" s="87"/>
      <c r="FC285" s="87"/>
      <c r="FD285" s="87"/>
      <c r="FE285" s="87"/>
      <c r="FF285" s="87"/>
      <c r="FG285" s="87"/>
      <c r="FH285" s="87"/>
      <c r="FI285" s="87"/>
      <c r="FJ285" s="87"/>
      <c r="FK285" s="87"/>
    </row>
    <row r="286" spans="1:167" outlineLevel="1">
      <c r="A286" s="31" t="str">
        <f t="shared" si="29"/>
        <v>modesg_inp_nfrd_alinhamento_taxppc_trnvr_ttl_elgbl</v>
      </c>
      <c r="B286" s="76" t="s">
        <v>28</v>
      </c>
      <c r="C286" s="77" t="s">
        <v>178</v>
      </c>
      <c r="D286" s="73" t="s">
        <v>40</v>
      </c>
      <c r="E286" s="75" t="s">
        <v>208</v>
      </c>
      <c r="F286" s="73" t="s">
        <v>251</v>
      </c>
      <c r="G286" s="73" t="str">
        <f>INDEX(Auxiliar!$B$16:$B$23,MATCH(Plano_V1!H286,Auxiliar!$C$16:$C$23,0),1)</f>
        <v>1. Concluído</v>
      </c>
      <c r="H286" s="73">
        <f>VLOOKUP(A286,'Aux - pivots1'!$A:$B,2,0)</f>
        <v>1</v>
      </c>
      <c r="I286" s="93">
        <f>SUMIFS(Table1[Estimação (horas)],Table1[Tabela],Plano_V1!E286,Table1[Campo],Plano_V1!F286)</f>
        <v>0.6</v>
      </c>
      <c r="J286" s="93">
        <f t="shared" si="27"/>
        <v>7.4999999999999997E-2</v>
      </c>
      <c r="K286" s="98" t="s">
        <v>39</v>
      </c>
      <c r="L286" s="99">
        <f t="shared" si="28"/>
        <v>7.4999999999999997E-2</v>
      </c>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100"/>
      <c r="AU286" s="87"/>
      <c r="AV286" s="87"/>
      <c r="AW286" s="87"/>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100"/>
      <c r="EJ286" s="100"/>
      <c r="EK286" s="100"/>
      <c r="EL286" s="100"/>
      <c r="EM286" s="100"/>
      <c r="EN286" s="100"/>
      <c r="EO286" s="100"/>
      <c r="EP286" s="87"/>
      <c r="EQ286" s="87"/>
      <c r="ER286" s="87"/>
      <c r="ES286" s="87"/>
      <c r="ET286" s="87"/>
      <c r="EU286" s="87"/>
      <c r="EV286" s="87"/>
      <c r="EW286" s="87"/>
      <c r="EX286" s="87"/>
      <c r="EY286" s="87"/>
      <c r="EZ286" s="87"/>
      <c r="FA286" s="87"/>
      <c r="FB286" s="87"/>
      <c r="FC286" s="87"/>
      <c r="FD286" s="87"/>
      <c r="FE286" s="87"/>
      <c r="FF286" s="87"/>
      <c r="FG286" s="87"/>
      <c r="FH286" s="87"/>
      <c r="FI286" s="87"/>
      <c r="FJ286" s="87"/>
      <c r="FK286" s="87"/>
    </row>
    <row r="287" spans="1:167" outlineLevel="1">
      <c r="A287" s="31" t="str">
        <f t="shared" si="29"/>
        <v>modesg_inp_nfrd_alinhamento_taxppc_turnover_own_prfrmnce_algnd</v>
      </c>
      <c r="B287" s="76" t="s">
        <v>28</v>
      </c>
      <c r="C287" s="77" t="s">
        <v>178</v>
      </c>
      <c r="D287" s="73" t="s">
        <v>40</v>
      </c>
      <c r="E287" s="75" t="s">
        <v>208</v>
      </c>
      <c r="F287" s="73" t="s">
        <v>252</v>
      </c>
      <c r="G287" s="73" t="str">
        <f>INDEX(Auxiliar!$B$16:$B$23,MATCH(Plano_V1!H287,Auxiliar!$C$16:$C$23,0),1)</f>
        <v>1. Concluído</v>
      </c>
      <c r="H287" s="73">
        <f>VLOOKUP(A287,'Aux - pivots1'!$A:$B,2,0)</f>
        <v>1</v>
      </c>
      <c r="I287" s="93">
        <f>SUMIFS(Table1[Estimação (horas)],Table1[Tabela],Plano_V1!E287,Table1[Campo],Plano_V1!F287)</f>
        <v>0.6</v>
      </c>
      <c r="J287" s="93">
        <f t="shared" si="27"/>
        <v>7.4999999999999997E-2</v>
      </c>
      <c r="K287" s="98" t="s">
        <v>39</v>
      </c>
      <c r="L287" s="99">
        <f t="shared" si="28"/>
        <v>7.4999999999999997E-2</v>
      </c>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100"/>
      <c r="AU287" s="87"/>
      <c r="AV287" s="87"/>
      <c r="AW287" s="87"/>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100"/>
      <c r="EJ287" s="100"/>
      <c r="EK287" s="100"/>
      <c r="EL287" s="100"/>
      <c r="EM287" s="100"/>
      <c r="EN287" s="100"/>
      <c r="EO287" s="100"/>
      <c r="EP287" s="87"/>
      <c r="EQ287" s="87"/>
      <c r="ER287" s="87"/>
      <c r="ES287" s="87"/>
      <c r="ET287" s="87"/>
      <c r="EU287" s="87"/>
      <c r="EV287" s="87"/>
      <c r="EW287" s="87"/>
      <c r="EX287" s="87"/>
      <c r="EY287" s="87"/>
      <c r="EZ287" s="87"/>
      <c r="FA287" s="87"/>
      <c r="FB287" s="87"/>
      <c r="FC287" s="87"/>
      <c r="FD287" s="87"/>
      <c r="FE287" s="87"/>
      <c r="FF287" s="87"/>
      <c r="FG287" s="87"/>
      <c r="FH287" s="87"/>
      <c r="FI287" s="87"/>
      <c r="FJ287" s="87"/>
      <c r="FK287" s="87"/>
    </row>
    <row r="288" spans="1:167" outlineLevel="1">
      <c r="A288" s="31" t="str">
        <f t="shared" si="29"/>
        <v>modesg_inp_nfrd_alinhamento_taxppc_capex_ttl_elgbl</v>
      </c>
      <c r="B288" s="76" t="s">
        <v>28</v>
      </c>
      <c r="C288" s="77" t="s">
        <v>178</v>
      </c>
      <c r="D288" s="73" t="s">
        <v>40</v>
      </c>
      <c r="E288" s="75" t="s">
        <v>208</v>
      </c>
      <c r="F288" s="73" t="s">
        <v>253</v>
      </c>
      <c r="G288" s="73" t="str">
        <f>INDEX(Auxiliar!$B$16:$B$23,MATCH(Plano_V1!H288,Auxiliar!$C$16:$C$23,0),1)</f>
        <v>1. Concluído</v>
      </c>
      <c r="H288" s="73">
        <f>VLOOKUP(A288,'Aux - pivots1'!$A:$B,2,0)</f>
        <v>1</v>
      </c>
      <c r="I288" s="93">
        <f>SUMIFS(Table1[Estimação (horas)],Table1[Tabela],Plano_V1!E288,Table1[Campo],Plano_V1!F288)</f>
        <v>0.6</v>
      </c>
      <c r="J288" s="93">
        <f t="shared" si="27"/>
        <v>7.4999999999999997E-2</v>
      </c>
      <c r="K288" s="98" t="s">
        <v>39</v>
      </c>
      <c r="L288" s="99">
        <f t="shared" si="28"/>
        <v>7.4999999999999997E-2</v>
      </c>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100"/>
      <c r="AU288" s="87"/>
      <c r="AV288" s="87"/>
      <c r="AW288" s="87"/>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100"/>
      <c r="EJ288" s="100"/>
      <c r="EK288" s="100"/>
      <c r="EL288" s="100"/>
      <c r="EM288" s="100"/>
      <c r="EN288" s="100"/>
      <c r="EO288" s="100"/>
      <c r="EP288" s="87"/>
      <c r="EQ288" s="87"/>
      <c r="ER288" s="87"/>
      <c r="ES288" s="87"/>
      <c r="ET288" s="87"/>
      <c r="EU288" s="87"/>
      <c r="EV288" s="87"/>
      <c r="EW288" s="87"/>
      <c r="EX288" s="87"/>
      <c r="EY288" s="87"/>
      <c r="EZ288" s="87"/>
      <c r="FA288" s="87"/>
      <c r="FB288" s="87"/>
      <c r="FC288" s="87"/>
      <c r="FD288" s="87"/>
      <c r="FE288" s="87"/>
      <c r="FF288" s="87"/>
      <c r="FG288" s="87"/>
      <c r="FH288" s="87"/>
      <c r="FI288" s="87"/>
      <c r="FJ288" s="87"/>
      <c r="FK288" s="87"/>
    </row>
    <row r="289" spans="1:167" outlineLevel="1">
      <c r="A289" s="31" t="str">
        <f t="shared" si="29"/>
        <v>modesg_inp_nfrd_alinhamento_taxppc_capex_own_prfrmnce_algnd</v>
      </c>
      <c r="B289" s="76" t="s">
        <v>28</v>
      </c>
      <c r="C289" s="77" t="s">
        <v>178</v>
      </c>
      <c r="D289" s="73" t="s">
        <v>40</v>
      </c>
      <c r="E289" s="75" t="s">
        <v>208</v>
      </c>
      <c r="F289" s="73" t="s">
        <v>254</v>
      </c>
      <c r="G289" s="73" t="str">
        <f>INDEX(Auxiliar!$B$16:$B$23,MATCH(Plano_V1!H289,Auxiliar!$C$16:$C$23,0),1)</f>
        <v>1. Concluído</v>
      </c>
      <c r="H289" s="73">
        <f>VLOOKUP(A289,'Aux - pivots1'!$A:$B,2,0)</f>
        <v>1</v>
      </c>
      <c r="I289" s="93">
        <f>SUMIFS(Table1[Estimação (horas)],Table1[Tabela],Plano_V1!E289,Table1[Campo],Plano_V1!F289)</f>
        <v>0.6</v>
      </c>
      <c r="J289" s="93">
        <f t="shared" si="27"/>
        <v>7.4999999999999997E-2</v>
      </c>
      <c r="K289" s="98" t="s">
        <v>39</v>
      </c>
      <c r="L289" s="99">
        <f t="shared" si="28"/>
        <v>7.4999999999999997E-2</v>
      </c>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100"/>
      <c r="AU289" s="87"/>
      <c r="AV289" s="87"/>
      <c r="AW289" s="87"/>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100"/>
      <c r="EJ289" s="100"/>
      <c r="EK289" s="100"/>
      <c r="EL289" s="100"/>
      <c r="EM289" s="100"/>
      <c r="EN289" s="100"/>
      <c r="EO289" s="100"/>
      <c r="EP289" s="87"/>
      <c r="EQ289" s="87"/>
      <c r="ER289" s="87"/>
      <c r="ES289" s="87"/>
      <c r="ET289" s="87"/>
      <c r="EU289" s="87"/>
      <c r="EV289" s="87"/>
      <c r="EW289" s="87"/>
      <c r="EX289" s="87"/>
      <c r="EY289" s="87"/>
      <c r="EZ289" s="87"/>
      <c r="FA289" s="87"/>
      <c r="FB289" s="87"/>
      <c r="FC289" s="87"/>
      <c r="FD289" s="87"/>
      <c r="FE289" s="87"/>
      <c r="FF289" s="87"/>
      <c r="FG289" s="87"/>
      <c r="FH289" s="87"/>
      <c r="FI289" s="87"/>
      <c r="FJ289" s="87"/>
      <c r="FK289" s="87"/>
    </row>
    <row r="290" spans="1:167" outlineLevel="1">
      <c r="A290" s="31" t="str">
        <f t="shared" si="29"/>
        <v>modesg_inp_nfrd_alinhamento_taxbio_trnvr_ttl_elgbl</v>
      </c>
      <c r="B290" s="76" t="s">
        <v>28</v>
      </c>
      <c r="C290" s="77" t="s">
        <v>178</v>
      </c>
      <c r="D290" s="73" t="s">
        <v>40</v>
      </c>
      <c r="E290" s="75" t="s">
        <v>208</v>
      </c>
      <c r="F290" s="73" t="s">
        <v>255</v>
      </c>
      <c r="G290" s="73" t="str">
        <f>INDEX(Auxiliar!$B$16:$B$23,MATCH(Plano_V1!H290,Auxiliar!$C$16:$C$23,0),1)</f>
        <v>1. Concluído</v>
      </c>
      <c r="H290" s="73">
        <f>VLOOKUP(A290,'Aux - pivots1'!$A:$B,2,0)</f>
        <v>1</v>
      </c>
      <c r="I290" s="93">
        <f>SUMIFS(Table1[Estimação (horas)],Table1[Tabela],Plano_V1!E290,Table1[Campo],Plano_V1!F290)</f>
        <v>0.6</v>
      </c>
      <c r="J290" s="93">
        <f t="shared" si="27"/>
        <v>7.4999999999999997E-2</v>
      </c>
      <c r="K290" s="98" t="s">
        <v>39</v>
      </c>
      <c r="L290" s="99">
        <f t="shared" si="28"/>
        <v>7.4999999999999997E-2</v>
      </c>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100"/>
      <c r="AU290" s="87"/>
      <c r="AV290" s="87"/>
      <c r="AW290" s="87"/>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100"/>
      <c r="EJ290" s="100"/>
      <c r="EK290" s="100"/>
      <c r="EL290" s="100"/>
      <c r="EM290" s="100"/>
      <c r="EN290" s="100"/>
      <c r="EO290" s="100"/>
      <c r="EP290" s="87"/>
      <c r="EQ290" s="87"/>
      <c r="ER290" s="87"/>
      <c r="ES290" s="87"/>
      <c r="ET290" s="87"/>
      <c r="EU290" s="87"/>
      <c r="EV290" s="87"/>
      <c r="EW290" s="87"/>
      <c r="EX290" s="87"/>
      <c r="EY290" s="87"/>
      <c r="EZ290" s="87"/>
      <c r="FA290" s="87"/>
      <c r="FB290" s="87"/>
      <c r="FC290" s="87"/>
      <c r="FD290" s="87"/>
      <c r="FE290" s="87"/>
      <c r="FF290" s="87"/>
      <c r="FG290" s="87"/>
      <c r="FH290" s="87"/>
      <c r="FI290" s="87"/>
      <c r="FJ290" s="87"/>
      <c r="FK290" s="87"/>
    </row>
    <row r="291" spans="1:167" outlineLevel="1">
      <c r="A291" s="31" t="str">
        <f t="shared" si="29"/>
        <v>modesg_inp_nfrd_alinhamento_taxbio_turnover_own_prfrmnce_algnd</v>
      </c>
      <c r="B291" s="76" t="s">
        <v>28</v>
      </c>
      <c r="C291" s="77" t="s">
        <v>178</v>
      </c>
      <c r="D291" s="73" t="s">
        <v>40</v>
      </c>
      <c r="E291" s="75" t="s">
        <v>208</v>
      </c>
      <c r="F291" s="73" t="s">
        <v>256</v>
      </c>
      <c r="G291" s="73" t="str">
        <f>INDEX(Auxiliar!$B$16:$B$23,MATCH(Plano_V1!H291,Auxiliar!$C$16:$C$23,0),1)</f>
        <v>1. Concluído</v>
      </c>
      <c r="H291" s="73">
        <f>VLOOKUP(A291,'Aux - pivots1'!$A:$B,2,0)</f>
        <v>1</v>
      </c>
      <c r="I291" s="93">
        <f>SUMIFS(Table1[Estimação (horas)],Table1[Tabela],Plano_V1!E291,Table1[Campo],Plano_V1!F291)</f>
        <v>0.6</v>
      </c>
      <c r="J291" s="93">
        <f t="shared" si="27"/>
        <v>7.4999999999999997E-2</v>
      </c>
      <c r="K291" s="98" t="s">
        <v>39</v>
      </c>
      <c r="L291" s="99">
        <f t="shared" si="28"/>
        <v>7.4999999999999997E-2</v>
      </c>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100"/>
      <c r="AU291" s="87"/>
      <c r="AV291" s="87"/>
      <c r="AW291" s="87"/>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100"/>
      <c r="EJ291" s="100"/>
      <c r="EK291" s="100"/>
      <c r="EL291" s="100"/>
      <c r="EM291" s="100"/>
      <c r="EN291" s="100"/>
      <c r="EO291" s="100"/>
      <c r="EP291" s="87"/>
      <c r="EQ291" s="87"/>
      <c r="ER291" s="87"/>
      <c r="ES291" s="87"/>
      <c r="ET291" s="87"/>
      <c r="EU291" s="87"/>
      <c r="EV291" s="87"/>
      <c r="EW291" s="87"/>
      <c r="EX291" s="87"/>
      <c r="EY291" s="87"/>
      <c r="EZ291" s="87"/>
      <c r="FA291" s="87"/>
      <c r="FB291" s="87"/>
      <c r="FC291" s="87"/>
      <c r="FD291" s="87"/>
      <c r="FE291" s="87"/>
      <c r="FF291" s="87"/>
      <c r="FG291" s="87"/>
      <c r="FH291" s="87"/>
      <c r="FI291" s="87"/>
      <c r="FJ291" s="87"/>
      <c r="FK291" s="87"/>
    </row>
    <row r="292" spans="1:167" outlineLevel="1">
      <c r="A292" s="31" t="str">
        <f t="shared" si="29"/>
        <v>modesg_inp_nfrd_alinhamento_taxbio_capex_ttl_elgbl</v>
      </c>
      <c r="B292" s="76" t="s">
        <v>28</v>
      </c>
      <c r="C292" s="77" t="s">
        <v>178</v>
      </c>
      <c r="D292" s="73" t="s">
        <v>40</v>
      </c>
      <c r="E292" s="75" t="s">
        <v>208</v>
      </c>
      <c r="F292" s="73" t="s">
        <v>257</v>
      </c>
      <c r="G292" s="73" t="str">
        <f>INDEX(Auxiliar!$B$16:$B$23,MATCH(Plano_V1!H292,Auxiliar!$C$16:$C$23,0),1)</f>
        <v>1. Concluído</v>
      </c>
      <c r="H292" s="73">
        <f>VLOOKUP(A292,'Aux - pivots1'!$A:$B,2,0)</f>
        <v>1</v>
      </c>
      <c r="I292" s="93">
        <f>SUMIFS(Table1[Estimação (horas)],Table1[Tabela],Plano_V1!E292,Table1[Campo],Plano_V1!F292)</f>
        <v>0.6</v>
      </c>
      <c r="J292" s="93">
        <f t="shared" si="27"/>
        <v>7.4999999999999997E-2</v>
      </c>
      <c r="K292" s="98" t="s">
        <v>39</v>
      </c>
      <c r="L292" s="99">
        <f t="shared" si="28"/>
        <v>7.4999999999999997E-2</v>
      </c>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100"/>
      <c r="AU292" s="87"/>
      <c r="AV292" s="87"/>
      <c r="AW292" s="87"/>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100"/>
      <c r="EJ292" s="100"/>
      <c r="EK292" s="100"/>
      <c r="EL292" s="100"/>
      <c r="EM292" s="100"/>
      <c r="EN292" s="100"/>
      <c r="EO292" s="100"/>
      <c r="EP292" s="87"/>
      <c r="EQ292" s="87"/>
      <c r="ER292" s="87"/>
      <c r="ES292" s="87"/>
      <c r="ET292" s="87"/>
      <c r="EU292" s="87"/>
      <c r="EV292" s="87"/>
      <c r="EW292" s="87"/>
      <c r="EX292" s="87"/>
      <c r="EY292" s="87"/>
      <c r="EZ292" s="87"/>
      <c r="FA292" s="87"/>
      <c r="FB292" s="87"/>
      <c r="FC292" s="87"/>
      <c r="FD292" s="87"/>
      <c r="FE292" s="87"/>
      <c r="FF292" s="87"/>
      <c r="FG292" s="87"/>
      <c r="FH292" s="87"/>
      <c r="FI292" s="87"/>
      <c r="FJ292" s="87"/>
      <c r="FK292" s="87"/>
    </row>
    <row r="293" spans="1:167" outlineLevel="1">
      <c r="A293" s="31" t="str">
        <f t="shared" si="29"/>
        <v>modesg_inp_nfrd_alinhamento_taxbio_capex_own_prfrmnce_algnd</v>
      </c>
      <c r="B293" s="76" t="s">
        <v>28</v>
      </c>
      <c r="C293" s="77" t="s">
        <v>178</v>
      </c>
      <c r="D293" s="73" t="s">
        <v>40</v>
      </c>
      <c r="E293" s="75" t="s">
        <v>208</v>
      </c>
      <c r="F293" s="73" t="s">
        <v>258</v>
      </c>
      <c r="G293" s="73" t="str">
        <f>INDEX(Auxiliar!$B$16:$B$23,MATCH(Plano_V1!H293,Auxiliar!$C$16:$C$23,0),1)</f>
        <v>1. Concluído</v>
      </c>
      <c r="H293" s="73">
        <f>VLOOKUP(A293,'Aux - pivots1'!$A:$B,2,0)</f>
        <v>1</v>
      </c>
      <c r="I293" s="93">
        <f>SUMIFS(Table1[Estimação (horas)],Table1[Tabela],Plano_V1!E293,Table1[Campo],Plano_V1!F293)</f>
        <v>0.6</v>
      </c>
      <c r="J293" s="93">
        <f t="shared" si="27"/>
        <v>7.4999999999999997E-2</v>
      </c>
      <c r="K293" s="98" t="s">
        <v>39</v>
      </c>
      <c r="L293" s="99">
        <f t="shared" si="28"/>
        <v>7.4999999999999997E-2</v>
      </c>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100"/>
      <c r="AU293" s="87"/>
      <c r="AV293" s="87"/>
      <c r="AW293" s="87"/>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100"/>
      <c r="EJ293" s="100"/>
      <c r="EK293" s="100"/>
      <c r="EL293" s="100"/>
      <c r="EM293" s="100"/>
      <c r="EN293" s="100"/>
      <c r="EO293" s="100"/>
      <c r="EP293" s="87"/>
      <c r="EQ293" s="87"/>
      <c r="ER293" s="87"/>
      <c r="ES293" s="87"/>
      <c r="ET293" s="87"/>
      <c r="EU293" s="87"/>
      <c r="EV293" s="87"/>
      <c r="EW293" s="87"/>
      <c r="EX293" s="87"/>
      <c r="EY293" s="87"/>
      <c r="EZ293" s="87"/>
      <c r="FA293" s="87"/>
      <c r="FB293" s="87"/>
      <c r="FC293" s="87"/>
      <c r="FD293" s="87"/>
      <c r="FE293" s="87"/>
      <c r="FF293" s="87"/>
      <c r="FG293" s="87"/>
      <c r="FH293" s="87"/>
      <c r="FI293" s="87"/>
      <c r="FJ293" s="87"/>
      <c r="FK293" s="87"/>
    </row>
    <row r="294" spans="1:167" outlineLevel="1">
      <c r="A294" s="31" t="str">
        <f t="shared" si="29"/>
        <v>modesg_inp_nfrd_alinhamento_taxwtr_trnvr_ttl_elgbl</v>
      </c>
      <c r="B294" s="76" t="s">
        <v>28</v>
      </c>
      <c r="C294" s="77" t="s">
        <v>178</v>
      </c>
      <c r="D294" s="73" t="s">
        <v>40</v>
      </c>
      <c r="E294" s="75" t="s">
        <v>208</v>
      </c>
      <c r="F294" s="73" t="s">
        <v>259</v>
      </c>
      <c r="G294" s="73" t="str">
        <f>INDEX(Auxiliar!$B$16:$B$23,MATCH(Plano_V1!H294,Auxiliar!$C$16:$C$23,0),1)</f>
        <v>1. Concluído</v>
      </c>
      <c r="H294" s="73">
        <f>VLOOKUP(A294,'Aux - pivots1'!$A:$B,2,0)</f>
        <v>1</v>
      </c>
      <c r="I294" s="93">
        <f>SUMIFS(Table1[Estimação (horas)],Table1[Tabela],Plano_V1!E294,Table1[Campo],Plano_V1!F294)</f>
        <v>0.6</v>
      </c>
      <c r="J294" s="93">
        <f t="shared" si="27"/>
        <v>7.4999999999999997E-2</v>
      </c>
      <c r="K294" s="98" t="s">
        <v>39</v>
      </c>
      <c r="L294" s="99">
        <f t="shared" si="28"/>
        <v>7.4999999999999997E-2</v>
      </c>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100"/>
      <c r="AU294" s="87"/>
      <c r="AV294" s="87"/>
      <c r="AW294" s="87"/>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100"/>
      <c r="EJ294" s="100"/>
      <c r="EK294" s="100"/>
      <c r="EL294" s="100"/>
      <c r="EM294" s="100"/>
      <c r="EN294" s="100"/>
      <c r="EO294" s="100"/>
      <c r="EP294" s="87"/>
      <c r="EQ294" s="87"/>
      <c r="ER294" s="87"/>
      <c r="ES294" s="87"/>
      <c r="ET294" s="87"/>
      <c r="EU294" s="87"/>
      <c r="EV294" s="87"/>
      <c r="EW294" s="87"/>
      <c r="EX294" s="87"/>
      <c r="EY294" s="87"/>
      <c r="EZ294" s="87"/>
      <c r="FA294" s="87"/>
      <c r="FB294" s="87"/>
      <c r="FC294" s="87"/>
      <c r="FD294" s="87"/>
      <c r="FE294" s="87"/>
      <c r="FF294" s="87"/>
      <c r="FG294" s="87"/>
      <c r="FH294" s="87"/>
      <c r="FI294" s="87"/>
      <c r="FJ294" s="87"/>
      <c r="FK294" s="87"/>
    </row>
    <row r="295" spans="1:167" outlineLevel="1">
      <c r="A295" s="31" t="str">
        <f t="shared" si="29"/>
        <v>modesg_inp_nfrd_alinhamento_taxwtr_trnvr_enblng_alignd</v>
      </c>
      <c r="B295" s="76" t="s">
        <v>28</v>
      </c>
      <c r="C295" s="77" t="s">
        <v>178</v>
      </c>
      <c r="D295" s="73" t="s">
        <v>40</v>
      </c>
      <c r="E295" s="75" t="s">
        <v>208</v>
      </c>
      <c r="F295" s="73" t="s">
        <v>260</v>
      </c>
      <c r="G295" s="73" t="str">
        <f>INDEX(Auxiliar!$B$16:$B$23,MATCH(Plano_V1!H295,Auxiliar!$C$16:$C$23,0),1)</f>
        <v>1. Concluído</v>
      </c>
      <c r="H295" s="73">
        <f>VLOOKUP(A295,'Aux - pivots1'!$A:$B,2,0)</f>
        <v>1</v>
      </c>
      <c r="I295" s="93">
        <f>SUMIFS(Table1[Estimação (horas)],Table1[Tabela],Plano_V1!E295,Table1[Campo],Plano_V1!F295)</f>
        <v>0.6</v>
      </c>
      <c r="J295" s="93">
        <f t="shared" si="27"/>
        <v>7.4999999999999997E-2</v>
      </c>
      <c r="K295" s="98" t="s">
        <v>39</v>
      </c>
      <c r="L295" s="99">
        <f t="shared" si="28"/>
        <v>7.4999999999999997E-2</v>
      </c>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100"/>
      <c r="AU295" s="87"/>
      <c r="AV295" s="87"/>
      <c r="AW295" s="87"/>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100"/>
      <c r="EJ295" s="100"/>
      <c r="EK295" s="100"/>
      <c r="EL295" s="100"/>
      <c r="EM295" s="100"/>
      <c r="EN295" s="100"/>
      <c r="EO295" s="100"/>
      <c r="EP295" s="87"/>
      <c r="EQ295" s="87"/>
      <c r="ER295" s="87"/>
      <c r="ES295" s="87"/>
      <c r="ET295" s="87"/>
      <c r="EU295" s="87"/>
      <c r="EV295" s="87"/>
      <c r="EW295" s="87"/>
      <c r="EX295" s="87"/>
      <c r="EY295" s="87"/>
      <c r="EZ295" s="87"/>
      <c r="FA295" s="87"/>
      <c r="FB295" s="87"/>
      <c r="FC295" s="87"/>
      <c r="FD295" s="87"/>
      <c r="FE295" s="87"/>
      <c r="FF295" s="87"/>
      <c r="FG295" s="87"/>
      <c r="FH295" s="87"/>
      <c r="FI295" s="87"/>
      <c r="FJ295" s="87"/>
      <c r="FK295" s="87"/>
    </row>
    <row r="296" spans="1:167" outlineLevel="1">
      <c r="A296" s="31" t="str">
        <f t="shared" si="29"/>
        <v>modesg_inp_nfrd_alinhamento_taxwtr_turnover_own_prfrmnce_algnd</v>
      </c>
      <c r="B296" s="76" t="s">
        <v>28</v>
      </c>
      <c r="C296" s="77" t="s">
        <v>178</v>
      </c>
      <c r="D296" s="73" t="s">
        <v>40</v>
      </c>
      <c r="E296" s="75" t="s">
        <v>208</v>
      </c>
      <c r="F296" s="73" t="s">
        <v>261</v>
      </c>
      <c r="G296" s="73" t="str">
        <f>INDEX(Auxiliar!$B$16:$B$23,MATCH(Plano_V1!H296,Auxiliar!$C$16:$C$23,0),1)</f>
        <v>1. Concluído</v>
      </c>
      <c r="H296" s="73">
        <f>VLOOKUP(A296,'Aux - pivots1'!$A:$B,2,0)</f>
        <v>1</v>
      </c>
      <c r="I296" s="93">
        <f>SUMIFS(Table1[Estimação (horas)],Table1[Tabela],Plano_V1!E296,Table1[Campo],Plano_V1!F296)</f>
        <v>0.6</v>
      </c>
      <c r="J296" s="93">
        <f t="shared" si="27"/>
        <v>7.4999999999999997E-2</v>
      </c>
      <c r="K296" s="98" t="s">
        <v>39</v>
      </c>
      <c r="L296" s="99">
        <f t="shared" si="28"/>
        <v>7.4999999999999997E-2</v>
      </c>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100"/>
      <c r="AU296" s="87"/>
      <c r="AV296" s="87"/>
      <c r="AW296" s="87"/>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100"/>
      <c r="EJ296" s="100"/>
      <c r="EK296" s="100"/>
      <c r="EL296" s="100"/>
      <c r="EM296" s="100"/>
      <c r="EN296" s="100"/>
      <c r="EO296" s="100"/>
      <c r="EP296" s="87"/>
      <c r="EQ296" s="87"/>
      <c r="ER296" s="87"/>
      <c r="ES296" s="87"/>
      <c r="ET296" s="87"/>
      <c r="EU296" s="87"/>
      <c r="EV296" s="87"/>
      <c r="EW296" s="87"/>
      <c r="EX296" s="87"/>
      <c r="EY296" s="87"/>
      <c r="EZ296" s="87"/>
      <c r="FA296" s="87"/>
      <c r="FB296" s="87"/>
      <c r="FC296" s="87"/>
      <c r="FD296" s="87"/>
      <c r="FE296" s="87"/>
      <c r="FF296" s="87"/>
      <c r="FG296" s="87"/>
      <c r="FH296" s="87"/>
      <c r="FI296" s="87"/>
      <c r="FJ296" s="87"/>
      <c r="FK296" s="87"/>
    </row>
    <row r="297" spans="1:167" outlineLevel="1">
      <c r="A297" s="31" t="str">
        <f t="shared" si="29"/>
        <v>modesg_inp_nfrd_alinhamento_taxwtr_capex_ttl_elgbl</v>
      </c>
      <c r="B297" s="76" t="s">
        <v>28</v>
      </c>
      <c r="C297" s="77" t="s">
        <v>178</v>
      </c>
      <c r="D297" s="73" t="s">
        <v>40</v>
      </c>
      <c r="E297" s="75" t="s">
        <v>208</v>
      </c>
      <c r="F297" s="73" t="s">
        <v>262</v>
      </c>
      <c r="G297" s="73" t="str">
        <f>INDEX(Auxiliar!$B$16:$B$23,MATCH(Plano_V1!H297,Auxiliar!$C$16:$C$23,0),1)</f>
        <v>1. Concluído</v>
      </c>
      <c r="H297" s="73">
        <f>VLOOKUP(A297,'Aux - pivots1'!$A:$B,2,0)</f>
        <v>1</v>
      </c>
      <c r="I297" s="93">
        <f>SUMIFS(Table1[Estimação (horas)],Table1[Tabela],Plano_V1!E297,Table1[Campo],Plano_V1!F297)</f>
        <v>0.6</v>
      </c>
      <c r="J297" s="93">
        <f t="shared" si="27"/>
        <v>7.4999999999999997E-2</v>
      </c>
      <c r="K297" s="98" t="s">
        <v>39</v>
      </c>
      <c r="L297" s="99">
        <f t="shared" si="28"/>
        <v>7.4999999999999997E-2</v>
      </c>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100"/>
      <c r="AU297" s="87"/>
      <c r="AV297" s="87"/>
      <c r="AW297" s="87"/>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100"/>
      <c r="EJ297" s="100"/>
      <c r="EK297" s="100"/>
      <c r="EL297" s="100"/>
      <c r="EM297" s="100"/>
      <c r="EN297" s="100"/>
      <c r="EO297" s="100"/>
      <c r="EP297" s="87"/>
      <c r="EQ297" s="87"/>
      <c r="ER297" s="87"/>
      <c r="ES297" s="87"/>
      <c r="ET297" s="87"/>
      <c r="EU297" s="87"/>
      <c r="EV297" s="87"/>
      <c r="EW297" s="87"/>
      <c r="EX297" s="87"/>
      <c r="EY297" s="87"/>
      <c r="EZ297" s="87"/>
      <c r="FA297" s="87"/>
      <c r="FB297" s="87"/>
      <c r="FC297" s="87"/>
      <c r="FD297" s="87"/>
      <c r="FE297" s="87"/>
      <c r="FF297" s="87"/>
      <c r="FG297" s="87"/>
      <c r="FH297" s="87"/>
      <c r="FI297" s="87"/>
      <c r="FJ297" s="87"/>
      <c r="FK297" s="87"/>
    </row>
    <row r="298" spans="1:167" outlineLevel="1">
      <c r="A298" s="31" t="str">
        <f t="shared" si="29"/>
        <v>modesg_inp_nfrd_alinhamento_taxwtr_capex_enblng_algnd</v>
      </c>
      <c r="B298" s="76" t="s">
        <v>28</v>
      </c>
      <c r="C298" s="77" t="s">
        <v>178</v>
      </c>
      <c r="D298" s="73" t="s">
        <v>40</v>
      </c>
      <c r="E298" s="75" t="s">
        <v>208</v>
      </c>
      <c r="F298" s="73" t="s">
        <v>263</v>
      </c>
      <c r="G298" s="73" t="str">
        <f>INDEX(Auxiliar!$B$16:$B$23,MATCH(Plano_V1!H298,Auxiliar!$C$16:$C$23,0),1)</f>
        <v>1. Concluído</v>
      </c>
      <c r="H298" s="73">
        <f>VLOOKUP(A298,'Aux - pivots1'!$A:$B,2,0)</f>
        <v>1</v>
      </c>
      <c r="I298" s="93">
        <f>SUMIFS(Table1[Estimação (horas)],Table1[Tabela],Plano_V1!E298,Table1[Campo],Plano_V1!F298)</f>
        <v>0.6</v>
      </c>
      <c r="J298" s="93">
        <f t="shared" si="27"/>
        <v>7.4999999999999997E-2</v>
      </c>
      <c r="K298" s="98" t="s">
        <v>39</v>
      </c>
      <c r="L298" s="99">
        <f t="shared" si="28"/>
        <v>7.4999999999999997E-2</v>
      </c>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100"/>
      <c r="AU298" s="87"/>
      <c r="AV298" s="87"/>
      <c r="AW298" s="87"/>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100"/>
      <c r="EJ298" s="100"/>
      <c r="EK298" s="100"/>
      <c r="EL298" s="100"/>
      <c r="EM298" s="100"/>
      <c r="EN298" s="100"/>
      <c r="EO298" s="100"/>
      <c r="EP298" s="87"/>
      <c r="EQ298" s="87"/>
      <c r="ER298" s="87"/>
      <c r="ES298" s="87"/>
      <c r="ET298" s="87"/>
      <c r="EU298" s="87"/>
      <c r="EV298" s="87"/>
      <c r="EW298" s="87"/>
      <c r="EX298" s="87"/>
      <c r="EY298" s="87"/>
      <c r="EZ298" s="87"/>
      <c r="FA298" s="87"/>
      <c r="FB298" s="87"/>
      <c r="FC298" s="87"/>
      <c r="FD298" s="87"/>
      <c r="FE298" s="87"/>
      <c r="FF298" s="87"/>
      <c r="FG298" s="87"/>
      <c r="FH298" s="87"/>
      <c r="FI298" s="87"/>
      <c r="FJ298" s="87"/>
      <c r="FK298" s="87"/>
    </row>
    <row r="299" spans="1:167" outlineLevel="1">
      <c r="A299" s="31" t="str">
        <f t="shared" si="29"/>
        <v>modesg_inp_nfrd_alinhamento_taxwtr_capex_own_prfrmnce_algnd</v>
      </c>
      <c r="B299" s="76" t="s">
        <v>28</v>
      </c>
      <c r="C299" s="77" t="s">
        <v>178</v>
      </c>
      <c r="D299" s="73" t="s">
        <v>40</v>
      </c>
      <c r="E299" s="75" t="s">
        <v>208</v>
      </c>
      <c r="F299" s="73" t="s">
        <v>264</v>
      </c>
      <c r="G299" s="73" t="str">
        <f>INDEX(Auxiliar!$B$16:$B$23,MATCH(Plano_V1!H299,Auxiliar!$C$16:$C$23,0),1)</f>
        <v>1. Concluído</v>
      </c>
      <c r="H299" s="73">
        <f>VLOOKUP(A299,'Aux - pivots1'!$A:$B,2,0)</f>
        <v>1</v>
      </c>
      <c r="I299" s="93">
        <f>SUMIFS(Table1[Estimação (horas)],Table1[Tabela],Plano_V1!E299,Table1[Campo],Plano_V1!F299)</f>
        <v>0.6</v>
      </c>
      <c r="J299" s="93">
        <f t="shared" si="27"/>
        <v>7.4999999999999997E-2</v>
      </c>
      <c r="K299" s="98" t="s">
        <v>39</v>
      </c>
      <c r="L299" s="99">
        <f t="shared" si="28"/>
        <v>7.4999999999999997E-2</v>
      </c>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100"/>
      <c r="AU299" s="87"/>
      <c r="AV299" s="87"/>
      <c r="AW299" s="87"/>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100"/>
      <c r="EJ299" s="100"/>
      <c r="EK299" s="100"/>
      <c r="EL299" s="100"/>
      <c r="EM299" s="100"/>
      <c r="EN299" s="100"/>
      <c r="EO299" s="100"/>
      <c r="EP299" s="87"/>
      <c r="EQ299" s="87"/>
      <c r="ER299" s="87"/>
      <c r="ES299" s="87"/>
      <c r="ET299" s="87"/>
      <c r="EU299" s="87"/>
      <c r="EV299" s="87"/>
      <c r="EW299" s="87"/>
      <c r="EX299" s="87"/>
      <c r="EY299" s="87"/>
      <c r="EZ299" s="87"/>
      <c r="FA299" s="87"/>
      <c r="FB299" s="87"/>
      <c r="FC299" s="87"/>
      <c r="FD299" s="87"/>
      <c r="FE299" s="87"/>
      <c r="FF299" s="87"/>
      <c r="FG299" s="87"/>
      <c r="FH299" s="87"/>
      <c r="FI299" s="87"/>
      <c r="FJ299" s="87"/>
      <c r="FK299" s="87"/>
    </row>
    <row r="300" spans="1:167" outlineLevel="1">
      <c r="A300" s="31" t="str">
        <f t="shared" si="29"/>
        <v>modesg_inp_nfrd_alinhamento_taxce_trnvr_ttl_elgbl</v>
      </c>
      <c r="B300" s="76" t="s">
        <v>28</v>
      </c>
      <c r="C300" s="77" t="s">
        <v>178</v>
      </c>
      <c r="D300" s="73" t="s">
        <v>40</v>
      </c>
      <c r="E300" s="75" t="s">
        <v>208</v>
      </c>
      <c r="F300" s="73" t="s">
        <v>265</v>
      </c>
      <c r="G300" s="73" t="str">
        <f>INDEX(Auxiliar!$B$16:$B$23,MATCH(Plano_V1!H300,Auxiliar!$C$16:$C$23,0),1)</f>
        <v>1. Concluído</v>
      </c>
      <c r="H300" s="73">
        <f>VLOOKUP(A300,'Aux - pivots1'!$A:$B,2,0)</f>
        <v>1</v>
      </c>
      <c r="I300" s="93">
        <f>SUMIFS(Table1[Estimação (horas)],Table1[Tabela],Plano_V1!E300,Table1[Campo],Plano_V1!F300)</f>
        <v>0.6</v>
      </c>
      <c r="J300" s="93">
        <f t="shared" si="27"/>
        <v>7.4999999999999997E-2</v>
      </c>
      <c r="K300" s="98" t="s">
        <v>39</v>
      </c>
      <c r="L300" s="99">
        <f t="shared" si="28"/>
        <v>7.4999999999999997E-2</v>
      </c>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100"/>
      <c r="AU300" s="87"/>
      <c r="AV300" s="87"/>
      <c r="AW300" s="87"/>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100"/>
      <c r="EJ300" s="100"/>
      <c r="EK300" s="100"/>
      <c r="EL300" s="100"/>
      <c r="EM300" s="100"/>
      <c r="EN300" s="100"/>
      <c r="EO300" s="100"/>
      <c r="EP300" s="87"/>
      <c r="EQ300" s="87"/>
      <c r="ER300" s="87"/>
      <c r="ES300" s="87"/>
      <c r="ET300" s="87"/>
      <c r="EU300" s="87"/>
      <c r="EV300" s="87"/>
      <c r="EW300" s="87"/>
      <c r="EX300" s="87"/>
      <c r="EY300" s="87"/>
      <c r="EZ300" s="87"/>
      <c r="FA300" s="87"/>
      <c r="FB300" s="87"/>
      <c r="FC300" s="87"/>
      <c r="FD300" s="87"/>
      <c r="FE300" s="87"/>
      <c r="FF300" s="87"/>
      <c r="FG300" s="87"/>
      <c r="FH300" s="87"/>
      <c r="FI300" s="87"/>
      <c r="FJ300" s="87"/>
      <c r="FK300" s="87"/>
    </row>
    <row r="301" spans="1:167" outlineLevel="1">
      <c r="A301" s="31" t="str">
        <f t="shared" si="29"/>
        <v>modesg_inp_nfrd_alinhamento_taxce_trnvr_enblng_alignd</v>
      </c>
      <c r="B301" s="76" t="s">
        <v>28</v>
      </c>
      <c r="C301" s="77" t="s">
        <v>178</v>
      </c>
      <c r="D301" s="73" t="s">
        <v>40</v>
      </c>
      <c r="E301" s="75" t="s">
        <v>208</v>
      </c>
      <c r="F301" s="73" t="s">
        <v>266</v>
      </c>
      <c r="G301" s="73" t="str">
        <f>INDEX(Auxiliar!$B$16:$B$23,MATCH(Plano_V1!H301,Auxiliar!$C$16:$C$23,0),1)</f>
        <v>1. Concluído</v>
      </c>
      <c r="H301" s="73">
        <f>VLOOKUP(A301,'Aux - pivots1'!$A:$B,2,0)</f>
        <v>1</v>
      </c>
      <c r="I301" s="93">
        <f>SUMIFS(Table1[Estimação (horas)],Table1[Tabela],Plano_V1!E301,Table1[Campo],Plano_V1!F301)</f>
        <v>0.6</v>
      </c>
      <c r="J301" s="93">
        <f t="shared" si="27"/>
        <v>7.4999999999999997E-2</v>
      </c>
      <c r="K301" s="98" t="s">
        <v>39</v>
      </c>
      <c r="L301" s="99">
        <f t="shared" si="28"/>
        <v>7.4999999999999997E-2</v>
      </c>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100"/>
      <c r="AU301" s="87"/>
      <c r="AV301" s="87"/>
      <c r="AW301" s="87"/>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100"/>
      <c r="EJ301" s="100"/>
      <c r="EK301" s="100"/>
      <c r="EL301" s="100"/>
      <c r="EM301" s="100"/>
      <c r="EN301" s="100"/>
      <c r="EO301" s="100"/>
      <c r="EP301" s="87"/>
      <c r="EQ301" s="87"/>
      <c r="ER301" s="87"/>
      <c r="ES301" s="87"/>
      <c r="ET301" s="87"/>
      <c r="EU301" s="87"/>
      <c r="EV301" s="87"/>
      <c r="EW301" s="87"/>
      <c r="EX301" s="87"/>
      <c r="EY301" s="87"/>
      <c r="EZ301" s="87"/>
      <c r="FA301" s="87"/>
      <c r="FB301" s="87"/>
      <c r="FC301" s="87"/>
      <c r="FD301" s="87"/>
      <c r="FE301" s="87"/>
      <c r="FF301" s="87"/>
      <c r="FG301" s="87"/>
      <c r="FH301" s="87"/>
      <c r="FI301" s="87"/>
      <c r="FJ301" s="87"/>
      <c r="FK301" s="87"/>
    </row>
    <row r="302" spans="1:167" outlineLevel="1">
      <c r="A302" s="31" t="str">
        <f t="shared" si="29"/>
        <v>modesg_inp_nfrd_alinhamento_taxce_turnover_own_prfrmnce_algnd</v>
      </c>
      <c r="B302" s="76" t="s">
        <v>28</v>
      </c>
      <c r="C302" s="77" t="s">
        <v>178</v>
      </c>
      <c r="D302" s="73" t="s">
        <v>40</v>
      </c>
      <c r="E302" s="75" t="s">
        <v>208</v>
      </c>
      <c r="F302" s="73" t="s">
        <v>267</v>
      </c>
      <c r="G302" s="73" t="str">
        <f>INDEX(Auxiliar!$B$16:$B$23,MATCH(Plano_V1!H302,Auxiliar!$C$16:$C$23,0),1)</f>
        <v>1. Concluído</v>
      </c>
      <c r="H302" s="73">
        <f>VLOOKUP(A302,'Aux - pivots1'!$A:$B,2,0)</f>
        <v>1</v>
      </c>
      <c r="I302" s="93">
        <f>SUMIFS(Table1[Estimação (horas)],Table1[Tabela],Plano_V1!E302,Table1[Campo],Plano_V1!F302)</f>
        <v>0.6</v>
      </c>
      <c r="J302" s="93">
        <f t="shared" si="27"/>
        <v>7.4999999999999997E-2</v>
      </c>
      <c r="K302" s="98" t="s">
        <v>39</v>
      </c>
      <c r="L302" s="99">
        <f t="shared" si="28"/>
        <v>7.4999999999999997E-2</v>
      </c>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100"/>
      <c r="AU302" s="87"/>
      <c r="AV302" s="87"/>
      <c r="AW302" s="87"/>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100"/>
      <c r="EJ302" s="100"/>
      <c r="EK302" s="100"/>
      <c r="EL302" s="100"/>
      <c r="EM302" s="100"/>
      <c r="EN302" s="100"/>
      <c r="EO302" s="100"/>
      <c r="EP302" s="87"/>
      <c r="EQ302" s="87"/>
      <c r="ER302" s="87"/>
      <c r="ES302" s="87"/>
      <c r="ET302" s="87"/>
      <c r="EU302" s="87"/>
      <c r="EV302" s="87"/>
      <c r="EW302" s="87"/>
      <c r="EX302" s="87"/>
      <c r="EY302" s="87"/>
      <c r="EZ302" s="87"/>
      <c r="FA302" s="87"/>
      <c r="FB302" s="87"/>
      <c r="FC302" s="87"/>
      <c r="FD302" s="87"/>
      <c r="FE302" s="87"/>
      <c r="FF302" s="87"/>
      <c r="FG302" s="87"/>
      <c r="FH302" s="87"/>
      <c r="FI302" s="87"/>
      <c r="FJ302" s="87"/>
      <c r="FK302" s="87"/>
    </row>
    <row r="303" spans="1:167" outlineLevel="1">
      <c r="A303" s="31" t="str">
        <f t="shared" si="29"/>
        <v>modesg_inp_nfrd_alinhamento_taxce_capex_ttl_elgbl</v>
      </c>
      <c r="B303" s="76" t="s">
        <v>28</v>
      </c>
      <c r="C303" s="77" t="s">
        <v>178</v>
      </c>
      <c r="D303" s="73" t="s">
        <v>40</v>
      </c>
      <c r="E303" s="75" t="s">
        <v>208</v>
      </c>
      <c r="F303" s="73" t="s">
        <v>268</v>
      </c>
      <c r="G303" s="73" t="str">
        <f>INDEX(Auxiliar!$B$16:$B$23,MATCH(Plano_V1!H303,Auxiliar!$C$16:$C$23,0),1)</f>
        <v>1. Concluído</v>
      </c>
      <c r="H303" s="73">
        <f>VLOOKUP(A303,'Aux - pivots1'!$A:$B,2,0)</f>
        <v>1</v>
      </c>
      <c r="I303" s="93">
        <f>SUMIFS(Table1[Estimação (horas)],Table1[Tabela],Plano_V1!E303,Table1[Campo],Plano_V1!F303)</f>
        <v>0.6</v>
      </c>
      <c r="J303" s="93">
        <f t="shared" si="27"/>
        <v>7.4999999999999997E-2</v>
      </c>
      <c r="K303" s="98" t="s">
        <v>39</v>
      </c>
      <c r="L303" s="99">
        <f t="shared" si="28"/>
        <v>7.4999999999999997E-2</v>
      </c>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100"/>
      <c r="AU303" s="87"/>
      <c r="AV303" s="87"/>
      <c r="AW303" s="87"/>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100"/>
      <c r="EJ303" s="100"/>
      <c r="EK303" s="100"/>
      <c r="EL303" s="100"/>
      <c r="EM303" s="100"/>
      <c r="EN303" s="100"/>
      <c r="EO303" s="100"/>
      <c r="EP303" s="87"/>
      <c r="EQ303" s="87"/>
      <c r="ER303" s="87"/>
      <c r="ES303" s="87"/>
      <c r="ET303" s="87"/>
      <c r="EU303" s="87"/>
      <c r="EV303" s="87"/>
      <c r="EW303" s="87"/>
      <c r="EX303" s="87"/>
      <c r="EY303" s="87"/>
      <c r="EZ303" s="87"/>
      <c r="FA303" s="87"/>
      <c r="FB303" s="87"/>
      <c r="FC303" s="87"/>
      <c r="FD303" s="87"/>
      <c r="FE303" s="87"/>
      <c r="FF303" s="87"/>
      <c r="FG303" s="87"/>
      <c r="FH303" s="87"/>
      <c r="FI303" s="87"/>
      <c r="FJ303" s="87"/>
      <c r="FK303" s="87"/>
    </row>
    <row r="304" spans="1:167" outlineLevel="1">
      <c r="A304" s="31" t="str">
        <f t="shared" si="29"/>
        <v>modesg_inp_nfrd_alinhamento_taxce_capex_enblng_algnd</v>
      </c>
      <c r="B304" s="76" t="s">
        <v>28</v>
      </c>
      <c r="C304" s="77" t="s">
        <v>178</v>
      </c>
      <c r="D304" s="73" t="s">
        <v>40</v>
      </c>
      <c r="E304" s="75" t="s">
        <v>208</v>
      </c>
      <c r="F304" s="73" t="s">
        <v>269</v>
      </c>
      <c r="G304" s="73" t="str">
        <f>INDEX(Auxiliar!$B$16:$B$23,MATCH(Plano_V1!H304,Auxiliar!$C$16:$C$23,0),1)</f>
        <v>1. Concluído</v>
      </c>
      <c r="H304" s="73">
        <f>VLOOKUP(A304,'Aux - pivots1'!$A:$B,2,0)</f>
        <v>1</v>
      </c>
      <c r="I304" s="93">
        <f>SUMIFS(Table1[Estimação (horas)],Table1[Tabela],Plano_V1!E304,Table1[Campo],Plano_V1!F304)</f>
        <v>0.6</v>
      </c>
      <c r="J304" s="93">
        <f t="shared" si="27"/>
        <v>7.4999999999999997E-2</v>
      </c>
      <c r="K304" s="98" t="s">
        <v>39</v>
      </c>
      <c r="L304" s="99">
        <f t="shared" si="28"/>
        <v>7.4999999999999997E-2</v>
      </c>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100"/>
      <c r="AU304" s="87"/>
      <c r="AV304" s="87"/>
      <c r="AW304" s="87"/>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100"/>
      <c r="EJ304" s="100"/>
      <c r="EK304" s="100"/>
      <c r="EL304" s="100"/>
      <c r="EM304" s="100"/>
      <c r="EN304" s="100"/>
      <c r="EO304" s="100"/>
      <c r="EP304" s="87"/>
      <c r="EQ304" s="87"/>
      <c r="ER304" s="87"/>
      <c r="ES304" s="87"/>
      <c r="ET304" s="87"/>
      <c r="EU304" s="87"/>
      <c r="EV304" s="87"/>
      <c r="EW304" s="87"/>
      <c r="EX304" s="87"/>
      <c r="EY304" s="87"/>
      <c r="EZ304" s="87"/>
      <c r="FA304" s="87"/>
      <c r="FB304" s="87"/>
      <c r="FC304" s="87"/>
      <c r="FD304" s="87"/>
      <c r="FE304" s="87"/>
      <c r="FF304" s="87"/>
      <c r="FG304" s="87"/>
      <c r="FH304" s="87"/>
      <c r="FI304" s="87"/>
      <c r="FJ304" s="87"/>
      <c r="FK304" s="87"/>
    </row>
    <row r="305" spans="1:167" outlineLevel="1">
      <c r="A305" s="31" t="str">
        <f t="shared" si="29"/>
        <v>modesg_inp_nfrd_alinhamento_taxce_capex_own_prfrmnce_algnd</v>
      </c>
      <c r="B305" s="76" t="s">
        <v>28</v>
      </c>
      <c r="C305" s="77" t="s">
        <v>178</v>
      </c>
      <c r="D305" s="73" t="s">
        <v>40</v>
      </c>
      <c r="E305" s="75" t="s">
        <v>208</v>
      </c>
      <c r="F305" s="73" t="s">
        <v>270</v>
      </c>
      <c r="G305" s="73" t="str">
        <f>INDEX(Auxiliar!$B$16:$B$23,MATCH(Plano_V1!H305,Auxiliar!$C$16:$C$23,0),1)</f>
        <v>1. Concluído</v>
      </c>
      <c r="H305" s="73">
        <f>VLOOKUP(A305,'Aux - pivots1'!$A:$B,2,0)</f>
        <v>1</v>
      </c>
      <c r="I305" s="93">
        <f>SUMIFS(Table1[Estimação (horas)],Table1[Tabela],Plano_V1!E305,Table1[Campo],Plano_V1!F305)</f>
        <v>0.6</v>
      </c>
      <c r="J305" s="93">
        <f t="shared" si="27"/>
        <v>7.4999999999999997E-2</v>
      </c>
      <c r="K305" s="98" t="s">
        <v>39</v>
      </c>
      <c r="L305" s="99">
        <f t="shared" si="28"/>
        <v>7.4999999999999997E-2</v>
      </c>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100"/>
      <c r="AU305" s="87"/>
      <c r="AV305" s="87"/>
      <c r="AW305" s="87"/>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100"/>
      <c r="EJ305" s="100"/>
      <c r="EK305" s="100"/>
      <c r="EL305" s="100"/>
      <c r="EM305" s="100"/>
      <c r="EN305" s="100"/>
      <c r="EO305" s="100"/>
      <c r="EP305" s="87"/>
      <c r="EQ305" s="87"/>
      <c r="ER305" s="87"/>
      <c r="ES305" s="87"/>
      <c r="ET305" s="87"/>
      <c r="EU305" s="87"/>
      <c r="EV305" s="87"/>
      <c r="EW305" s="87"/>
      <c r="EX305" s="87"/>
      <c r="EY305" s="87"/>
      <c r="EZ305" s="87"/>
      <c r="FA305" s="87"/>
      <c r="FB305" s="87"/>
      <c r="FC305" s="87"/>
      <c r="FD305" s="87"/>
      <c r="FE305" s="87"/>
      <c r="FF305" s="87"/>
      <c r="FG305" s="87"/>
      <c r="FH305" s="87"/>
      <c r="FI305" s="87"/>
      <c r="FJ305" s="87"/>
      <c r="FK305" s="87"/>
    </row>
    <row r="306" spans="1:167" outlineLevel="1">
      <c r="A306" s="31" t="str">
        <f t="shared" si="29"/>
        <v>modesg_inp_risco_fisicoref_date</v>
      </c>
      <c r="B306" s="76" t="s">
        <v>28</v>
      </c>
      <c r="C306" s="77" t="s">
        <v>178</v>
      </c>
      <c r="D306" s="73" t="s">
        <v>40</v>
      </c>
      <c r="E306" s="75" t="s">
        <v>209</v>
      </c>
      <c r="F306" s="73" t="s">
        <v>73</v>
      </c>
      <c r="G306" s="73" t="str">
        <f>INDEX(Auxiliar!$B$16:$B$23,MATCH(Plano_V1!H306,Auxiliar!$C$16:$C$23,0),1)</f>
        <v>1. Concluído</v>
      </c>
      <c r="H306" s="73">
        <f>VLOOKUP(A306,'Aux - pivots1'!$A:$B,2,0)</f>
        <v>1</v>
      </c>
      <c r="I306" s="93">
        <f>SUMIFS(Table1[Estimação (horas)],Table1[Tabela],Plano_V1!E306,Table1[Campo],Plano_V1!F306)</f>
        <v>0.5</v>
      </c>
      <c r="J306" s="93">
        <f t="shared" si="27"/>
        <v>6.25E-2</v>
      </c>
      <c r="K306" s="98" t="s">
        <v>39</v>
      </c>
      <c r="L306" s="99">
        <f t="shared" si="28"/>
        <v>6.25E-2</v>
      </c>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100"/>
      <c r="AU306" s="87"/>
      <c r="AV306" s="87"/>
      <c r="AW306" s="87"/>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100"/>
      <c r="EJ306" s="100"/>
      <c r="EK306" s="100"/>
      <c r="EL306" s="100"/>
      <c r="EM306" s="100"/>
      <c r="EN306" s="100"/>
      <c r="EO306" s="100"/>
      <c r="EP306" s="87"/>
      <c r="EQ306" s="87"/>
      <c r="ER306" s="87"/>
      <c r="ES306" s="87"/>
      <c r="ET306" s="87"/>
      <c r="EU306" s="87"/>
      <c r="EV306" s="87"/>
      <c r="EW306" s="87"/>
      <c r="EX306" s="87"/>
      <c r="EY306" s="87"/>
      <c r="EZ306" s="87"/>
      <c r="FA306" s="87"/>
      <c r="FB306" s="87"/>
      <c r="FC306" s="87"/>
      <c r="FD306" s="87"/>
      <c r="FE306" s="87"/>
      <c r="FF306" s="87"/>
      <c r="FG306" s="87"/>
      <c r="FH306" s="87"/>
      <c r="FI306" s="87"/>
      <c r="FJ306" s="87"/>
      <c r="FK306" s="87"/>
    </row>
    <row r="307" spans="1:167" outlineLevel="1">
      <c r="A307" s="31" t="str">
        <f t="shared" si="29"/>
        <v>modesg_inp_risco_fisicocod_pais</v>
      </c>
      <c r="B307" s="76" t="s">
        <v>28</v>
      </c>
      <c r="C307" s="77" t="s">
        <v>178</v>
      </c>
      <c r="D307" s="73" t="s">
        <v>40</v>
      </c>
      <c r="E307" s="75" t="s">
        <v>209</v>
      </c>
      <c r="F307" s="73" t="s">
        <v>103</v>
      </c>
      <c r="G307" s="73" t="str">
        <f>INDEX(Auxiliar!$B$16:$B$23,MATCH(Plano_V1!H307,Auxiliar!$C$16:$C$23,0),1)</f>
        <v>1. Concluído</v>
      </c>
      <c r="H307" s="73">
        <f>VLOOKUP(A307,'Aux - pivots1'!$A:$B,2,0)</f>
        <v>1</v>
      </c>
      <c r="I307" s="93">
        <f>SUMIFS(Table1[Estimação (horas)],Table1[Tabela],Plano_V1!E307,Table1[Campo],Plano_V1!F307)</f>
        <v>0.6</v>
      </c>
      <c r="J307" s="93">
        <f t="shared" si="27"/>
        <v>7.4999999999999997E-2</v>
      </c>
      <c r="K307" s="98" t="s">
        <v>39</v>
      </c>
      <c r="L307" s="99">
        <f t="shared" si="28"/>
        <v>7.4999999999999997E-2</v>
      </c>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100"/>
      <c r="AU307" s="87"/>
      <c r="AV307" s="87"/>
      <c r="AW307" s="87"/>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100"/>
      <c r="EJ307" s="100"/>
      <c r="EK307" s="100"/>
      <c r="EL307" s="100"/>
      <c r="EM307" s="100"/>
      <c r="EN307" s="100"/>
      <c r="EO307" s="100"/>
      <c r="EP307" s="87"/>
      <c r="EQ307" s="87"/>
      <c r="ER307" s="87"/>
      <c r="ES307" s="87"/>
      <c r="ET307" s="87"/>
      <c r="EU307" s="87"/>
      <c r="EV307" s="87"/>
      <c r="EW307" s="87"/>
      <c r="EX307" s="87"/>
      <c r="EY307" s="87"/>
      <c r="EZ307" s="87"/>
      <c r="FA307" s="87"/>
      <c r="FB307" s="87"/>
      <c r="FC307" s="87"/>
      <c r="FD307" s="87"/>
      <c r="FE307" s="87"/>
      <c r="FF307" s="87"/>
      <c r="FG307" s="87"/>
      <c r="FH307" s="87"/>
      <c r="FI307" s="87"/>
      <c r="FJ307" s="87"/>
      <c r="FK307" s="87"/>
    </row>
    <row r="308" spans="1:167" outlineLevel="1">
      <c r="A308" s="31" t="str">
        <f t="shared" si="29"/>
        <v>modesg_inp_risco_fisicocod_nutiii</v>
      </c>
      <c r="B308" s="76" t="s">
        <v>28</v>
      </c>
      <c r="C308" s="77" t="s">
        <v>178</v>
      </c>
      <c r="D308" s="73" t="s">
        <v>40</v>
      </c>
      <c r="E308" s="75" t="s">
        <v>209</v>
      </c>
      <c r="F308" s="73" t="s">
        <v>271</v>
      </c>
      <c r="G308" s="73" t="str">
        <f>INDEX(Auxiliar!$B$16:$B$23,MATCH(Plano_V1!H308,Auxiliar!$C$16:$C$23,0),1)</f>
        <v>1. Concluído</v>
      </c>
      <c r="H308" s="73">
        <f>VLOOKUP(A308,'Aux - pivots1'!$A:$B,2,0)</f>
        <v>1</v>
      </c>
      <c r="I308" s="93">
        <f>SUMIFS(Table1[Estimação (horas)],Table1[Tabela],Plano_V1!E308,Table1[Campo],Plano_V1!F308)</f>
        <v>0.5</v>
      </c>
      <c r="J308" s="93">
        <f t="shared" si="27"/>
        <v>6.25E-2</v>
      </c>
      <c r="K308" s="98" t="s">
        <v>39</v>
      </c>
      <c r="L308" s="99">
        <f t="shared" si="28"/>
        <v>6.25E-2</v>
      </c>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100"/>
      <c r="AU308" s="87"/>
      <c r="AV308" s="87"/>
      <c r="AW308" s="87"/>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100"/>
      <c r="EJ308" s="100"/>
      <c r="EK308" s="100"/>
      <c r="EL308" s="100"/>
      <c r="EM308" s="100"/>
      <c r="EN308" s="100"/>
      <c r="EO308" s="100"/>
      <c r="EP308" s="87"/>
      <c r="EQ308" s="87"/>
      <c r="ER308" s="87"/>
      <c r="ES308" s="87"/>
      <c r="ET308" s="87"/>
      <c r="EU308" s="87"/>
      <c r="EV308" s="87"/>
      <c r="EW308" s="87"/>
      <c r="EX308" s="87"/>
      <c r="EY308" s="87"/>
      <c r="EZ308" s="87"/>
      <c r="FA308" s="87"/>
      <c r="FB308" s="87"/>
      <c r="FC308" s="87"/>
      <c r="FD308" s="87"/>
      <c r="FE308" s="87"/>
      <c r="FF308" s="87"/>
      <c r="FG308" s="87"/>
      <c r="FH308" s="87"/>
      <c r="FI308" s="87"/>
      <c r="FJ308" s="87"/>
      <c r="FK308" s="87"/>
    </row>
    <row r="309" spans="1:167" outlineLevel="1">
      <c r="A309" s="31" t="str">
        <f t="shared" si="29"/>
        <v>modesg_inp_risco_fisicocod_nace_esg</v>
      </c>
      <c r="B309" s="76" t="s">
        <v>28</v>
      </c>
      <c r="C309" s="77" t="s">
        <v>178</v>
      </c>
      <c r="D309" s="73" t="s">
        <v>40</v>
      </c>
      <c r="E309" s="75" t="s">
        <v>209</v>
      </c>
      <c r="F309" s="73" t="s">
        <v>272</v>
      </c>
      <c r="G309" s="73" t="str">
        <f>INDEX(Auxiliar!$B$16:$B$23,MATCH(Plano_V1!H309,Auxiliar!$C$16:$C$23,0),1)</f>
        <v>4. Validação EF</v>
      </c>
      <c r="H309" s="73">
        <f>VLOOKUP(A309,'Aux - pivots1'!$A:$B,2,0)</f>
        <v>4</v>
      </c>
      <c r="I309" s="93">
        <f>SUMIFS(Table1[Estimação (horas)],Table1[Tabela],Plano_V1!E309,Table1[Campo],Plano_V1!F309)</f>
        <v>0.6</v>
      </c>
      <c r="J309" s="93">
        <f t="shared" si="27"/>
        <v>7.4999999999999997E-2</v>
      </c>
      <c r="K309" s="98" t="s">
        <v>39</v>
      </c>
      <c r="L309" s="99">
        <f t="shared" si="28"/>
        <v>7.4999999999999997E-2</v>
      </c>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100"/>
      <c r="AU309" s="87"/>
      <c r="AV309" s="87"/>
      <c r="AW309" s="87"/>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100"/>
      <c r="EJ309" s="100"/>
      <c r="EK309" s="100"/>
      <c r="EL309" s="100"/>
      <c r="EM309" s="100"/>
      <c r="EN309" s="100"/>
      <c r="EO309" s="100"/>
      <c r="EP309" s="87"/>
      <c r="EQ309" s="87"/>
      <c r="ER309" s="87"/>
      <c r="ES309" s="87"/>
      <c r="ET309" s="87"/>
      <c r="EU309" s="87"/>
      <c r="EV309" s="87"/>
      <c r="EW309" s="87"/>
      <c r="EX309" s="87"/>
      <c r="EY309" s="87"/>
      <c r="EZ309" s="87"/>
      <c r="FA309" s="87"/>
      <c r="FB309" s="87"/>
      <c r="FC309" s="87"/>
      <c r="FD309" s="87"/>
      <c r="FE309" s="87"/>
      <c r="FF309" s="87"/>
      <c r="FG309" s="87"/>
      <c r="FH309" s="87"/>
      <c r="FI309" s="87"/>
      <c r="FJ309" s="87"/>
      <c r="FK309" s="87"/>
    </row>
    <row r="310" spans="1:167" outlineLevel="1">
      <c r="A310" s="31" t="str">
        <f t="shared" si="29"/>
        <v>modesg_inp_risco_fisicoflg_rsc_fsc_agd</v>
      </c>
      <c r="B310" s="76" t="s">
        <v>28</v>
      </c>
      <c r="C310" s="77" t="s">
        <v>178</v>
      </c>
      <c r="D310" s="73" t="s">
        <v>40</v>
      </c>
      <c r="E310" s="75" t="s">
        <v>209</v>
      </c>
      <c r="F310" s="73" t="s">
        <v>273</v>
      </c>
      <c r="G310" s="73" t="str">
        <f>INDEX(Auxiliar!$B$16:$B$23,MATCH(Plano_V1!H310,Auxiliar!$C$16:$C$23,0),1)</f>
        <v>1. Concluído</v>
      </c>
      <c r="H310" s="73">
        <f>VLOOKUP(A310,'Aux - pivots1'!$A:$B,2,0)</f>
        <v>1</v>
      </c>
      <c r="I310" s="93">
        <f>SUMIFS(Table1[Estimação (horas)],Table1[Tabela],Plano_V1!E310,Table1[Campo],Plano_V1!F310)</f>
        <v>0.6</v>
      </c>
      <c r="J310" s="93">
        <f t="shared" si="27"/>
        <v>7.4999999999999997E-2</v>
      </c>
      <c r="K310" s="98" t="s">
        <v>39</v>
      </c>
      <c r="L310" s="99">
        <f t="shared" si="28"/>
        <v>7.4999999999999997E-2</v>
      </c>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100"/>
      <c r="AU310" s="87"/>
      <c r="AV310" s="87"/>
      <c r="AW310" s="87"/>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100"/>
      <c r="EJ310" s="100"/>
      <c r="EK310" s="100"/>
      <c r="EL310" s="100"/>
      <c r="EM310" s="100"/>
      <c r="EN310" s="100"/>
      <c r="EO310" s="100"/>
      <c r="EP310" s="87"/>
      <c r="EQ310" s="87"/>
      <c r="ER310" s="87"/>
      <c r="ES310" s="87"/>
      <c r="ET310" s="87"/>
      <c r="EU310" s="87"/>
      <c r="EV310" s="87"/>
      <c r="EW310" s="87"/>
      <c r="EX310" s="87"/>
      <c r="EY310" s="87"/>
      <c r="EZ310" s="87"/>
      <c r="FA310" s="87"/>
      <c r="FB310" s="87"/>
      <c r="FC310" s="87"/>
      <c r="FD310" s="87"/>
      <c r="FE310" s="87"/>
      <c r="FF310" s="87"/>
      <c r="FG310" s="87"/>
      <c r="FH310" s="87"/>
      <c r="FI310" s="87"/>
      <c r="FJ310" s="87"/>
      <c r="FK310" s="87"/>
    </row>
    <row r="311" spans="1:167" outlineLevel="1">
      <c r="A311" s="31" t="str">
        <f t="shared" si="29"/>
        <v>modesg_inp_risco_fisicoflg_rsc_fsc_crnc</v>
      </c>
      <c r="B311" s="76" t="s">
        <v>28</v>
      </c>
      <c r="C311" s="77" t="s">
        <v>178</v>
      </c>
      <c r="D311" s="73" t="s">
        <v>40</v>
      </c>
      <c r="E311" s="75" t="s">
        <v>209</v>
      </c>
      <c r="F311" s="73" t="s">
        <v>274</v>
      </c>
      <c r="G311" s="73" t="str">
        <f>INDEX(Auxiliar!$B$16:$B$23,MATCH(Plano_V1!H311,Auxiliar!$C$16:$C$23,0),1)</f>
        <v>1. Concluído</v>
      </c>
      <c r="H311" s="73">
        <f>VLOOKUP(A311,'Aux - pivots1'!$A:$B,2,0)</f>
        <v>1</v>
      </c>
      <c r="I311" s="93">
        <f>SUMIFS(Table1[Estimação (horas)],Table1[Tabela],Plano_V1!E311,Table1[Campo],Plano_V1!F311)</f>
        <v>0.6</v>
      </c>
      <c r="J311" s="93">
        <f t="shared" si="27"/>
        <v>7.4999999999999997E-2</v>
      </c>
      <c r="K311" s="98" t="s">
        <v>39</v>
      </c>
      <c r="L311" s="99">
        <f t="shared" si="28"/>
        <v>7.4999999999999997E-2</v>
      </c>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100"/>
      <c r="AU311" s="87"/>
      <c r="AV311" s="87"/>
      <c r="AW311" s="87"/>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100"/>
      <c r="EJ311" s="100"/>
      <c r="EK311" s="100"/>
      <c r="EL311" s="100"/>
      <c r="EM311" s="100"/>
      <c r="EN311" s="100"/>
      <c r="EO311" s="100"/>
      <c r="EP311" s="87"/>
      <c r="EQ311" s="87"/>
      <c r="ER311" s="87"/>
      <c r="ES311" s="87"/>
      <c r="ET311" s="87"/>
      <c r="EU311" s="87"/>
      <c r="EV311" s="87"/>
      <c r="EW311" s="87"/>
      <c r="EX311" s="87"/>
      <c r="EY311" s="87"/>
      <c r="EZ311" s="87"/>
      <c r="FA311" s="87"/>
      <c r="FB311" s="87"/>
      <c r="FC311" s="87"/>
      <c r="FD311" s="87"/>
      <c r="FE311" s="87"/>
      <c r="FF311" s="87"/>
      <c r="FG311" s="87"/>
      <c r="FH311" s="87"/>
      <c r="FI311" s="87"/>
      <c r="FJ311" s="87"/>
      <c r="FK311" s="87"/>
    </row>
    <row r="312" spans="1:167" outlineLevel="1">
      <c r="A312" s="31" t="str">
        <f t="shared" si="29"/>
        <v>modesg_inp_emss_scibref_date</v>
      </c>
      <c r="B312" s="76" t="s">
        <v>28</v>
      </c>
      <c r="C312" s="77" t="s">
        <v>178</v>
      </c>
      <c r="D312" s="73" t="s">
        <v>40</v>
      </c>
      <c r="E312" s="75" t="s">
        <v>210</v>
      </c>
      <c r="F312" s="73" t="s">
        <v>73</v>
      </c>
      <c r="G312" s="73" t="str">
        <f>INDEX(Auxiliar!$B$16:$B$23,MATCH(Plano_V1!H312,Auxiliar!$C$16:$C$23,0),1)</f>
        <v>1. Concluído</v>
      </c>
      <c r="H312" s="73">
        <f>VLOOKUP(A312,'Aux - pivots1'!$A:$B,2,0)</f>
        <v>1</v>
      </c>
      <c r="I312" s="93">
        <f>SUMIFS(Table1[Estimação (horas)],Table1[Tabela],Plano_V1!E312,Table1[Campo],Plano_V1!F312)</f>
        <v>0.5</v>
      </c>
      <c r="J312" s="93">
        <f t="shared" si="27"/>
        <v>6.25E-2</v>
      </c>
      <c r="K312" s="98" t="s">
        <v>39</v>
      </c>
      <c r="L312" s="99">
        <f t="shared" si="28"/>
        <v>6.25E-2</v>
      </c>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100"/>
      <c r="AU312" s="87"/>
      <c r="AV312" s="87"/>
      <c r="AW312" s="87"/>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100"/>
      <c r="EJ312" s="100"/>
      <c r="EK312" s="100"/>
      <c r="EL312" s="100"/>
      <c r="EM312" s="100"/>
      <c r="EN312" s="100"/>
      <c r="EO312" s="100"/>
      <c r="EP312" s="87"/>
      <c r="EQ312" s="87"/>
      <c r="ER312" s="87"/>
      <c r="ES312" s="87"/>
      <c r="ET312" s="87"/>
      <c r="EU312" s="87"/>
      <c r="EV312" s="87"/>
      <c r="EW312" s="87"/>
      <c r="EX312" s="87"/>
      <c r="EY312" s="87"/>
      <c r="EZ312" s="87"/>
      <c r="FA312" s="87"/>
      <c r="FB312" s="87"/>
      <c r="FC312" s="87"/>
      <c r="FD312" s="87"/>
      <c r="FE312" s="87"/>
      <c r="FF312" s="87"/>
      <c r="FG312" s="87"/>
      <c r="FH312" s="87"/>
      <c r="FI312" s="87"/>
      <c r="FJ312" s="87"/>
      <c r="FK312" s="87"/>
    </row>
    <row r="313" spans="1:167" outlineLevel="1">
      <c r="A313" s="31" t="str">
        <f t="shared" si="29"/>
        <v>modesg_inp_emss_scibccli_kgl</v>
      </c>
      <c r="B313" s="76" t="s">
        <v>28</v>
      </c>
      <c r="C313" s="77" t="s">
        <v>178</v>
      </c>
      <c r="D313" s="73" t="s">
        <v>40</v>
      </c>
      <c r="E313" s="75" t="s">
        <v>210</v>
      </c>
      <c r="F313" s="73" t="s">
        <v>232</v>
      </c>
      <c r="G313" s="73" t="str">
        <f>INDEX(Auxiliar!$B$16:$B$23,MATCH(Plano_V1!H313,Auxiliar!$C$16:$C$23,0),1)</f>
        <v>1. Concluído</v>
      </c>
      <c r="H313" s="73">
        <f>VLOOKUP(A313,'Aux - pivots1'!$A:$B,2,0)</f>
        <v>1</v>
      </c>
      <c r="I313" s="93">
        <f>SUMIFS(Table1[Estimação (horas)],Table1[Tabela],Plano_V1!E313,Table1[Campo],Plano_V1!F313)</f>
        <v>0.6</v>
      </c>
      <c r="J313" s="93">
        <f t="shared" si="27"/>
        <v>7.4999999999999997E-2</v>
      </c>
      <c r="K313" s="98" t="s">
        <v>39</v>
      </c>
      <c r="L313" s="99">
        <f t="shared" si="28"/>
        <v>7.4999999999999997E-2</v>
      </c>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100"/>
      <c r="AU313" s="87"/>
      <c r="AV313" s="87"/>
      <c r="AW313" s="87"/>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100"/>
      <c r="EJ313" s="100"/>
      <c r="EK313" s="100"/>
      <c r="EL313" s="100"/>
      <c r="EM313" s="100"/>
      <c r="EN313" s="100"/>
      <c r="EO313" s="100"/>
      <c r="EP313" s="87"/>
      <c r="EQ313" s="87"/>
      <c r="ER313" s="87"/>
      <c r="ES313" s="87"/>
      <c r="ET313" s="87"/>
      <c r="EU313" s="87"/>
      <c r="EV313" s="87"/>
      <c r="EW313" s="87"/>
      <c r="EX313" s="87"/>
      <c r="EY313" s="87"/>
      <c r="EZ313" s="87"/>
      <c r="FA313" s="87"/>
      <c r="FB313" s="87"/>
      <c r="FC313" s="87"/>
      <c r="FD313" s="87"/>
      <c r="FE313" s="87"/>
      <c r="FF313" s="87"/>
      <c r="FG313" s="87"/>
      <c r="FH313" s="87"/>
      <c r="FI313" s="87"/>
      <c r="FJ313" s="87"/>
      <c r="FK313" s="87"/>
    </row>
    <row r="314" spans="1:167" outlineLevel="1">
      <c r="A314" s="31" t="str">
        <f t="shared" si="29"/>
        <v>modesg_inp_emss_scibnome_grupo</v>
      </c>
      <c r="B314" s="76" t="s">
        <v>28</v>
      </c>
      <c r="C314" s="77" t="s">
        <v>178</v>
      </c>
      <c r="D314" s="73" t="s">
        <v>40</v>
      </c>
      <c r="E314" s="75" t="s">
        <v>210</v>
      </c>
      <c r="F314" s="73" t="s">
        <v>275</v>
      </c>
      <c r="G314" s="73" t="str">
        <f>INDEX(Auxiliar!$B$16:$B$23,MATCH(Plano_V1!H314,Auxiliar!$C$16:$C$23,0),1)</f>
        <v>1. Concluído</v>
      </c>
      <c r="H314" s="73">
        <f>VLOOKUP(A314,'Aux - pivots1'!$A:$B,2,0)</f>
        <v>1</v>
      </c>
      <c r="I314" s="93">
        <f>SUMIFS(Table1[Estimação (horas)],Table1[Tabela],Plano_V1!E314,Table1[Campo],Plano_V1!F314)</f>
        <v>0.5</v>
      </c>
      <c r="J314" s="93">
        <f t="shared" si="27"/>
        <v>6.25E-2</v>
      </c>
      <c r="K314" s="98" t="s">
        <v>39</v>
      </c>
      <c r="L314" s="99">
        <f t="shared" si="28"/>
        <v>6.25E-2</v>
      </c>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100"/>
      <c r="AU314" s="87"/>
      <c r="AV314" s="87"/>
      <c r="AW314" s="87"/>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100"/>
      <c r="EJ314" s="100"/>
      <c r="EK314" s="100"/>
      <c r="EL314" s="100"/>
      <c r="EM314" s="100"/>
      <c r="EN314" s="100"/>
      <c r="EO314" s="100"/>
      <c r="EP314" s="87"/>
      <c r="EQ314" s="87"/>
      <c r="ER314" s="87"/>
      <c r="ES314" s="87"/>
      <c r="ET314" s="87"/>
      <c r="EU314" s="87"/>
      <c r="EV314" s="87"/>
      <c r="EW314" s="87"/>
      <c r="EX314" s="87"/>
      <c r="EY314" s="87"/>
      <c r="EZ314" s="87"/>
      <c r="FA314" s="87"/>
      <c r="FB314" s="87"/>
      <c r="FC314" s="87"/>
      <c r="FD314" s="87"/>
      <c r="FE314" s="87"/>
      <c r="FF314" s="87"/>
      <c r="FG314" s="87"/>
      <c r="FH314" s="87"/>
      <c r="FI314" s="87"/>
      <c r="FJ314" s="87"/>
      <c r="FK314" s="87"/>
    </row>
    <row r="315" spans="1:167" outlineLevel="1">
      <c r="A315" s="31" t="str">
        <f t="shared" si="29"/>
        <v>modesg_inp_emss_scibisin</v>
      </c>
      <c r="B315" s="76" t="s">
        <v>28</v>
      </c>
      <c r="C315" s="77" t="s">
        <v>178</v>
      </c>
      <c r="D315" s="73" t="s">
        <v>40</v>
      </c>
      <c r="E315" s="75" t="s">
        <v>210</v>
      </c>
      <c r="F315" s="73" t="s">
        <v>230</v>
      </c>
      <c r="G315" s="73" t="str">
        <f>INDEX(Auxiliar!$B$16:$B$23,MATCH(Plano_V1!H315,Auxiliar!$C$16:$C$23,0),1)</f>
        <v>1. Concluído</v>
      </c>
      <c r="H315" s="73">
        <f>VLOOKUP(A315,'Aux - pivots1'!$A:$B,2,0)</f>
        <v>1</v>
      </c>
      <c r="I315" s="93">
        <f>SUMIFS(Table1[Estimação (horas)],Table1[Tabela],Plano_V1!E315,Table1[Campo],Plano_V1!F315)</f>
        <v>0.6</v>
      </c>
      <c r="J315" s="93">
        <f t="shared" si="27"/>
        <v>7.4999999999999997E-2</v>
      </c>
      <c r="K315" s="98" t="s">
        <v>39</v>
      </c>
      <c r="L315" s="99">
        <f t="shared" si="28"/>
        <v>7.4999999999999997E-2</v>
      </c>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100"/>
      <c r="AU315" s="87"/>
      <c r="AV315" s="87"/>
      <c r="AW315" s="87"/>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100"/>
      <c r="EJ315" s="100"/>
      <c r="EK315" s="100"/>
      <c r="EL315" s="100"/>
      <c r="EM315" s="100"/>
      <c r="EN315" s="100"/>
      <c r="EO315" s="100"/>
      <c r="EP315" s="87"/>
      <c r="EQ315" s="87"/>
      <c r="ER315" s="87"/>
      <c r="ES315" s="87"/>
      <c r="ET315" s="87"/>
      <c r="EU315" s="87"/>
      <c r="EV315" s="87"/>
      <c r="EW315" s="87"/>
      <c r="EX315" s="87"/>
      <c r="EY315" s="87"/>
      <c r="EZ315" s="87"/>
      <c r="FA315" s="87"/>
      <c r="FB315" s="87"/>
      <c r="FC315" s="87"/>
      <c r="FD315" s="87"/>
      <c r="FE315" s="87"/>
      <c r="FF315" s="87"/>
      <c r="FG315" s="87"/>
      <c r="FH315" s="87"/>
      <c r="FI315" s="87"/>
      <c r="FJ315" s="87"/>
      <c r="FK315" s="87"/>
    </row>
    <row r="316" spans="1:167" outlineLevel="1">
      <c r="A316" s="31" t="str">
        <f t="shared" si="29"/>
        <v>modesg_inp_emss_scibclei</v>
      </c>
      <c r="B316" s="76" t="s">
        <v>28</v>
      </c>
      <c r="C316" s="77" t="s">
        <v>178</v>
      </c>
      <c r="D316" s="73" t="s">
        <v>40</v>
      </c>
      <c r="E316" s="75" t="s">
        <v>210</v>
      </c>
      <c r="F316" s="73" t="s">
        <v>231</v>
      </c>
      <c r="G316" s="73" t="str">
        <f>INDEX(Auxiliar!$B$16:$B$23,MATCH(Plano_V1!H316,Auxiliar!$C$16:$C$23,0),1)</f>
        <v>1. Concluído</v>
      </c>
      <c r="H316" s="73">
        <f>VLOOKUP(A316,'Aux - pivots1'!$A:$B,2,0)</f>
        <v>1</v>
      </c>
      <c r="I316" s="93">
        <f>SUMIFS(Table1[Estimação (horas)],Table1[Tabela],Plano_V1!E316,Table1[Campo],Plano_V1!F316)</f>
        <v>0.6</v>
      </c>
      <c r="J316" s="93">
        <f t="shared" si="27"/>
        <v>7.4999999999999997E-2</v>
      </c>
      <c r="K316" s="98" t="s">
        <v>39</v>
      </c>
      <c r="L316" s="99">
        <f t="shared" si="28"/>
        <v>7.4999999999999997E-2</v>
      </c>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100"/>
      <c r="AU316" s="87"/>
      <c r="AV316" s="87"/>
      <c r="AW316" s="87"/>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100"/>
      <c r="EJ316" s="100"/>
      <c r="EK316" s="100"/>
      <c r="EL316" s="100"/>
      <c r="EM316" s="100"/>
      <c r="EN316" s="100"/>
      <c r="EO316" s="100"/>
      <c r="EP316" s="87"/>
      <c r="EQ316" s="87"/>
      <c r="ER316" s="87"/>
      <c r="ES316" s="87"/>
      <c r="ET316" s="87"/>
      <c r="EU316" s="87"/>
      <c r="EV316" s="87"/>
      <c r="EW316" s="87"/>
      <c r="EX316" s="87"/>
      <c r="EY316" s="87"/>
      <c r="EZ316" s="87"/>
      <c r="FA316" s="87"/>
      <c r="FB316" s="87"/>
      <c r="FC316" s="87"/>
      <c r="FD316" s="87"/>
      <c r="FE316" s="87"/>
      <c r="FF316" s="87"/>
      <c r="FG316" s="87"/>
      <c r="FH316" s="87"/>
      <c r="FI316" s="87"/>
      <c r="FJ316" s="87"/>
      <c r="FK316" s="87"/>
    </row>
    <row r="317" spans="1:167" outlineLevel="1">
      <c r="A317" s="31" t="str">
        <f t="shared" si="29"/>
        <v>modesg_inp_emss_scibscp1_emss</v>
      </c>
      <c r="B317" s="76" t="s">
        <v>28</v>
      </c>
      <c r="C317" s="77" t="s">
        <v>178</v>
      </c>
      <c r="D317" s="73" t="s">
        <v>40</v>
      </c>
      <c r="E317" s="75" t="s">
        <v>210</v>
      </c>
      <c r="F317" s="73" t="s">
        <v>276</v>
      </c>
      <c r="G317" s="73" t="str">
        <f>INDEX(Auxiliar!$B$16:$B$23,MATCH(Plano_V1!H317,Auxiliar!$C$16:$C$23,0),1)</f>
        <v>1. Concluído</v>
      </c>
      <c r="H317" s="73">
        <f>VLOOKUP(A317,'Aux - pivots1'!$A:$B,2,0)</f>
        <v>1</v>
      </c>
      <c r="I317" s="93">
        <f>SUMIFS(Table1[Estimação (horas)],Table1[Tabela],Plano_V1!E317,Table1[Campo],Plano_V1!F317)</f>
        <v>0.6</v>
      </c>
      <c r="J317" s="93">
        <f t="shared" si="27"/>
        <v>7.4999999999999997E-2</v>
      </c>
      <c r="K317" s="98" t="s">
        <v>39</v>
      </c>
      <c r="L317" s="99">
        <f t="shared" si="28"/>
        <v>7.4999999999999997E-2</v>
      </c>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100"/>
      <c r="AU317" s="87"/>
      <c r="AV317" s="87"/>
      <c r="AW317" s="87"/>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100"/>
      <c r="EJ317" s="100"/>
      <c r="EK317" s="100"/>
      <c r="EL317" s="100"/>
      <c r="EM317" s="100"/>
      <c r="EN317" s="100"/>
      <c r="EO317" s="100"/>
      <c r="EP317" s="87"/>
      <c r="EQ317" s="87"/>
      <c r="ER317" s="87"/>
      <c r="ES317" s="87"/>
      <c r="ET317" s="87"/>
      <c r="EU317" s="87"/>
      <c r="EV317" s="87"/>
      <c r="EW317" s="87"/>
      <c r="EX317" s="87"/>
      <c r="EY317" s="87"/>
      <c r="EZ317" s="87"/>
      <c r="FA317" s="87"/>
      <c r="FB317" s="87"/>
      <c r="FC317" s="87"/>
      <c r="FD317" s="87"/>
      <c r="FE317" s="87"/>
      <c r="FF317" s="87"/>
      <c r="FG317" s="87"/>
      <c r="FH317" s="87"/>
      <c r="FI317" s="87"/>
      <c r="FJ317" s="87"/>
      <c r="FK317" s="87"/>
    </row>
    <row r="318" spans="1:167" outlineLevel="1">
      <c r="A318" s="31" t="str">
        <f t="shared" si="29"/>
        <v>modesg_inp_emss_scibscp2_emss</v>
      </c>
      <c r="B318" s="76" t="s">
        <v>28</v>
      </c>
      <c r="C318" s="77" t="s">
        <v>178</v>
      </c>
      <c r="D318" s="73" t="s">
        <v>40</v>
      </c>
      <c r="E318" s="75" t="s">
        <v>210</v>
      </c>
      <c r="F318" s="73" t="s">
        <v>277</v>
      </c>
      <c r="G318" s="73" t="str">
        <f>INDEX(Auxiliar!$B$16:$B$23,MATCH(Plano_V1!H318,Auxiliar!$C$16:$C$23,0),1)</f>
        <v>1. Concluído</v>
      </c>
      <c r="H318" s="73">
        <f>VLOOKUP(A318,'Aux - pivots1'!$A:$B,2,0)</f>
        <v>1</v>
      </c>
      <c r="I318" s="93">
        <f>SUMIFS(Table1[Estimação (horas)],Table1[Tabela],Plano_V1!E318,Table1[Campo],Plano_V1!F318)</f>
        <v>0.6</v>
      </c>
      <c r="J318" s="93">
        <f t="shared" si="27"/>
        <v>7.4999999999999997E-2</v>
      </c>
      <c r="K318" s="98" t="s">
        <v>39</v>
      </c>
      <c r="L318" s="99">
        <f t="shared" si="28"/>
        <v>7.4999999999999997E-2</v>
      </c>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100"/>
      <c r="AU318" s="87"/>
      <c r="AV318" s="87"/>
      <c r="AW318" s="87"/>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100"/>
      <c r="EJ318" s="100"/>
      <c r="EK318" s="100"/>
      <c r="EL318" s="100"/>
      <c r="EM318" s="100"/>
      <c r="EN318" s="100"/>
      <c r="EO318" s="100"/>
      <c r="EP318" s="87"/>
      <c r="EQ318" s="87"/>
      <c r="ER318" s="87"/>
      <c r="ES318" s="87"/>
      <c r="ET318" s="87"/>
      <c r="EU318" s="87"/>
      <c r="EV318" s="87"/>
      <c r="EW318" s="87"/>
      <c r="EX318" s="87"/>
      <c r="EY318" s="87"/>
      <c r="EZ318" s="87"/>
      <c r="FA318" s="87"/>
      <c r="FB318" s="87"/>
      <c r="FC318" s="87"/>
      <c r="FD318" s="87"/>
      <c r="FE318" s="87"/>
      <c r="FF318" s="87"/>
      <c r="FG318" s="87"/>
      <c r="FH318" s="87"/>
      <c r="FI318" s="87"/>
      <c r="FJ318" s="87"/>
      <c r="FK318" s="87"/>
    </row>
    <row r="319" spans="1:167" outlineLevel="1">
      <c r="A319" s="31" t="str">
        <f t="shared" si="29"/>
        <v>modesg_inp_emss_scibscp3_emss</v>
      </c>
      <c r="B319" s="76" t="s">
        <v>28</v>
      </c>
      <c r="C319" s="77" t="s">
        <v>178</v>
      </c>
      <c r="D319" s="73" t="s">
        <v>40</v>
      </c>
      <c r="E319" s="75" t="s">
        <v>210</v>
      </c>
      <c r="F319" s="73" t="s">
        <v>278</v>
      </c>
      <c r="G319" s="73" t="str">
        <f>INDEX(Auxiliar!$B$16:$B$23,MATCH(Plano_V1!H319,Auxiliar!$C$16:$C$23,0),1)</f>
        <v>1. Concluído</v>
      </c>
      <c r="H319" s="73">
        <f>VLOOKUP(A319,'Aux - pivots1'!$A:$B,2,0)</f>
        <v>1</v>
      </c>
      <c r="I319" s="93">
        <f>SUMIFS(Table1[Estimação (horas)],Table1[Tabela],Plano_V1!E319,Table1[Campo],Plano_V1!F319)</f>
        <v>0.6</v>
      </c>
      <c r="J319" s="93">
        <f t="shared" si="27"/>
        <v>7.4999999999999997E-2</v>
      </c>
      <c r="K319" s="98" t="s">
        <v>39</v>
      </c>
      <c r="L319" s="99">
        <f t="shared" si="28"/>
        <v>7.4999999999999997E-2</v>
      </c>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100"/>
      <c r="AU319" s="87"/>
      <c r="AV319" s="87"/>
      <c r="AW319" s="87"/>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100"/>
      <c r="EJ319" s="100"/>
      <c r="EK319" s="100"/>
      <c r="EL319" s="100"/>
      <c r="EM319" s="100"/>
      <c r="EN319" s="100"/>
      <c r="EO319" s="100"/>
      <c r="EP319" s="87"/>
      <c r="EQ319" s="87"/>
      <c r="ER319" s="87"/>
      <c r="ES319" s="87"/>
      <c r="ET319" s="87"/>
      <c r="EU319" s="87"/>
      <c r="EV319" s="87"/>
      <c r="EW319" s="87"/>
      <c r="EX319" s="87"/>
      <c r="EY319" s="87"/>
      <c r="EZ319" s="87"/>
      <c r="FA319" s="87"/>
      <c r="FB319" s="87"/>
      <c r="FC319" s="87"/>
      <c r="FD319" s="87"/>
      <c r="FE319" s="87"/>
      <c r="FF319" s="87"/>
      <c r="FG319" s="87"/>
      <c r="FH319" s="87"/>
      <c r="FI319" s="87"/>
      <c r="FJ319" s="87"/>
      <c r="FK319" s="87"/>
    </row>
    <row r="320" spans="1:167" outlineLevel="1">
      <c r="A320" s="31" t="str">
        <f t="shared" si="29"/>
        <v>modesg_inp_emss_scibscore_scp1</v>
      </c>
      <c r="B320" s="76" t="s">
        <v>28</v>
      </c>
      <c r="C320" s="77" t="s">
        <v>178</v>
      </c>
      <c r="D320" s="73" t="s">
        <v>40</v>
      </c>
      <c r="E320" s="75" t="s">
        <v>210</v>
      </c>
      <c r="F320" s="73" t="s">
        <v>279</v>
      </c>
      <c r="G320" s="73" t="str">
        <f>INDEX(Auxiliar!$B$16:$B$23,MATCH(Plano_V1!H320,Auxiliar!$C$16:$C$23,0),1)</f>
        <v>1. Concluído</v>
      </c>
      <c r="H320" s="73">
        <f>VLOOKUP(A320,'Aux - pivots1'!$A:$B,2,0)</f>
        <v>1</v>
      </c>
      <c r="I320" s="93">
        <f>SUMIFS(Table1[Estimação (horas)],Table1[Tabela],Plano_V1!E320,Table1[Campo],Plano_V1!F320)</f>
        <v>0.5</v>
      </c>
      <c r="J320" s="93">
        <f t="shared" si="27"/>
        <v>6.25E-2</v>
      </c>
      <c r="K320" s="98" t="s">
        <v>39</v>
      </c>
      <c r="L320" s="99">
        <f t="shared" si="28"/>
        <v>6.25E-2</v>
      </c>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100"/>
      <c r="AU320" s="87"/>
      <c r="AV320" s="87"/>
      <c r="AW320" s="87"/>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100"/>
      <c r="EJ320" s="100"/>
      <c r="EK320" s="100"/>
      <c r="EL320" s="100"/>
      <c r="EM320" s="100"/>
      <c r="EN320" s="100"/>
      <c r="EO320" s="100"/>
      <c r="EP320" s="87"/>
      <c r="EQ320" s="87"/>
      <c r="ER320" s="87"/>
      <c r="ES320" s="87"/>
      <c r="ET320" s="87"/>
      <c r="EU320" s="87"/>
      <c r="EV320" s="87"/>
      <c r="EW320" s="87"/>
      <c r="EX320" s="87"/>
      <c r="EY320" s="87"/>
      <c r="EZ320" s="87"/>
      <c r="FA320" s="87"/>
      <c r="FB320" s="87"/>
      <c r="FC320" s="87"/>
      <c r="FD320" s="87"/>
      <c r="FE320" s="87"/>
      <c r="FF320" s="87"/>
      <c r="FG320" s="87"/>
      <c r="FH320" s="87"/>
      <c r="FI320" s="87"/>
      <c r="FJ320" s="87"/>
      <c r="FK320" s="87"/>
    </row>
    <row r="321" spans="1:167" outlineLevel="1">
      <c r="A321" s="31" t="str">
        <f t="shared" si="29"/>
        <v>modesg_inp_emss_scibscore_scp2</v>
      </c>
      <c r="B321" s="76" t="s">
        <v>28</v>
      </c>
      <c r="C321" s="77" t="s">
        <v>178</v>
      </c>
      <c r="D321" s="73" t="s">
        <v>40</v>
      </c>
      <c r="E321" s="75" t="s">
        <v>210</v>
      </c>
      <c r="F321" s="73" t="s">
        <v>280</v>
      </c>
      <c r="G321" s="73" t="str">
        <f>INDEX(Auxiliar!$B$16:$B$23,MATCH(Plano_V1!H321,Auxiliar!$C$16:$C$23,0),1)</f>
        <v>1. Concluído</v>
      </c>
      <c r="H321" s="73">
        <f>VLOOKUP(A321,'Aux - pivots1'!$A:$B,2,0)</f>
        <v>1</v>
      </c>
      <c r="I321" s="93">
        <f>SUMIFS(Table1[Estimação (horas)],Table1[Tabela],Plano_V1!E321,Table1[Campo],Plano_V1!F321)</f>
        <v>0.5</v>
      </c>
      <c r="J321" s="93">
        <f t="shared" si="27"/>
        <v>6.25E-2</v>
      </c>
      <c r="K321" s="98" t="s">
        <v>39</v>
      </c>
      <c r="L321" s="99">
        <f t="shared" si="28"/>
        <v>6.25E-2</v>
      </c>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100"/>
      <c r="AU321" s="87"/>
      <c r="AV321" s="87"/>
      <c r="AW321" s="87"/>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100"/>
      <c r="EJ321" s="100"/>
      <c r="EK321" s="100"/>
      <c r="EL321" s="100"/>
      <c r="EM321" s="100"/>
      <c r="EN321" s="100"/>
      <c r="EO321" s="100"/>
      <c r="EP321" s="87"/>
      <c r="EQ321" s="87"/>
      <c r="ER321" s="87"/>
      <c r="ES321" s="87"/>
      <c r="ET321" s="87"/>
      <c r="EU321" s="87"/>
      <c r="EV321" s="87"/>
      <c r="EW321" s="87"/>
      <c r="EX321" s="87"/>
      <c r="EY321" s="87"/>
      <c r="EZ321" s="87"/>
      <c r="FA321" s="87"/>
      <c r="FB321" s="87"/>
      <c r="FC321" s="87"/>
      <c r="FD321" s="87"/>
      <c r="FE321" s="87"/>
      <c r="FF321" s="87"/>
      <c r="FG321" s="87"/>
      <c r="FH321" s="87"/>
      <c r="FI321" s="87"/>
      <c r="FJ321" s="87"/>
      <c r="FK321" s="87"/>
    </row>
    <row r="322" spans="1:167" outlineLevel="1">
      <c r="A322" s="31" t="str">
        <f t="shared" si="29"/>
        <v>modesg_inp_emss_scibscore_scp3</v>
      </c>
      <c r="B322" s="76" t="s">
        <v>28</v>
      </c>
      <c r="C322" s="77" t="s">
        <v>178</v>
      </c>
      <c r="D322" s="73" t="s">
        <v>40</v>
      </c>
      <c r="E322" s="75" t="s">
        <v>210</v>
      </c>
      <c r="F322" s="73" t="s">
        <v>281</v>
      </c>
      <c r="G322" s="73" t="str">
        <f>INDEX(Auxiliar!$B$16:$B$23,MATCH(Plano_V1!H322,Auxiliar!$C$16:$C$23,0),1)</f>
        <v>1. Concluído</v>
      </c>
      <c r="H322" s="73">
        <f>VLOOKUP(A322,'Aux - pivots1'!$A:$B,2,0)</f>
        <v>1</v>
      </c>
      <c r="I322" s="93">
        <f>SUMIFS(Table1[Estimação (horas)],Table1[Tabela],Plano_V1!E322,Table1[Campo],Plano_V1!F322)</f>
        <v>0.5</v>
      </c>
      <c r="J322" s="93">
        <f t="shared" si="27"/>
        <v>6.25E-2</v>
      </c>
      <c r="K322" s="98" t="s">
        <v>39</v>
      </c>
      <c r="L322" s="99">
        <f t="shared" si="28"/>
        <v>6.25E-2</v>
      </c>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100"/>
      <c r="AU322" s="87"/>
      <c r="AV322" s="87"/>
      <c r="AW322" s="87"/>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100"/>
      <c r="EJ322" s="100"/>
      <c r="EK322" s="100"/>
      <c r="EL322" s="100"/>
      <c r="EM322" s="100"/>
      <c r="EN322" s="100"/>
      <c r="EO322" s="100"/>
      <c r="EP322" s="87"/>
      <c r="EQ322" s="87"/>
      <c r="ER322" s="87"/>
      <c r="ES322" s="87"/>
      <c r="ET322" s="87"/>
      <c r="EU322" s="87"/>
      <c r="EV322" s="87"/>
      <c r="EW322" s="87"/>
      <c r="EX322" s="87"/>
      <c r="EY322" s="87"/>
      <c r="EZ322" s="87"/>
      <c r="FA322" s="87"/>
      <c r="FB322" s="87"/>
      <c r="FC322" s="87"/>
      <c r="FD322" s="87"/>
      <c r="FE322" s="87"/>
      <c r="FF322" s="87"/>
      <c r="FG322" s="87"/>
      <c r="FH322" s="87"/>
      <c r="FI322" s="87"/>
      <c r="FJ322" s="87"/>
      <c r="FK322" s="87"/>
    </row>
    <row r="323" spans="1:167" outlineLevel="1">
      <c r="A323" s="31" t="str">
        <f t="shared" si="29"/>
        <v>modesg_inp_emss_sciborigem_scp1</v>
      </c>
      <c r="B323" s="76" t="s">
        <v>28</v>
      </c>
      <c r="C323" s="77" t="s">
        <v>178</v>
      </c>
      <c r="D323" s="73" t="s">
        <v>40</v>
      </c>
      <c r="E323" s="75" t="s">
        <v>210</v>
      </c>
      <c r="F323" s="73" t="s">
        <v>282</v>
      </c>
      <c r="G323" s="73" t="str">
        <f>INDEX(Auxiliar!$B$16:$B$23,MATCH(Plano_V1!H323,Auxiliar!$C$16:$C$23,0),1)</f>
        <v>1. Concluído</v>
      </c>
      <c r="H323" s="73">
        <f>VLOOKUP(A323,'Aux - pivots1'!$A:$B,2,0)</f>
        <v>1</v>
      </c>
      <c r="I323" s="93">
        <f>SUMIFS(Table1[Estimação (horas)],Table1[Tabela],Plano_V1!E323,Table1[Campo],Plano_V1!F323)</f>
        <v>0.5</v>
      </c>
      <c r="J323" s="93">
        <f t="shared" si="27"/>
        <v>6.25E-2</v>
      </c>
      <c r="K323" s="98" t="s">
        <v>39</v>
      </c>
      <c r="L323" s="99">
        <f t="shared" si="28"/>
        <v>6.25E-2</v>
      </c>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100"/>
      <c r="AU323" s="87"/>
      <c r="AV323" s="87"/>
      <c r="AW323" s="87"/>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100"/>
      <c r="EJ323" s="100"/>
      <c r="EK323" s="100"/>
      <c r="EL323" s="100"/>
      <c r="EM323" s="100"/>
      <c r="EN323" s="100"/>
      <c r="EO323" s="100"/>
      <c r="EP323" s="87"/>
      <c r="EQ323" s="87"/>
      <c r="ER323" s="87"/>
      <c r="ES323" s="87"/>
      <c r="ET323" s="87"/>
      <c r="EU323" s="87"/>
      <c r="EV323" s="87"/>
      <c r="EW323" s="87"/>
      <c r="EX323" s="87"/>
      <c r="EY323" s="87"/>
      <c r="EZ323" s="87"/>
      <c r="FA323" s="87"/>
      <c r="FB323" s="87"/>
      <c r="FC323" s="87"/>
      <c r="FD323" s="87"/>
      <c r="FE323" s="87"/>
      <c r="FF323" s="87"/>
      <c r="FG323" s="87"/>
      <c r="FH323" s="87"/>
      <c r="FI323" s="87"/>
      <c r="FJ323" s="87"/>
      <c r="FK323" s="87"/>
    </row>
    <row r="324" spans="1:167" outlineLevel="1">
      <c r="A324" s="31" t="str">
        <f t="shared" si="29"/>
        <v>modesg_inp_emss_sciborigem_scp2</v>
      </c>
      <c r="B324" s="76" t="s">
        <v>28</v>
      </c>
      <c r="C324" s="77" t="s">
        <v>178</v>
      </c>
      <c r="D324" s="73" t="s">
        <v>40</v>
      </c>
      <c r="E324" s="75" t="s">
        <v>210</v>
      </c>
      <c r="F324" s="73" t="s">
        <v>283</v>
      </c>
      <c r="G324" s="73" t="str">
        <f>INDEX(Auxiliar!$B$16:$B$23,MATCH(Plano_V1!H324,Auxiliar!$C$16:$C$23,0),1)</f>
        <v>1. Concluído</v>
      </c>
      <c r="H324" s="73">
        <f>VLOOKUP(A324,'Aux - pivots1'!$A:$B,2,0)</f>
        <v>1</v>
      </c>
      <c r="I324" s="93">
        <f>SUMIFS(Table1[Estimação (horas)],Table1[Tabela],Plano_V1!E324,Table1[Campo],Plano_V1!F324)</f>
        <v>0.5</v>
      </c>
      <c r="J324" s="93">
        <f t="shared" si="27"/>
        <v>6.25E-2</v>
      </c>
      <c r="K324" s="98" t="s">
        <v>39</v>
      </c>
      <c r="L324" s="99">
        <f t="shared" si="28"/>
        <v>6.25E-2</v>
      </c>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100"/>
      <c r="AU324" s="87"/>
      <c r="AV324" s="87"/>
      <c r="AW324" s="87"/>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100"/>
      <c r="EJ324" s="100"/>
      <c r="EK324" s="100"/>
      <c r="EL324" s="100"/>
      <c r="EM324" s="100"/>
      <c r="EN324" s="100"/>
      <c r="EO324" s="100"/>
      <c r="EP324" s="87"/>
      <c r="EQ324" s="87"/>
      <c r="ER324" s="87"/>
      <c r="ES324" s="87"/>
      <c r="ET324" s="87"/>
      <c r="EU324" s="87"/>
      <c r="EV324" s="87"/>
      <c r="EW324" s="87"/>
      <c r="EX324" s="87"/>
      <c r="EY324" s="87"/>
      <c r="EZ324" s="87"/>
      <c r="FA324" s="87"/>
      <c r="FB324" s="87"/>
      <c r="FC324" s="87"/>
      <c r="FD324" s="87"/>
      <c r="FE324" s="87"/>
      <c r="FF324" s="87"/>
      <c r="FG324" s="87"/>
      <c r="FH324" s="87"/>
      <c r="FI324" s="87"/>
      <c r="FJ324" s="87"/>
      <c r="FK324" s="87"/>
    </row>
    <row r="325" spans="1:167" outlineLevel="1">
      <c r="A325" s="31" t="str">
        <f t="shared" si="29"/>
        <v>modesg_inp_emss_sciborigem_scp3</v>
      </c>
      <c r="B325" s="76" t="s">
        <v>28</v>
      </c>
      <c r="C325" s="77" t="s">
        <v>178</v>
      </c>
      <c r="D325" s="73" t="s">
        <v>40</v>
      </c>
      <c r="E325" s="75" t="s">
        <v>210</v>
      </c>
      <c r="F325" s="73" t="s">
        <v>284</v>
      </c>
      <c r="G325" s="73" t="str">
        <f>INDEX(Auxiliar!$B$16:$B$23,MATCH(Plano_V1!H325,Auxiliar!$C$16:$C$23,0),1)</f>
        <v>1. Concluído</v>
      </c>
      <c r="H325" s="73">
        <f>VLOOKUP(A325,'Aux - pivots1'!$A:$B,2,0)</f>
        <v>1</v>
      </c>
      <c r="I325" s="93">
        <f>SUMIFS(Table1[Estimação (horas)],Table1[Tabela],Plano_V1!E325,Table1[Campo],Plano_V1!F325)</f>
        <v>0.5</v>
      </c>
      <c r="J325" s="93">
        <f t="shared" si="27"/>
        <v>6.25E-2</v>
      </c>
      <c r="K325" s="98" t="s">
        <v>39</v>
      </c>
      <c r="L325" s="99">
        <f t="shared" si="28"/>
        <v>6.25E-2</v>
      </c>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100"/>
      <c r="AU325" s="87"/>
      <c r="AV325" s="87"/>
      <c r="AW325" s="87"/>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100"/>
      <c r="EJ325" s="100"/>
      <c r="EK325" s="100"/>
      <c r="EL325" s="100"/>
      <c r="EM325" s="100"/>
      <c r="EN325" s="100"/>
      <c r="EO325" s="100"/>
      <c r="EP325" s="87"/>
      <c r="EQ325" s="87"/>
      <c r="ER325" s="87"/>
      <c r="ES325" s="87"/>
      <c r="ET325" s="87"/>
      <c r="EU325" s="87"/>
      <c r="EV325" s="87"/>
      <c r="EW325" s="87"/>
      <c r="EX325" s="87"/>
      <c r="EY325" s="87"/>
      <c r="EZ325" s="87"/>
      <c r="FA325" s="87"/>
      <c r="FB325" s="87"/>
      <c r="FC325" s="87"/>
      <c r="FD325" s="87"/>
      <c r="FE325" s="87"/>
      <c r="FF325" s="87"/>
      <c r="FG325" s="87"/>
      <c r="FH325" s="87"/>
      <c r="FI325" s="87"/>
      <c r="FJ325" s="87"/>
      <c r="FK325" s="87"/>
    </row>
    <row r="326" spans="1:167" outlineLevel="1">
      <c r="A326" s="31" t="str">
        <f t="shared" si="29"/>
        <v>modesg_inp_emss_scibano_info</v>
      </c>
      <c r="B326" s="76" t="s">
        <v>28</v>
      </c>
      <c r="C326" s="77" t="s">
        <v>178</v>
      </c>
      <c r="D326" s="73" t="s">
        <v>40</v>
      </c>
      <c r="E326" s="75" t="s">
        <v>210</v>
      </c>
      <c r="F326" s="73" t="s">
        <v>285</v>
      </c>
      <c r="G326" s="73" t="str">
        <f>INDEX(Auxiliar!$B$16:$B$23,MATCH(Plano_V1!H326,Auxiliar!$C$16:$C$23,0),1)</f>
        <v>1. Concluído</v>
      </c>
      <c r="H326" s="73">
        <f>VLOOKUP(A326,'Aux - pivots1'!$A:$B,2,0)</f>
        <v>1</v>
      </c>
      <c r="I326" s="93">
        <f>SUMIFS(Table1[Estimação (horas)],Table1[Tabela],Plano_V1!E326,Table1[Campo],Plano_V1!F326)</f>
        <v>0.5</v>
      </c>
      <c r="J326" s="93">
        <f t="shared" si="27"/>
        <v>6.25E-2</v>
      </c>
      <c r="K326" s="98" t="s">
        <v>39</v>
      </c>
      <c r="L326" s="99">
        <f t="shared" si="28"/>
        <v>6.25E-2</v>
      </c>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100"/>
      <c r="AU326" s="87"/>
      <c r="AV326" s="87"/>
      <c r="AW326" s="87"/>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100"/>
      <c r="EJ326" s="100"/>
      <c r="EK326" s="100"/>
      <c r="EL326" s="100"/>
      <c r="EM326" s="100"/>
      <c r="EN326" s="100"/>
      <c r="EO326" s="100"/>
      <c r="EP326" s="87"/>
      <c r="EQ326" s="87"/>
      <c r="ER326" s="87"/>
      <c r="ES326" s="87"/>
      <c r="ET326" s="87"/>
      <c r="EU326" s="87"/>
      <c r="EV326" s="87"/>
      <c r="EW326" s="87"/>
      <c r="EX326" s="87"/>
      <c r="EY326" s="87"/>
      <c r="EZ326" s="87"/>
      <c r="FA326" s="87"/>
      <c r="FB326" s="87"/>
      <c r="FC326" s="87"/>
      <c r="FD326" s="87"/>
      <c r="FE326" s="87"/>
      <c r="FF326" s="87"/>
      <c r="FG326" s="87"/>
      <c r="FH326" s="87"/>
      <c r="FI326" s="87"/>
      <c r="FJ326" s="87"/>
      <c r="FK326" s="87"/>
    </row>
    <row r="327" spans="1:167" outlineLevel="1">
      <c r="A327" s="31" t="str">
        <f t="shared" si="29"/>
        <v>modesg_inp_emss_scibdivida_total</v>
      </c>
      <c r="B327" s="76" t="s">
        <v>28</v>
      </c>
      <c r="C327" s="77" t="s">
        <v>178</v>
      </c>
      <c r="D327" s="73" t="s">
        <v>40</v>
      </c>
      <c r="E327" s="75" t="s">
        <v>210</v>
      </c>
      <c r="F327" s="73" t="s">
        <v>286</v>
      </c>
      <c r="G327" s="73" t="str">
        <f>INDEX(Auxiliar!$B$16:$B$23,MATCH(Plano_V1!H327,Auxiliar!$C$16:$C$23,0),1)</f>
        <v>1. Concluído</v>
      </c>
      <c r="H327" s="73">
        <f>VLOOKUP(A327,'Aux - pivots1'!$A:$B,2,0)</f>
        <v>1</v>
      </c>
      <c r="I327" s="93">
        <f>SUMIFS(Table1[Estimação (horas)],Table1[Tabela],Plano_V1!E327,Table1[Campo],Plano_V1!F327)</f>
        <v>0.5</v>
      </c>
      <c r="J327" s="93">
        <f t="shared" ref="J327:J360" si="30">I327/8</f>
        <v>6.25E-2</v>
      </c>
      <c r="K327" s="98" t="s">
        <v>39</v>
      </c>
      <c r="L327" s="99">
        <f t="shared" si="28"/>
        <v>6.25E-2</v>
      </c>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100"/>
      <c r="AU327" s="87"/>
      <c r="AV327" s="87"/>
      <c r="AW327" s="87"/>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100"/>
      <c r="EJ327" s="100"/>
      <c r="EK327" s="100"/>
      <c r="EL327" s="100"/>
      <c r="EM327" s="100"/>
      <c r="EN327" s="100"/>
      <c r="EO327" s="100"/>
      <c r="EP327" s="87"/>
      <c r="EQ327" s="87"/>
      <c r="ER327" s="87"/>
      <c r="ES327" s="87"/>
      <c r="ET327" s="87"/>
      <c r="EU327" s="87"/>
      <c r="EV327" s="87"/>
      <c r="EW327" s="87"/>
      <c r="EX327" s="87"/>
      <c r="EY327" s="87"/>
      <c r="EZ327" s="87"/>
      <c r="FA327" s="87"/>
      <c r="FB327" s="87"/>
      <c r="FC327" s="87"/>
      <c r="FD327" s="87"/>
      <c r="FE327" s="87"/>
      <c r="FF327" s="87"/>
      <c r="FG327" s="87"/>
      <c r="FH327" s="87"/>
      <c r="FI327" s="87"/>
      <c r="FJ327" s="87"/>
      <c r="FK327" s="87"/>
    </row>
    <row r="328" spans="1:167" outlineLevel="1">
      <c r="A328" s="31" t="str">
        <f t="shared" si="29"/>
        <v>modesg_inp_emss_scibcapital_proprio</v>
      </c>
      <c r="B328" s="76" t="s">
        <v>28</v>
      </c>
      <c r="C328" s="77" t="s">
        <v>178</v>
      </c>
      <c r="D328" s="73" t="s">
        <v>40</v>
      </c>
      <c r="E328" s="75" t="s">
        <v>210</v>
      </c>
      <c r="F328" s="73" t="s">
        <v>287</v>
      </c>
      <c r="G328" s="73" t="str">
        <f>INDEX(Auxiliar!$B$16:$B$23,MATCH(Plano_V1!H328,Auxiliar!$C$16:$C$23,0),1)</f>
        <v>1. Concluído</v>
      </c>
      <c r="H328" s="73">
        <f>VLOOKUP(A328,'Aux - pivots1'!$A:$B,2,0)</f>
        <v>1</v>
      </c>
      <c r="I328" s="93">
        <f>SUMIFS(Table1[Estimação (horas)],Table1[Tabela],Plano_V1!E328,Table1[Campo],Plano_V1!F328)</f>
        <v>0.5</v>
      </c>
      <c r="J328" s="93">
        <f t="shared" si="30"/>
        <v>6.25E-2</v>
      </c>
      <c r="K328" s="98" t="s">
        <v>39</v>
      </c>
      <c r="L328" s="99">
        <f t="shared" si="28"/>
        <v>6.25E-2</v>
      </c>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100"/>
      <c r="AU328" s="87"/>
      <c r="AV328" s="87"/>
      <c r="AW328" s="87"/>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100"/>
      <c r="EJ328" s="100"/>
      <c r="EK328" s="100"/>
      <c r="EL328" s="100"/>
      <c r="EM328" s="100"/>
      <c r="EN328" s="100"/>
      <c r="EO328" s="100"/>
      <c r="EP328" s="87"/>
      <c r="EQ328" s="87"/>
      <c r="ER328" s="87"/>
      <c r="ES328" s="87"/>
      <c r="ET328" s="87"/>
      <c r="EU328" s="87"/>
      <c r="EV328" s="87"/>
      <c r="EW328" s="87"/>
      <c r="EX328" s="87"/>
      <c r="EY328" s="87"/>
      <c r="EZ328" s="87"/>
      <c r="FA328" s="87"/>
      <c r="FB328" s="87"/>
      <c r="FC328" s="87"/>
      <c r="FD328" s="87"/>
      <c r="FE328" s="87"/>
      <c r="FF328" s="87"/>
      <c r="FG328" s="87"/>
      <c r="FH328" s="87"/>
      <c r="FI328" s="87"/>
      <c r="FJ328" s="87"/>
      <c r="FK328" s="87"/>
    </row>
    <row r="329" spans="1:167" outlineLevel="1">
      <c r="A329" s="31" t="str">
        <f t="shared" si="29"/>
        <v>modesg_inp_emss_naceref_date</v>
      </c>
      <c r="B329" s="76" t="s">
        <v>28</v>
      </c>
      <c r="C329" s="77" t="s">
        <v>178</v>
      </c>
      <c r="D329" s="73" t="s">
        <v>40</v>
      </c>
      <c r="E329" s="75" t="s">
        <v>211</v>
      </c>
      <c r="F329" s="73" t="s">
        <v>73</v>
      </c>
      <c r="G329" s="73" t="str">
        <f>INDEX(Auxiliar!$B$16:$B$23,MATCH(Plano_V1!H329,Auxiliar!$C$16:$C$23,0),1)</f>
        <v>1. Concluído</v>
      </c>
      <c r="H329" s="73">
        <f>VLOOKUP(A329,'Aux - pivots1'!$A:$B,2,0)</f>
        <v>1</v>
      </c>
      <c r="I329" s="93">
        <f>SUMIFS(Table1[Estimação (horas)],Table1[Tabela],Plano_V1!E329,Table1[Campo],Plano_V1!F329)</f>
        <v>0.5</v>
      </c>
      <c r="J329" s="93">
        <f t="shared" si="30"/>
        <v>6.25E-2</v>
      </c>
      <c r="K329" s="98" t="s">
        <v>39</v>
      </c>
      <c r="L329" s="99">
        <f t="shared" si="28"/>
        <v>6.25E-2</v>
      </c>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100"/>
      <c r="AU329" s="87"/>
      <c r="AV329" s="87"/>
      <c r="AW329" s="87"/>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100"/>
      <c r="EJ329" s="100"/>
      <c r="EK329" s="100"/>
      <c r="EL329" s="100"/>
      <c r="EM329" s="100"/>
      <c r="EN329" s="100"/>
      <c r="EO329" s="100"/>
      <c r="EP329" s="87"/>
      <c r="EQ329" s="87"/>
      <c r="ER329" s="87"/>
      <c r="ES329" s="87"/>
      <c r="ET329" s="87"/>
      <c r="EU329" s="87"/>
      <c r="EV329" s="87"/>
      <c r="EW329" s="87"/>
      <c r="EX329" s="87"/>
      <c r="EY329" s="87"/>
      <c r="EZ329" s="87"/>
      <c r="FA329" s="87"/>
      <c r="FB329" s="87"/>
      <c r="FC329" s="87"/>
      <c r="FD329" s="87"/>
      <c r="FE329" s="87"/>
      <c r="FF329" s="87"/>
      <c r="FG329" s="87"/>
      <c r="FH329" s="87"/>
      <c r="FI329" s="87"/>
      <c r="FJ329" s="87"/>
      <c r="FK329" s="87"/>
    </row>
    <row r="330" spans="1:167" outlineLevel="1">
      <c r="A330" s="31" t="str">
        <f t="shared" si="29"/>
        <v>modesg_inp_emss_naceano</v>
      </c>
      <c r="B330" s="76" t="s">
        <v>28</v>
      </c>
      <c r="C330" s="77" t="s">
        <v>178</v>
      </c>
      <c r="D330" s="73" t="s">
        <v>40</v>
      </c>
      <c r="E330" s="75" t="s">
        <v>211</v>
      </c>
      <c r="F330" s="73" t="s">
        <v>288</v>
      </c>
      <c r="G330" s="73" t="str">
        <f>INDEX(Auxiliar!$B$16:$B$23,MATCH(Plano_V1!H330,Auxiliar!$C$16:$C$23,0),1)</f>
        <v>1. Concluído</v>
      </c>
      <c r="H330" s="73">
        <f>VLOOKUP(A330,'Aux - pivots1'!$A:$B,2,0)</f>
        <v>1</v>
      </c>
      <c r="I330" s="93">
        <f>SUMIFS(Table1[Estimação (horas)],Table1[Tabela],Plano_V1!E330,Table1[Campo],Plano_V1!F330)</f>
        <v>0.5</v>
      </c>
      <c r="J330" s="93">
        <f t="shared" si="30"/>
        <v>6.25E-2</v>
      </c>
      <c r="K330" s="98" t="s">
        <v>39</v>
      </c>
      <c r="L330" s="99">
        <f t="shared" si="28"/>
        <v>6.25E-2</v>
      </c>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100"/>
      <c r="AU330" s="87"/>
      <c r="AV330" s="87"/>
      <c r="AW330" s="87"/>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100"/>
      <c r="EJ330" s="100"/>
      <c r="EK330" s="100"/>
      <c r="EL330" s="100"/>
      <c r="EM330" s="100"/>
      <c r="EN330" s="100"/>
      <c r="EO330" s="100"/>
      <c r="EP330" s="87"/>
      <c r="EQ330" s="87"/>
      <c r="ER330" s="87"/>
      <c r="ES330" s="87"/>
      <c r="ET330" s="87"/>
      <c r="EU330" s="87"/>
      <c r="EV330" s="87"/>
      <c r="EW330" s="87"/>
      <c r="EX330" s="87"/>
      <c r="EY330" s="87"/>
      <c r="EZ330" s="87"/>
      <c r="FA330" s="87"/>
      <c r="FB330" s="87"/>
      <c r="FC330" s="87"/>
      <c r="FD330" s="87"/>
      <c r="FE330" s="87"/>
      <c r="FF330" s="87"/>
      <c r="FG330" s="87"/>
      <c r="FH330" s="87"/>
      <c r="FI330" s="87"/>
      <c r="FJ330" s="87"/>
      <c r="FK330" s="87"/>
    </row>
    <row r="331" spans="1:167" outlineLevel="1">
      <c r="A331" s="31" t="str">
        <f t="shared" si="29"/>
        <v>modesg_inp_emss_nacenome_regiao</v>
      </c>
      <c r="B331" s="76" t="s">
        <v>28</v>
      </c>
      <c r="C331" s="77" t="s">
        <v>178</v>
      </c>
      <c r="D331" s="73" t="s">
        <v>40</v>
      </c>
      <c r="E331" s="75" t="s">
        <v>211</v>
      </c>
      <c r="F331" s="73" t="s">
        <v>213</v>
      </c>
      <c r="G331" s="73" t="str">
        <f>INDEX(Auxiliar!$B$16:$B$23,MATCH(Plano_V1!H331,Auxiliar!$C$16:$C$23,0),1)</f>
        <v>0. Cancelado</v>
      </c>
      <c r="H331" s="73">
        <f>VLOOKUP(A331,'Aux - pivots1'!$A:$B,2,0)</f>
        <v>0</v>
      </c>
      <c r="I331" s="93">
        <f>SUMIFS(Table1[Estimação (horas)],Table1[Tabela],Plano_V1!E331,Table1[Campo],Plano_V1!F331)</f>
        <v>0.5</v>
      </c>
      <c r="J331" s="93">
        <f t="shared" si="30"/>
        <v>6.25E-2</v>
      </c>
      <c r="K331" s="98" t="s">
        <v>39</v>
      </c>
      <c r="L331" s="99">
        <f t="shared" si="28"/>
        <v>6.25E-2</v>
      </c>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100"/>
      <c r="AU331" s="87"/>
      <c r="AV331" s="87"/>
      <c r="AW331" s="87"/>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100"/>
      <c r="EJ331" s="100"/>
      <c r="EK331" s="100"/>
      <c r="EL331" s="100"/>
      <c r="EM331" s="100"/>
      <c r="EN331" s="100"/>
      <c r="EO331" s="100"/>
      <c r="EP331" s="87"/>
      <c r="EQ331" s="87"/>
      <c r="ER331" s="87"/>
      <c r="ES331" s="87"/>
      <c r="ET331" s="87"/>
      <c r="EU331" s="87"/>
      <c r="EV331" s="87"/>
      <c r="EW331" s="87"/>
      <c r="EX331" s="87"/>
      <c r="EY331" s="87"/>
      <c r="EZ331" s="87"/>
      <c r="FA331" s="87"/>
      <c r="FB331" s="87"/>
      <c r="FC331" s="87"/>
      <c r="FD331" s="87"/>
      <c r="FE331" s="87"/>
      <c r="FF331" s="87"/>
      <c r="FG331" s="87"/>
      <c r="FH331" s="87"/>
      <c r="FI331" s="87"/>
      <c r="FJ331" s="87"/>
      <c r="FK331" s="87"/>
    </row>
    <row r="332" spans="1:167" outlineLevel="1">
      <c r="A332" s="31" t="str">
        <f t="shared" si="29"/>
        <v>modesg_inp_emss_nacecod_nace_esg</v>
      </c>
      <c r="B332" s="76" t="s">
        <v>28</v>
      </c>
      <c r="C332" s="77" t="s">
        <v>178</v>
      </c>
      <c r="D332" s="73" t="s">
        <v>40</v>
      </c>
      <c r="E332" s="75" t="s">
        <v>211</v>
      </c>
      <c r="F332" s="73" t="s">
        <v>272</v>
      </c>
      <c r="G332" s="73" t="str">
        <f>INDEX(Auxiliar!$B$16:$B$23,MATCH(Plano_V1!H332,Auxiliar!$C$16:$C$23,0),1)</f>
        <v>1. Concluído</v>
      </c>
      <c r="H332" s="73">
        <f>VLOOKUP(A332,'Aux - pivots1'!$A:$B,2,0)</f>
        <v>1</v>
      </c>
      <c r="I332" s="93">
        <f>SUMIFS(Table1[Estimação (horas)],Table1[Tabela],Plano_V1!E332,Table1[Campo],Plano_V1!F332)</f>
        <v>0.6</v>
      </c>
      <c r="J332" s="93">
        <f t="shared" si="30"/>
        <v>7.4999999999999997E-2</v>
      </c>
      <c r="K332" s="98" t="s">
        <v>39</v>
      </c>
      <c r="L332" s="99">
        <f t="shared" si="28"/>
        <v>7.4999999999999997E-2</v>
      </c>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100"/>
      <c r="AU332" s="87"/>
      <c r="AV332" s="87"/>
      <c r="AW332" s="87"/>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100"/>
      <c r="EJ332" s="100"/>
      <c r="EK332" s="100"/>
      <c r="EL332" s="100"/>
      <c r="EM332" s="100"/>
      <c r="EN332" s="100"/>
      <c r="EO332" s="100"/>
      <c r="EP332" s="87"/>
      <c r="EQ332" s="87"/>
      <c r="ER332" s="87"/>
      <c r="ES332" s="87"/>
      <c r="ET332" s="87"/>
      <c r="EU332" s="87"/>
      <c r="EV332" s="87"/>
      <c r="EW332" s="87"/>
      <c r="EX332" s="87"/>
      <c r="EY332" s="87"/>
      <c r="EZ332" s="87"/>
      <c r="FA332" s="87"/>
      <c r="FB332" s="87"/>
      <c r="FC332" s="87"/>
      <c r="FD332" s="87"/>
      <c r="FE332" s="87"/>
      <c r="FF332" s="87"/>
      <c r="FG332" s="87"/>
      <c r="FH332" s="87"/>
      <c r="FI332" s="87"/>
      <c r="FJ332" s="87"/>
      <c r="FK332" s="87"/>
    </row>
    <row r="333" spans="1:167" outlineLevel="1">
      <c r="A333" s="31" t="str">
        <f t="shared" si="29"/>
        <v>modesg_inp_emss_nacecod_class_indust</v>
      </c>
      <c r="B333" s="76" t="s">
        <v>28</v>
      </c>
      <c r="C333" s="77" t="s">
        <v>178</v>
      </c>
      <c r="D333" s="73" t="s">
        <v>40</v>
      </c>
      <c r="E333" s="75" t="s">
        <v>211</v>
      </c>
      <c r="F333" s="73" t="s">
        <v>289</v>
      </c>
      <c r="G333" s="73" t="str">
        <f>INDEX(Auxiliar!$B$16:$B$23,MATCH(Plano_V1!H333,Auxiliar!$C$16:$C$23,0),1)</f>
        <v>1. Concluído</v>
      </c>
      <c r="H333" s="73">
        <f>VLOOKUP(A333,'Aux - pivots1'!$A:$B,2,0)</f>
        <v>1</v>
      </c>
      <c r="I333" s="93">
        <f>SUMIFS(Table1[Estimação (horas)],Table1[Tabela],Plano_V1!E333,Table1[Campo],Plano_V1!F333)</f>
        <v>0.5</v>
      </c>
      <c r="J333" s="93">
        <f t="shared" si="30"/>
        <v>6.25E-2</v>
      </c>
      <c r="K333" s="98" t="s">
        <v>39</v>
      </c>
      <c r="L333" s="99">
        <f t="shared" si="28"/>
        <v>6.25E-2</v>
      </c>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100"/>
      <c r="AU333" s="87"/>
      <c r="AV333" s="87"/>
      <c r="AW333" s="87"/>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100"/>
      <c r="EJ333" s="100"/>
      <c r="EK333" s="100"/>
      <c r="EL333" s="100"/>
      <c r="EM333" s="100"/>
      <c r="EN333" s="100"/>
      <c r="EO333" s="100"/>
      <c r="EP333" s="87"/>
      <c r="EQ333" s="87"/>
      <c r="ER333" s="87"/>
      <c r="ES333" s="87"/>
      <c r="ET333" s="87"/>
      <c r="EU333" s="87"/>
      <c r="EV333" s="87"/>
      <c r="EW333" s="87"/>
      <c r="EX333" s="87"/>
      <c r="EY333" s="87"/>
      <c r="EZ333" s="87"/>
      <c r="FA333" s="87"/>
      <c r="FB333" s="87"/>
      <c r="FC333" s="87"/>
      <c r="FD333" s="87"/>
      <c r="FE333" s="87"/>
      <c r="FF333" s="87"/>
      <c r="FG333" s="87"/>
      <c r="FH333" s="87"/>
      <c r="FI333" s="87"/>
      <c r="FJ333" s="87"/>
      <c r="FK333" s="87"/>
    </row>
    <row r="334" spans="1:167" outlineLevel="1">
      <c r="A334" s="31" t="str">
        <f t="shared" si="29"/>
        <v>modesg_inp_emss_naceclassification_level_1</v>
      </c>
      <c r="B334" s="76" t="s">
        <v>28</v>
      </c>
      <c r="C334" s="77" t="s">
        <v>178</v>
      </c>
      <c r="D334" s="73" t="s">
        <v>40</v>
      </c>
      <c r="E334" s="75" t="s">
        <v>211</v>
      </c>
      <c r="F334" s="73" t="s">
        <v>290</v>
      </c>
      <c r="G334" s="73" t="e">
        <f>INDEX(Auxiliar!$B$16:$B$23,MATCH(Plano_V1!H334,Auxiliar!$C$16:$C$23,0),1)</f>
        <v>#N/A</v>
      </c>
      <c r="H334" s="73" t="e">
        <f>VLOOKUP(A334,'Aux - pivots1'!$A:$B,2,0)</f>
        <v>#N/A</v>
      </c>
      <c r="I334" s="93">
        <f>SUMIFS(Table1[Estimação (horas)],Table1[Tabela],Plano_V1!E334,Table1[Campo],Plano_V1!F334)</f>
        <v>0</v>
      </c>
      <c r="J334" s="93">
        <f t="shared" si="30"/>
        <v>0</v>
      </c>
      <c r="K334" s="98" t="s">
        <v>39</v>
      </c>
      <c r="L334" s="99">
        <f t="shared" si="28"/>
        <v>0</v>
      </c>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100"/>
      <c r="AU334" s="87"/>
      <c r="AV334" s="87"/>
      <c r="AW334" s="87"/>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100"/>
      <c r="EJ334" s="100"/>
      <c r="EK334" s="100"/>
      <c r="EL334" s="100"/>
      <c r="EM334" s="100"/>
      <c r="EN334" s="100"/>
      <c r="EO334" s="100"/>
      <c r="EP334" s="87"/>
      <c r="EQ334" s="87"/>
      <c r="ER334" s="87"/>
      <c r="ES334" s="87"/>
      <c r="ET334" s="87"/>
      <c r="EU334" s="87"/>
      <c r="EV334" s="87"/>
      <c r="EW334" s="87"/>
      <c r="EX334" s="87"/>
      <c r="EY334" s="87"/>
      <c r="EZ334" s="87"/>
      <c r="FA334" s="87"/>
      <c r="FB334" s="87"/>
      <c r="FC334" s="87"/>
      <c r="FD334" s="87"/>
      <c r="FE334" s="87"/>
      <c r="FF334" s="87"/>
      <c r="FG334" s="87"/>
      <c r="FH334" s="87"/>
      <c r="FI334" s="87"/>
      <c r="FJ334" s="87"/>
      <c r="FK334" s="87"/>
    </row>
    <row r="335" spans="1:167" outlineLevel="1">
      <c r="A335" s="31" t="str">
        <f t="shared" si="29"/>
        <v>modesg_inp_emss_naceasset_class</v>
      </c>
      <c r="B335" s="76" t="s">
        <v>28</v>
      </c>
      <c r="C335" s="77" t="s">
        <v>178</v>
      </c>
      <c r="D335" s="73" t="s">
        <v>40</v>
      </c>
      <c r="E335" s="75" t="s">
        <v>211</v>
      </c>
      <c r="F335" s="73" t="s">
        <v>291</v>
      </c>
      <c r="G335" s="73" t="e">
        <f>INDEX(Auxiliar!$B$16:$B$23,MATCH(Plano_V1!H335,Auxiliar!$C$16:$C$23,0),1)</f>
        <v>#N/A</v>
      </c>
      <c r="H335" s="73" t="e">
        <f>VLOOKUP(A335,'Aux - pivots1'!$A:$B,2,0)</f>
        <v>#N/A</v>
      </c>
      <c r="I335" s="93">
        <f>SUMIFS(Table1[Estimação (horas)],Table1[Tabela],Plano_V1!E335,Table1[Campo],Plano_V1!F335)</f>
        <v>0</v>
      </c>
      <c r="J335" s="93">
        <f t="shared" si="30"/>
        <v>0</v>
      </c>
      <c r="K335" s="98" t="s">
        <v>39</v>
      </c>
      <c r="L335" s="99">
        <f t="shared" si="28"/>
        <v>0</v>
      </c>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100"/>
      <c r="AU335" s="87"/>
      <c r="AV335" s="87"/>
      <c r="AW335" s="87"/>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100"/>
      <c r="EJ335" s="100"/>
      <c r="EK335" s="100"/>
      <c r="EL335" s="100"/>
      <c r="EM335" s="100"/>
      <c r="EN335" s="100"/>
      <c r="EO335" s="100"/>
      <c r="EP335" s="87"/>
      <c r="EQ335" s="87"/>
      <c r="ER335" s="87"/>
      <c r="ES335" s="87"/>
      <c r="ET335" s="87"/>
      <c r="EU335" s="87"/>
      <c r="EV335" s="87"/>
      <c r="EW335" s="87"/>
      <c r="EX335" s="87"/>
      <c r="EY335" s="87"/>
      <c r="EZ335" s="87"/>
      <c r="FA335" s="87"/>
      <c r="FB335" s="87"/>
      <c r="FC335" s="87"/>
      <c r="FD335" s="87"/>
      <c r="FE335" s="87"/>
      <c r="FF335" s="87"/>
      <c r="FG335" s="87"/>
      <c r="FH335" s="87"/>
      <c r="FI335" s="87"/>
      <c r="FJ335" s="87"/>
      <c r="FK335" s="87"/>
    </row>
    <row r="336" spans="1:167" outlineLevel="1">
      <c r="A336" s="31" t="str">
        <f t="shared" si="29"/>
        <v>modesg_inp_emss_nacemethodology_option</v>
      </c>
      <c r="B336" s="76" t="s">
        <v>28</v>
      </c>
      <c r="C336" s="77" t="s">
        <v>178</v>
      </c>
      <c r="D336" s="73" t="s">
        <v>40</v>
      </c>
      <c r="E336" s="75" t="s">
        <v>211</v>
      </c>
      <c r="F336" s="73" t="s">
        <v>292</v>
      </c>
      <c r="G336" s="73" t="e">
        <f>INDEX(Auxiliar!$B$16:$B$23,MATCH(Plano_V1!H336,Auxiliar!$C$16:$C$23,0),1)</f>
        <v>#N/A</v>
      </c>
      <c r="H336" s="73" t="e">
        <f>VLOOKUP(A336,'Aux - pivots1'!$A:$B,2,0)</f>
        <v>#N/A</v>
      </c>
      <c r="I336" s="93">
        <f>SUMIFS(Table1[Estimação (horas)],Table1[Tabela],Plano_V1!E336,Table1[Campo],Plano_V1!F336)</f>
        <v>0</v>
      </c>
      <c r="J336" s="93">
        <f t="shared" si="30"/>
        <v>0</v>
      </c>
      <c r="K336" s="98" t="s">
        <v>39</v>
      </c>
      <c r="L336" s="99">
        <f t="shared" si="28"/>
        <v>0</v>
      </c>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100"/>
      <c r="AU336" s="87"/>
      <c r="AV336" s="87"/>
      <c r="AW336" s="87"/>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100"/>
      <c r="EJ336" s="100"/>
      <c r="EK336" s="100"/>
      <c r="EL336" s="100"/>
      <c r="EM336" s="100"/>
      <c r="EN336" s="100"/>
      <c r="EO336" s="100"/>
      <c r="EP336" s="87"/>
      <c r="EQ336" s="87"/>
      <c r="ER336" s="87"/>
      <c r="ES336" s="87"/>
      <c r="ET336" s="87"/>
      <c r="EU336" s="87"/>
      <c r="EV336" s="87"/>
      <c r="EW336" s="87"/>
      <c r="EX336" s="87"/>
      <c r="EY336" s="87"/>
      <c r="EZ336" s="87"/>
      <c r="FA336" s="87"/>
      <c r="FB336" s="87"/>
      <c r="FC336" s="87"/>
      <c r="FD336" s="87"/>
      <c r="FE336" s="87"/>
      <c r="FF336" s="87"/>
      <c r="FG336" s="87"/>
      <c r="FH336" s="87"/>
      <c r="FI336" s="87"/>
      <c r="FJ336" s="87"/>
      <c r="FK336" s="87"/>
    </row>
    <row r="337" spans="1:167" outlineLevel="1">
      <c r="A337" s="31" t="str">
        <f t="shared" si="29"/>
        <v>modesg_inp_emss_naceunidade_funcional</v>
      </c>
      <c r="B337" s="76" t="s">
        <v>28</v>
      </c>
      <c r="C337" s="77" t="s">
        <v>178</v>
      </c>
      <c r="D337" s="73" t="s">
        <v>40</v>
      </c>
      <c r="E337" s="75" t="s">
        <v>211</v>
      </c>
      <c r="F337" s="73" t="s">
        <v>222</v>
      </c>
      <c r="G337" s="73" t="str">
        <f>INDEX(Auxiliar!$B$16:$B$23,MATCH(Plano_V1!H337,Auxiliar!$C$16:$C$23,0),1)</f>
        <v>1. Concluído</v>
      </c>
      <c r="H337" s="73">
        <f>VLOOKUP(A337,'Aux - pivots1'!$A:$B,2,0)</f>
        <v>1</v>
      </c>
      <c r="I337" s="93">
        <f>SUMIFS(Table1[Estimação (horas)],Table1[Tabela],Plano_V1!E337,Table1[Campo],Plano_V1!F337)</f>
        <v>0.6</v>
      </c>
      <c r="J337" s="93">
        <f t="shared" si="30"/>
        <v>7.4999999999999997E-2</v>
      </c>
      <c r="K337" s="98" t="s">
        <v>39</v>
      </c>
      <c r="L337" s="99">
        <f t="shared" si="28"/>
        <v>7.4999999999999997E-2</v>
      </c>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100"/>
      <c r="AU337" s="87"/>
      <c r="AV337" s="87"/>
      <c r="AW337" s="87"/>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100"/>
      <c r="EJ337" s="100"/>
      <c r="EK337" s="100"/>
      <c r="EL337" s="100"/>
      <c r="EM337" s="100"/>
      <c r="EN337" s="100"/>
      <c r="EO337" s="100"/>
      <c r="EP337" s="87"/>
      <c r="EQ337" s="87"/>
      <c r="ER337" s="87"/>
      <c r="ES337" s="87"/>
      <c r="ET337" s="87"/>
      <c r="EU337" s="87"/>
      <c r="EV337" s="87"/>
      <c r="EW337" s="87"/>
      <c r="EX337" s="87"/>
      <c r="EY337" s="87"/>
      <c r="EZ337" s="87"/>
      <c r="FA337" s="87"/>
      <c r="FB337" s="87"/>
      <c r="FC337" s="87"/>
      <c r="FD337" s="87"/>
      <c r="FE337" s="87"/>
      <c r="FF337" s="87"/>
      <c r="FG337" s="87"/>
      <c r="FH337" s="87"/>
      <c r="FI337" s="87"/>
      <c r="FJ337" s="87"/>
      <c r="FK337" s="87"/>
    </row>
    <row r="338" spans="1:167" outlineLevel="1">
      <c r="A338" s="31" t="str">
        <f t="shared" si="29"/>
        <v>modesg_inp_emss_naceunidades_fator_de_emissao</v>
      </c>
      <c r="B338" s="76" t="s">
        <v>28</v>
      </c>
      <c r="C338" s="77" t="s">
        <v>178</v>
      </c>
      <c r="D338" s="73" t="s">
        <v>40</v>
      </c>
      <c r="E338" s="75" t="s">
        <v>211</v>
      </c>
      <c r="F338" s="73" t="s">
        <v>293</v>
      </c>
      <c r="G338" s="73" t="str">
        <f>INDEX(Auxiliar!$B$16:$B$23,MATCH(Plano_V1!H338,Auxiliar!$C$16:$C$23,0),1)</f>
        <v>1. Concluído</v>
      </c>
      <c r="H338" s="73">
        <f>VLOOKUP(A338,'Aux - pivots1'!$A:$B,2,0)</f>
        <v>1</v>
      </c>
      <c r="I338" s="93">
        <f>SUMIFS(Table1[Estimação (horas)],Table1[Tabela],Plano_V1!E338,Table1[Campo],Plano_V1!F338)</f>
        <v>0.5</v>
      </c>
      <c r="J338" s="93">
        <f t="shared" si="30"/>
        <v>6.25E-2</v>
      </c>
      <c r="K338" s="98" t="s">
        <v>39</v>
      </c>
      <c r="L338" s="99">
        <f t="shared" si="28"/>
        <v>6.25E-2</v>
      </c>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100"/>
      <c r="AU338" s="87"/>
      <c r="AV338" s="87"/>
      <c r="AW338" s="87"/>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100"/>
      <c r="EJ338" s="100"/>
      <c r="EK338" s="100"/>
      <c r="EL338" s="100"/>
      <c r="EM338" s="100"/>
      <c r="EN338" s="100"/>
      <c r="EO338" s="100"/>
      <c r="EP338" s="87"/>
      <c r="EQ338" s="87"/>
      <c r="ER338" s="87"/>
      <c r="ES338" s="87"/>
      <c r="ET338" s="87"/>
      <c r="EU338" s="87"/>
      <c r="EV338" s="87"/>
      <c r="EW338" s="87"/>
      <c r="EX338" s="87"/>
      <c r="EY338" s="87"/>
      <c r="EZ338" s="87"/>
      <c r="FA338" s="87"/>
      <c r="FB338" s="87"/>
      <c r="FC338" s="87"/>
      <c r="FD338" s="87"/>
      <c r="FE338" s="87"/>
      <c r="FF338" s="87"/>
      <c r="FG338" s="87"/>
      <c r="FH338" s="87"/>
      <c r="FI338" s="87"/>
      <c r="FJ338" s="87"/>
      <c r="FK338" s="87"/>
    </row>
    <row r="339" spans="1:167" outlineLevel="1">
      <c r="A339" s="31" t="str">
        <f t="shared" si="29"/>
        <v>modesg_inp_emss_nacescore_qualidade</v>
      </c>
      <c r="B339" s="76" t="s">
        <v>28</v>
      </c>
      <c r="C339" s="77" t="s">
        <v>178</v>
      </c>
      <c r="D339" s="73" t="s">
        <v>40</v>
      </c>
      <c r="E339" s="75" t="s">
        <v>211</v>
      </c>
      <c r="F339" s="73" t="s">
        <v>50</v>
      </c>
      <c r="G339" s="73" t="str">
        <f>INDEX(Auxiliar!$B$16:$B$23,MATCH(Plano_V1!H339,Auxiliar!$C$16:$C$23,0),1)</f>
        <v>1. Concluído</v>
      </c>
      <c r="H339" s="73">
        <f>VLOOKUP(A339,'Aux - pivots1'!$A:$B,2,0)</f>
        <v>1</v>
      </c>
      <c r="I339" s="93">
        <f>SUMIFS(Table1[Estimação (horas)],Table1[Tabela],Plano_V1!E339,Table1[Campo],Plano_V1!F339)</f>
        <v>0.5</v>
      </c>
      <c r="J339" s="93">
        <f t="shared" si="30"/>
        <v>6.25E-2</v>
      </c>
      <c r="K339" s="98" t="s">
        <v>39</v>
      </c>
      <c r="L339" s="99">
        <f t="shared" si="28"/>
        <v>6.25E-2</v>
      </c>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100"/>
      <c r="AU339" s="87"/>
      <c r="AV339" s="87"/>
      <c r="AW339" s="87"/>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100"/>
      <c r="EJ339" s="100"/>
      <c r="EK339" s="100"/>
      <c r="EL339" s="100"/>
      <c r="EM339" s="100"/>
      <c r="EN339" s="100"/>
      <c r="EO339" s="100"/>
      <c r="EP339" s="87"/>
      <c r="EQ339" s="87"/>
      <c r="ER339" s="87"/>
      <c r="ES339" s="87"/>
      <c r="ET339" s="87"/>
      <c r="EU339" s="87"/>
      <c r="EV339" s="87"/>
      <c r="EW339" s="87"/>
      <c r="EX339" s="87"/>
      <c r="EY339" s="87"/>
      <c r="EZ339" s="87"/>
      <c r="FA339" s="87"/>
      <c r="FB339" s="87"/>
      <c r="FC339" s="87"/>
      <c r="FD339" s="87"/>
      <c r="FE339" s="87"/>
      <c r="FF339" s="87"/>
      <c r="FG339" s="87"/>
      <c r="FH339" s="87"/>
      <c r="FI339" s="87"/>
      <c r="FJ339" s="87"/>
      <c r="FK339" s="87"/>
    </row>
    <row r="340" spans="1:167" outlineLevel="1">
      <c r="A340" s="31" t="str">
        <f t="shared" si="29"/>
        <v>modesg_inp_emss_nacescp1_ftr_emss</v>
      </c>
      <c r="B340" s="76" t="s">
        <v>28</v>
      </c>
      <c r="C340" s="77" t="s">
        <v>178</v>
      </c>
      <c r="D340" s="73" t="s">
        <v>40</v>
      </c>
      <c r="E340" s="75" t="s">
        <v>211</v>
      </c>
      <c r="F340" s="73" t="s">
        <v>225</v>
      </c>
      <c r="G340" s="73" t="str">
        <f>INDEX(Auxiliar!$B$16:$B$23,MATCH(Plano_V1!H340,Auxiliar!$C$16:$C$23,0),1)</f>
        <v>1. Concluído</v>
      </c>
      <c r="H340" s="73">
        <f>VLOOKUP(A340,'Aux - pivots1'!$A:$B,2,0)</f>
        <v>1</v>
      </c>
      <c r="I340" s="93">
        <f>SUMIFS(Table1[Estimação (horas)],Table1[Tabela],Plano_V1!E340,Table1[Campo],Plano_V1!F340)</f>
        <v>0.6</v>
      </c>
      <c r="J340" s="93">
        <f t="shared" si="30"/>
        <v>7.4999999999999997E-2</v>
      </c>
      <c r="K340" s="98" t="s">
        <v>39</v>
      </c>
      <c r="L340" s="99">
        <f t="shared" si="28"/>
        <v>7.4999999999999997E-2</v>
      </c>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100"/>
      <c r="AU340" s="87"/>
      <c r="AV340" s="87"/>
      <c r="AW340" s="87"/>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100"/>
      <c r="EJ340" s="100"/>
      <c r="EK340" s="100"/>
      <c r="EL340" s="100"/>
      <c r="EM340" s="100"/>
      <c r="EN340" s="100"/>
      <c r="EO340" s="100"/>
      <c r="EP340" s="87"/>
      <c r="EQ340" s="87"/>
      <c r="ER340" s="87"/>
      <c r="ES340" s="87"/>
      <c r="ET340" s="87"/>
      <c r="EU340" s="87"/>
      <c r="EV340" s="87"/>
      <c r="EW340" s="87"/>
      <c r="EX340" s="87"/>
      <c r="EY340" s="87"/>
      <c r="EZ340" s="87"/>
      <c r="FA340" s="87"/>
      <c r="FB340" s="87"/>
      <c r="FC340" s="87"/>
      <c r="FD340" s="87"/>
      <c r="FE340" s="87"/>
      <c r="FF340" s="87"/>
      <c r="FG340" s="87"/>
      <c r="FH340" s="87"/>
      <c r="FI340" s="87"/>
      <c r="FJ340" s="87"/>
      <c r="FK340" s="87"/>
    </row>
    <row r="341" spans="1:167" outlineLevel="1">
      <c r="A341" s="31" t="str">
        <f t="shared" si="29"/>
        <v>modesg_inp_emss_nacescp2_ftr_emss</v>
      </c>
      <c r="B341" s="76" t="s">
        <v>28</v>
      </c>
      <c r="C341" s="77" t="s">
        <v>178</v>
      </c>
      <c r="D341" s="73" t="s">
        <v>40</v>
      </c>
      <c r="E341" s="75" t="s">
        <v>211</v>
      </c>
      <c r="F341" s="73" t="s">
        <v>226</v>
      </c>
      <c r="G341" s="73" t="str">
        <f>INDEX(Auxiliar!$B$16:$B$23,MATCH(Plano_V1!H341,Auxiliar!$C$16:$C$23,0),1)</f>
        <v>1. Concluído</v>
      </c>
      <c r="H341" s="73">
        <f>VLOOKUP(A341,'Aux - pivots1'!$A:$B,2,0)</f>
        <v>1</v>
      </c>
      <c r="I341" s="93">
        <f>SUMIFS(Table1[Estimação (horas)],Table1[Tabela],Plano_V1!E341,Table1[Campo],Plano_V1!F341)</f>
        <v>0.6</v>
      </c>
      <c r="J341" s="93">
        <f t="shared" si="30"/>
        <v>7.4999999999999997E-2</v>
      </c>
      <c r="K341" s="98" t="s">
        <v>39</v>
      </c>
      <c r="L341" s="99">
        <f t="shared" si="28"/>
        <v>7.4999999999999997E-2</v>
      </c>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100"/>
      <c r="AU341" s="87"/>
      <c r="AV341" s="87"/>
      <c r="AW341" s="87"/>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100"/>
      <c r="EJ341" s="100"/>
      <c r="EK341" s="100"/>
      <c r="EL341" s="100"/>
      <c r="EM341" s="100"/>
      <c r="EN341" s="100"/>
      <c r="EO341" s="100"/>
      <c r="EP341" s="87"/>
      <c r="EQ341" s="87"/>
      <c r="ER341" s="87"/>
      <c r="ES341" s="87"/>
      <c r="ET341" s="87"/>
      <c r="EU341" s="87"/>
      <c r="EV341" s="87"/>
      <c r="EW341" s="87"/>
      <c r="EX341" s="87"/>
      <c r="EY341" s="87"/>
      <c r="EZ341" s="87"/>
      <c r="FA341" s="87"/>
      <c r="FB341" s="87"/>
      <c r="FC341" s="87"/>
      <c r="FD341" s="87"/>
      <c r="FE341" s="87"/>
      <c r="FF341" s="87"/>
      <c r="FG341" s="87"/>
      <c r="FH341" s="87"/>
      <c r="FI341" s="87"/>
      <c r="FJ341" s="87"/>
      <c r="FK341" s="87"/>
    </row>
    <row r="342" spans="1:167" outlineLevel="1">
      <c r="A342" s="31" t="str">
        <f t="shared" si="29"/>
        <v>modesg_inp_emss_nacescp3_ftr_emss</v>
      </c>
      <c r="B342" s="76" t="s">
        <v>28</v>
      </c>
      <c r="C342" s="77" t="s">
        <v>178</v>
      </c>
      <c r="D342" s="73" t="s">
        <v>40</v>
      </c>
      <c r="E342" s="75" t="s">
        <v>211</v>
      </c>
      <c r="F342" s="73" t="s">
        <v>227</v>
      </c>
      <c r="G342" s="73" t="str">
        <f>INDEX(Auxiliar!$B$16:$B$23,MATCH(Plano_V1!H342,Auxiliar!$C$16:$C$23,0),1)</f>
        <v>1. Concluído</v>
      </c>
      <c r="H342" s="73">
        <f>VLOOKUP(A342,'Aux - pivots1'!$A:$B,2,0)</f>
        <v>1</v>
      </c>
      <c r="I342" s="93">
        <f>SUMIFS(Table1[Estimação (horas)],Table1[Tabela],Plano_V1!E342,Table1[Campo],Plano_V1!F342)</f>
        <v>0.6</v>
      </c>
      <c r="J342" s="93">
        <f t="shared" si="30"/>
        <v>7.4999999999999997E-2</v>
      </c>
      <c r="K342" s="98" t="s">
        <v>39</v>
      </c>
      <c r="L342" s="99">
        <f t="shared" si="28"/>
        <v>7.4999999999999997E-2</v>
      </c>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100"/>
      <c r="AU342" s="87"/>
      <c r="AV342" s="87"/>
      <c r="AW342" s="87"/>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100"/>
      <c r="EJ342" s="100"/>
      <c r="EK342" s="100"/>
      <c r="EL342" s="100"/>
      <c r="EM342" s="100"/>
      <c r="EN342" s="100"/>
      <c r="EO342" s="100"/>
      <c r="EP342" s="87"/>
      <c r="EQ342" s="87"/>
      <c r="ER342" s="87"/>
      <c r="ES342" s="87"/>
      <c r="ET342" s="87"/>
      <c r="EU342" s="87"/>
      <c r="EV342" s="87"/>
      <c r="EW342" s="87"/>
      <c r="EX342" s="87"/>
      <c r="EY342" s="87"/>
      <c r="EZ342" s="87"/>
      <c r="FA342" s="87"/>
      <c r="FB342" s="87"/>
      <c r="FC342" s="87"/>
      <c r="FD342" s="87"/>
      <c r="FE342" s="87"/>
      <c r="FF342" s="87"/>
      <c r="FG342" s="87"/>
      <c r="FH342" s="87"/>
      <c r="FI342" s="87"/>
      <c r="FJ342" s="87"/>
      <c r="FK342" s="87"/>
    </row>
    <row r="343" spans="1:167" outlineLevel="1">
      <c r="A343" s="31" t="str">
        <f t="shared" si="29"/>
        <v>modesg_inp_emss_bens_imoveisref_date</v>
      </c>
      <c r="B343" s="76" t="s">
        <v>28</v>
      </c>
      <c r="C343" s="77" t="s">
        <v>178</v>
      </c>
      <c r="D343" s="73" t="s">
        <v>40</v>
      </c>
      <c r="E343" s="75" t="s">
        <v>212</v>
      </c>
      <c r="F343" s="73" t="s">
        <v>73</v>
      </c>
      <c r="G343" s="73" t="str">
        <f>INDEX(Auxiliar!$B$16:$B$23,MATCH(Plano_V1!H343,Auxiliar!$C$16:$C$23,0),1)</f>
        <v>1. Concluído</v>
      </c>
      <c r="H343" s="73">
        <f>VLOOKUP(A343,'Aux - pivots1'!$A:$B,2,0)</f>
        <v>1</v>
      </c>
      <c r="I343" s="93">
        <f>SUMIFS(Table1[Estimação (horas)],Table1[Tabela],Plano_V1!E343,Table1[Campo],Plano_V1!F343)</f>
        <v>0.5</v>
      </c>
      <c r="J343" s="93">
        <f t="shared" si="30"/>
        <v>6.25E-2</v>
      </c>
      <c r="K343" s="98" t="s">
        <v>39</v>
      </c>
      <c r="L343" s="99">
        <f t="shared" si="28"/>
        <v>6.25E-2</v>
      </c>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100"/>
      <c r="AU343" s="87"/>
      <c r="AV343" s="87"/>
      <c r="AW343" s="87"/>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100"/>
      <c r="EJ343" s="100"/>
      <c r="EK343" s="100"/>
      <c r="EL343" s="100"/>
      <c r="EM343" s="100"/>
      <c r="EN343" s="100"/>
      <c r="EO343" s="100"/>
      <c r="EP343" s="87"/>
      <c r="EQ343" s="87"/>
      <c r="ER343" s="87"/>
      <c r="ES343" s="87"/>
      <c r="ET343" s="87"/>
      <c r="EU343" s="87"/>
      <c r="EV343" s="87"/>
      <c r="EW343" s="87"/>
      <c r="EX343" s="87"/>
      <c r="EY343" s="87"/>
      <c r="EZ343" s="87"/>
      <c r="FA343" s="87"/>
      <c r="FB343" s="87"/>
      <c r="FC343" s="87"/>
      <c r="FD343" s="87"/>
      <c r="FE343" s="87"/>
      <c r="FF343" s="87"/>
      <c r="FG343" s="87"/>
      <c r="FH343" s="87"/>
      <c r="FI343" s="87"/>
      <c r="FJ343" s="87"/>
      <c r="FK343" s="87"/>
    </row>
    <row r="344" spans="1:167" outlineLevel="1">
      <c r="A344" s="31" t="str">
        <f t="shared" si="29"/>
        <v>modesg_inp_emss_bens_imoveisnome_pais</v>
      </c>
      <c r="B344" s="76" t="s">
        <v>28</v>
      </c>
      <c r="C344" s="77" t="s">
        <v>178</v>
      </c>
      <c r="D344" s="73" t="s">
        <v>40</v>
      </c>
      <c r="E344" s="75" t="s">
        <v>212</v>
      </c>
      <c r="F344" s="73" t="s">
        <v>214</v>
      </c>
      <c r="G344" s="73" t="str">
        <f>INDEX(Auxiliar!$B$16:$B$23,MATCH(Plano_V1!H344,Auxiliar!$C$16:$C$23,0),1)</f>
        <v>1. Concluído</v>
      </c>
      <c r="H344" s="73">
        <f>VLOOKUP(A344,'Aux - pivots1'!$A:$B,2,0)</f>
        <v>1</v>
      </c>
      <c r="I344" s="93">
        <f>SUMIFS(Table1[Estimação (horas)],Table1[Tabela],Plano_V1!E344,Table1[Campo],Plano_V1!F344)</f>
        <v>0.5</v>
      </c>
      <c r="J344" s="93">
        <f t="shared" si="30"/>
        <v>6.25E-2</v>
      </c>
      <c r="K344" s="98" t="s">
        <v>39</v>
      </c>
      <c r="L344" s="99">
        <f t="shared" si="28"/>
        <v>6.25E-2</v>
      </c>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100"/>
      <c r="AU344" s="87"/>
      <c r="AV344" s="87"/>
      <c r="AW344" s="87"/>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100"/>
      <c r="EJ344" s="100"/>
      <c r="EK344" s="100"/>
      <c r="EL344" s="100"/>
      <c r="EM344" s="100"/>
      <c r="EN344" s="100"/>
      <c r="EO344" s="100"/>
      <c r="EP344" s="87"/>
      <c r="EQ344" s="87"/>
      <c r="ER344" s="87"/>
      <c r="ES344" s="87"/>
      <c r="ET344" s="87"/>
      <c r="EU344" s="87"/>
      <c r="EV344" s="87"/>
      <c r="EW344" s="87"/>
      <c r="EX344" s="87"/>
      <c r="EY344" s="87"/>
      <c r="EZ344" s="87"/>
      <c r="FA344" s="87"/>
      <c r="FB344" s="87"/>
      <c r="FC344" s="87"/>
      <c r="FD344" s="87"/>
      <c r="FE344" s="87"/>
      <c r="FF344" s="87"/>
      <c r="FG344" s="87"/>
      <c r="FH344" s="87"/>
      <c r="FI344" s="87"/>
      <c r="FJ344" s="87"/>
      <c r="FK344" s="87"/>
    </row>
    <row r="345" spans="1:167" outlineLevel="1">
      <c r="A345" s="31" t="str">
        <f t="shared" si="29"/>
        <v>modesg_inp_emss_bens_imoveisnome_estado</v>
      </c>
      <c r="B345" s="76" t="s">
        <v>28</v>
      </c>
      <c r="C345" s="77" t="s">
        <v>178</v>
      </c>
      <c r="D345" s="73" t="s">
        <v>40</v>
      </c>
      <c r="E345" s="75" t="s">
        <v>212</v>
      </c>
      <c r="F345" s="73" t="s">
        <v>215</v>
      </c>
      <c r="G345" s="73" t="str">
        <f>INDEX(Auxiliar!$B$16:$B$23,MATCH(Plano_V1!H345,Auxiliar!$C$16:$C$23,0),1)</f>
        <v>1. Concluído</v>
      </c>
      <c r="H345" s="73">
        <f>VLOOKUP(A345,'Aux - pivots1'!$A:$B,2,0)</f>
        <v>1</v>
      </c>
      <c r="I345" s="93">
        <f>SUMIFS(Table1[Estimação (horas)],Table1[Tabela],Plano_V1!E345,Table1[Campo],Plano_V1!F345)</f>
        <v>0.5</v>
      </c>
      <c r="J345" s="93">
        <f t="shared" si="30"/>
        <v>6.25E-2</v>
      </c>
      <c r="K345" s="98" t="s">
        <v>39</v>
      </c>
      <c r="L345" s="99">
        <f t="shared" si="28"/>
        <v>6.25E-2</v>
      </c>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100"/>
      <c r="AU345" s="87"/>
      <c r="AV345" s="87"/>
      <c r="AW345" s="87"/>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100"/>
      <c r="EJ345" s="100"/>
      <c r="EK345" s="100"/>
      <c r="EL345" s="100"/>
      <c r="EM345" s="100"/>
      <c r="EN345" s="100"/>
      <c r="EO345" s="100"/>
      <c r="EP345" s="87"/>
      <c r="EQ345" s="87"/>
      <c r="ER345" s="87"/>
      <c r="ES345" s="87"/>
      <c r="ET345" s="87"/>
      <c r="EU345" s="87"/>
      <c r="EV345" s="87"/>
      <c r="EW345" s="87"/>
      <c r="EX345" s="87"/>
      <c r="EY345" s="87"/>
      <c r="EZ345" s="87"/>
      <c r="FA345" s="87"/>
      <c r="FB345" s="87"/>
      <c r="FC345" s="87"/>
      <c r="FD345" s="87"/>
      <c r="FE345" s="87"/>
      <c r="FF345" s="87"/>
      <c r="FG345" s="87"/>
      <c r="FH345" s="87"/>
      <c r="FI345" s="87"/>
      <c r="FJ345" s="87"/>
      <c r="FK345" s="87"/>
    </row>
    <row r="346" spans="1:167" outlineLevel="1">
      <c r="A346" s="31" t="str">
        <f t="shared" si="29"/>
        <v>modesg_inp_emss_bens_imoveisasset_class</v>
      </c>
      <c r="B346" s="76" t="s">
        <v>28</v>
      </c>
      <c r="C346" s="77" t="s">
        <v>178</v>
      </c>
      <c r="D346" s="73" t="s">
        <v>40</v>
      </c>
      <c r="E346" s="75" t="s">
        <v>212</v>
      </c>
      <c r="F346" s="73" t="s">
        <v>291</v>
      </c>
      <c r="G346" s="73" t="e">
        <f>INDEX(Auxiliar!$B$16:$B$23,MATCH(Plano_V1!H346,Auxiliar!$C$16:$C$23,0),1)</f>
        <v>#N/A</v>
      </c>
      <c r="H346" s="73" t="e">
        <f>VLOOKUP(A346,'Aux - pivots1'!$A:$B,2,0)</f>
        <v>#N/A</v>
      </c>
      <c r="I346" s="93">
        <f>SUMIFS(Table1[Estimação (horas)],Table1[Tabela],Plano_V1!E346,Table1[Campo],Plano_V1!F346)</f>
        <v>0</v>
      </c>
      <c r="J346" s="93">
        <f t="shared" si="30"/>
        <v>0</v>
      </c>
      <c r="K346" s="98" t="s">
        <v>39</v>
      </c>
      <c r="L346" s="99">
        <f t="shared" ref="L346:L409" si="31">J346-SUM(M346:FK346)</f>
        <v>0</v>
      </c>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100"/>
      <c r="AU346" s="87"/>
      <c r="AV346" s="87"/>
      <c r="AW346" s="87"/>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100"/>
      <c r="EJ346" s="100"/>
      <c r="EK346" s="100"/>
      <c r="EL346" s="100"/>
      <c r="EM346" s="100"/>
      <c r="EN346" s="100"/>
      <c r="EO346" s="100"/>
      <c r="EP346" s="87"/>
      <c r="EQ346" s="87"/>
      <c r="ER346" s="87"/>
      <c r="ES346" s="87"/>
      <c r="ET346" s="87"/>
      <c r="EU346" s="87"/>
      <c r="EV346" s="87"/>
      <c r="EW346" s="87"/>
      <c r="EX346" s="87"/>
      <c r="EY346" s="87"/>
      <c r="EZ346" s="87"/>
      <c r="FA346" s="87"/>
      <c r="FB346" s="87"/>
      <c r="FC346" s="87"/>
      <c r="FD346" s="87"/>
      <c r="FE346" s="87"/>
      <c r="FF346" s="87"/>
      <c r="FG346" s="87"/>
      <c r="FH346" s="87"/>
      <c r="FI346" s="87"/>
      <c r="FJ346" s="87"/>
      <c r="FK346" s="87"/>
    </row>
    <row r="347" spans="1:167" outlineLevel="1">
      <c r="A347" s="31" t="str">
        <f t="shared" si="29"/>
        <v>modesg_inp_emss_bens_imoveisemission_factor_type</v>
      </c>
      <c r="B347" s="76" t="s">
        <v>28</v>
      </c>
      <c r="C347" s="77" t="s">
        <v>178</v>
      </c>
      <c r="D347" s="73" t="s">
        <v>40</v>
      </c>
      <c r="E347" s="75" t="s">
        <v>212</v>
      </c>
      <c r="F347" s="73" t="s">
        <v>294</v>
      </c>
      <c r="G347" s="73" t="e">
        <f>INDEX(Auxiliar!$B$16:$B$23,MATCH(Plano_V1!H347,Auxiliar!$C$16:$C$23,0),1)</f>
        <v>#N/A</v>
      </c>
      <c r="H347" s="73" t="e">
        <f>VLOOKUP(A347,'Aux - pivots1'!$A:$B,2,0)</f>
        <v>#N/A</v>
      </c>
      <c r="I347" s="93">
        <f>SUMIFS(Table1[Estimação (horas)],Table1[Tabela],Plano_V1!E347,Table1[Campo],Plano_V1!F347)</f>
        <v>0</v>
      </c>
      <c r="J347" s="93">
        <f t="shared" si="30"/>
        <v>0</v>
      </c>
      <c r="K347" s="98" t="s">
        <v>39</v>
      </c>
      <c r="L347" s="99">
        <f t="shared" si="31"/>
        <v>0</v>
      </c>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100"/>
      <c r="AU347" s="87"/>
      <c r="AV347" s="87"/>
      <c r="AW347" s="87"/>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100"/>
      <c r="EJ347" s="100"/>
      <c r="EK347" s="100"/>
      <c r="EL347" s="100"/>
      <c r="EM347" s="100"/>
      <c r="EN347" s="100"/>
      <c r="EO347" s="100"/>
      <c r="EP347" s="87"/>
      <c r="EQ347" s="87"/>
      <c r="ER347" s="87"/>
      <c r="ES347" s="87"/>
      <c r="ET347" s="87"/>
      <c r="EU347" s="87"/>
      <c r="EV347" s="87"/>
      <c r="EW347" s="87"/>
      <c r="EX347" s="87"/>
      <c r="EY347" s="87"/>
      <c r="EZ347" s="87"/>
      <c r="FA347" s="87"/>
      <c r="FB347" s="87"/>
      <c r="FC347" s="87"/>
      <c r="FD347" s="87"/>
      <c r="FE347" s="87"/>
      <c r="FF347" s="87"/>
      <c r="FG347" s="87"/>
      <c r="FH347" s="87"/>
      <c r="FI347" s="87"/>
      <c r="FJ347" s="87"/>
      <c r="FK347" s="87"/>
    </row>
    <row r="348" spans="1:167" outlineLevel="1">
      <c r="A348" s="31" t="str">
        <f t="shared" si="29"/>
        <v>modesg_inp_emss_bens_imoveisnome_regiao</v>
      </c>
      <c r="B348" s="76" t="s">
        <v>28</v>
      </c>
      <c r="C348" s="77" t="s">
        <v>178</v>
      </c>
      <c r="D348" s="73" t="s">
        <v>40</v>
      </c>
      <c r="E348" s="75" t="s">
        <v>212</v>
      </c>
      <c r="F348" s="73" t="s">
        <v>213</v>
      </c>
      <c r="G348" s="73" t="e">
        <f>INDEX(Auxiliar!$B$16:$B$23,MATCH(Plano_V1!H348,Auxiliar!$C$16:$C$23,0),1)</f>
        <v>#N/A</v>
      </c>
      <c r="H348" s="73" t="e">
        <f>VLOOKUP(A348,'Aux - pivots1'!$A:$B,2,0)</f>
        <v>#N/A</v>
      </c>
      <c r="I348" s="93">
        <f>SUMIFS(Table1[Estimação (horas)],Table1[Tabela],Plano_V1!E348,Table1[Campo],Plano_V1!F348)</f>
        <v>0</v>
      </c>
      <c r="J348" s="93">
        <f t="shared" si="30"/>
        <v>0</v>
      </c>
      <c r="K348" s="98" t="s">
        <v>39</v>
      </c>
      <c r="L348" s="99">
        <f t="shared" si="31"/>
        <v>0</v>
      </c>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100"/>
      <c r="AU348" s="87"/>
      <c r="AV348" s="87"/>
      <c r="AW348" s="87"/>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100"/>
      <c r="EJ348" s="100"/>
      <c r="EK348" s="100"/>
      <c r="EL348" s="100"/>
      <c r="EM348" s="100"/>
      <c r="EN348" s="100"/>
      <c r="EO348" s="100"/>
      <c r="EP348" s="87"/>
      <c r="EQ348" s="87"/>
      <c r="ER348" s="87"/>
      <c r="ES348" s="87"/>
      <c r="ET348" s="87"/>
      <c r="EU348" s="87"/>
      <c r="EV348" s="87"/>
      <c r="EW348" s="87"/>
      <c r="EX348" s="87"/>
      <c r="EY348" s="87"/>
      <c r="EZ348" s="87"/>
      <c r="FA348" s="87"/>
      <c r="FB348" s="87"/>
      <c r="FC348" s="87"/>
      <c r="FD348" s="87"/>
      <c r="FE348" s="87"/>
      <c r="FF348" s="87"/>
      <c r="FG348" s="87"/>
      <c r="FH348" s="87"/>
      <c r="FI348" s="87"/>
      <c r="FJ348" s="87"/>
      <c r="FK348" s="87"/>
    </row>
    <row r="349" spans="1:167" outlineLevel="1">
      <c r="A349" s="31" t="str">
        <f t="shared" ref="A349:A412" si="32">E349&amp;F349</f>
        <v>modesg_inp_emss_bens_imoveistipo_bem</v>
      </c>
      <c r="B349" s="76" t="s">
        <v>28</v>
      </c>
      <c r="C349" s="77" t="s">
        <v>178</v>
      </c>
      <c r="D349" s="73" t="s">
        <v>40</v>
      </c>
      <c r="E349" s="75" t="s">
        <v>212</v>
      </c>
      <c r="F349" s="73" t="s">
        <v>295</v>
      </c>
      <c r="G349" s="73" t="str">
        <f>INDEX(Auxiliar!$B$16:$B$23,MATCH(Plano_V1!H349,Auxiliar!$C$16:$C$23,0),1)</f>
        <v>1. Concluído</v>
      </c>
      <c r="H349" s="73">
        <f>VLOOKUP(A349,'Aux - pivots1'!$A:$B,2,0)</f>
        <v>1</v>
      </c>
      <c r="I349" s="93">
        <f>SUMIFS(Table1[Estimação (horas)],Table1[Tabela],Plano_V1!E349,Table1[Campo],Plano_V1!F349)</f>
        <v>0.5</v>
      </c>
      <c r="J349" s="93">
        <f t="shared" si="30"/>
        <v>6.25E-2</v>
      </c>
      <c r="K349" s="98" t="s">
        <v>39</v>
      </c>
      <c r="L349" s="99">
        <f t="shared" si="31"/>
        <v>6.25E-2</v>
      </c>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100"/>
      <c r="AU349" s="87"/>
      <c r="AV349" s="87"/>
      <c r="AW349" s="87"/>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100"/>
      <c r="EJ349" s="100"/>
      <c r="EK349" s="100"/>
      <c r="EL349" s="100"/>
      <c r="EM349" s="100"/>
      <c r="EN349" s="100"/>
      <c r="EO349" s="100"/>
      <c r="EP349" s="87"/>
      <c r="EQ349" s="87"/>
      <c r="ER349" s="87"/>
      <c r="ES349" s="87"/>
      <c r="ET349" s="87"/>
      <c r="EU349" s="87"/>
      <c r="EV349" s="87"/>
      <c r="EW349" s="87"/>
      <c r="EX349" s="87"/>
      <c r="EY349" s="87"/>
      <c r="EZ349" s="87"/>
      <c r="FA349" s="87"/>
      <c r="FB349" s="87"/>
      <c r="FC349" s="87"/>
      <c r="FD349" s="87"/>
      <c r="FE349" s="87"/>
      <c r="FF349" s="87"/>
      <c r="FG349" s="87"/>
      <c r="FH349" s="87"/>
      <c r="FI349" s="87"/>
      <c r="FJ349" s="87"/>
      <c r="FK349" s="87"/>
    </row>
    <row r="350" spans="1:167" outlineLevel="1">
      <c r="A350" s="31" t="str">
        <f t="shared" si="32"/>
        <v>modesg_inp_emss_bens_imoveistipo_finalidade_bem</v>
      </c>
      <c r="B350" s="76" t="s">
        <v>28</v>
      </c>
      <c r="C350" s="77" t="s">
        <v>178</v>
      </c>
      <c r="D350" s="73" t="s">
        <v>40</v>
      </c>
      <c r="E350" s="75" t="s">
        <v>212</v>
      </c>
      <c r="F350" s="73" t="s">
        <v>296</v>
      </c>
      <c r="G350" s="73" t="str">
        <f>INDEX(Auxiliar!$B$16:$B$23,MATCH(Plano_V1!H350,Auxiliar!$C$16:$C$23,0),1)</f>
        <v>1. Concluído</v>
      </c>
      <c r="H350" s="73">
        <f>VLOOKUP(A350,'Aux - pivots1'!$A:$B,2,0)</f>
        <v>1</v>
      </c>
      <c r="I350" s="93">
        <f>SUMIFS(Table1[Estimação (horas)],Table1[Tabela],Plano_V1!E350,Table1[Campo],Plano_V1!F350)</f>
        <v>0.5</v>
      </c>
      <c r="J350" s="93">
        <f t="shared" si="30"/>
        <v>6.25E-2</v>
      </c>
      <c r="K350" s="98" t="s">
        <v>39</v>
      </c>
      <c r="L350" s="99">
        <f t="shared" si="31"/>
        <v>6.25E-2</v>
      </c>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100"/>
      <c r="AU350" s="87"/>
      <c r="AV350" s="87"/>
      <c r="AW350" s="87"/>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100"/>
      <c r="EJ350" s="100"/>
      <c r="EK350" s="100"/>
      <c r="EL350" s="100"/>
      <c r="EM350" s="100"/>
      <c r="EN350" s="100"/>
      <c r="EO350" s="100"/>
      <c r="EP350" s="87"/>
      <c r="EQ350" s="87"/>
      <c r="ER350" s="87"/>
      <c r="ES350" s="87"/>
      <c r="ET350" s="87"/>
      <c r="EU350" s="87"/>
      <c r="EV350" s="87"/>
      <c r="EW350" s="87"/>
      <c r="EX350" s="87"/>
      <c r="EY350" s="87"/>
      <c r="EZ350" s="87"/>
      <c r="FA350" s="87"/>
      <c r="FB350" s="87"/>
      <c r="FC350" s="87"/>
      <c r="FD350" s="87"/>
      <c r="FE350" s="87"/>
      <c r="FF350" s="87"/>
      <c r="FG350" s="87"/>
      <c r="FH350" s="87"/>
      <c r="FI350" s="87"/>
      <c r="FJ350" s="87"/>
      <c r="FK350" s="87"/>
    </row>
    <row r="351" spans="1:167" outlineLevel="1">
      <c r="A351" s="31" t="str">
        <f t="shared" si="32"/>
        <v>modesg_inp_emss_bens_imoveisepc</v>
      </c>
      <c r="B351" s="76" t="s">
        <v>28</v>
      </c>
      <c r="C351" s="77" t="s">
        <v>178</v>
      </c>
      <c r="D351" s="73" t="s">
        <v>40</v>
      </c>
      <c r="E351" s="75" t="s">
        <v>212</v>
      </c>
      <c r="F351" s="73" t="s">
        <v>47</v>
      </c>
      <c r="G351" s="73" t="str">
        <f>INDEX(Auxiliar!$B$16:$B$23,MATCH(Plano_V1!H351,Auxiliar!$C$16:$C$23,0),1)</f>
        <v>1. Concluído</v>
      </c>
      <c r="H351" s="73">
        <f>VLOOKUP(A351,'Aux - pivots1'!$A:$B,2,0)</f>
        <v>1</v>
      </c>
      <c r="I351" s="93">
        <f>SUMIFS(Table1[Estimação (horas)],Table1[Tabela],Plano_V1!E351,Table1[Campo],Plano_V1!F351)</f>
        <v>0.5</v>
      </c>
      <c r="J351" s="93">
        <f t="shared" si="30"/>
        <v>6.25E-2</v>
      </c>
      <c r="K351" s="98" t="s">
        <v>39</v>
      </c>
      <c r="L351" s="99">
        <f t="shared" si="31"/>
        <v>6.25E-2</v>
      </c>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100"/>
      <c r="AU351" s="87"/>
      <c r="AV351" s="87"/>
      <c r="AW351" s="87"/>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100"/>
      <c r="EJ351" s="100"/>
      <c r="EK351" s="100"/>
      <c r="EL351" s="100"/>
      <c r="EM351" s="100"/>
      <c r="EN351" s="100"/>
      <c r="EO351" s="100"/>
      <c r="EP351" s="87"/>
      <c r="EQ351" s="87"/>
      <c r="ER351" s="87"/>
      <c r="ES351" s="87"/>
      <c r="ET351" s="87"/>
      <c r="EU351" s="87"/>
      <c r="EV351" s="87"/>
      <c r="EW351" s="87"/>
      <c r="EX351" s="87"/>
      <c r="EY351" s="87"/>
      <c r="EZ351" s="87"/>
      <c r="FA351" s="87"/>
      <c r="FB351" s="87"/>
      <c r="FC351" s="87"/>
      <c r="FD351" s="87"/>
      <c r="FE351" s="87"/>
      <c r="FF351" s="87"/>
      <c r="FG351" s="87"/>
      <c r="FH351" s="87"/>
      <c r="FI351" s="87"/>
      <c r="FJ351" s="87"/>
      <c r="FK351" s="87"/>
    </row>
    <row r="352" spans="1:167" outlineLevel="1">
      <c r="A352" s="31" t="str">
        <f t="shared" si="32"/>
        <v>modesg_inp_emss_bens_imoveisflg_ftr_emss_area</v>
      </c>
      <c r="B352" s="76" t="s">
        <v>28</v>
      </c>
      <c r="C352" s="77" t="s">
        <v>178</v>
      </c>
      <c r="D352" s="73" t="s">
        <v>40</v>
      </c>
      <c r="E352" s="75" t="s">
        <v>212</v>
      </c>
      <c r="F352" s="73" t="s">
        <v>297</v>
      </c>
      <c r="G352" s="73" t="str">
        <f>INDEX(Auxiliar!$B$16:$B$23,MATCH(Plano_V1!H352,Auxiliar!$C$16:$C$23,0),1)</f>
        <v>0. Cancelado</v>
      </c>
      <c r="H352" s="73">
        <f>VLOOKUP(A352,'Aux - pivots1'!$A:$B,2,0)</f>
        <v>0</v>
      </c>
      <c r="I352" s="93">
        <f>SUMIFS(Table1[Estimação (horas)],Table1[Tabela],Plano_V1!E352,Table1[Campo],Plano_V1!F352)</f>
        <v>0.5</v>
      </c>
      <c r="J352" s="93">
        <f t="shared" si="30"/>
        <v>6.25E-2</v>
      </c>
      <c r="K352" s="98" t="s">
        <v>39</v>
      </c>
      <c r="L352" s="99">
        <f t="shared" si="31"/>
        <v>6.25E-2</v>
      </c>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100"/>
      <c r="AU352" s="87"/>
      <c r="AV352" s="87"/>
      <c r="AW352" s="87"/>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100"/>
      <c r="EJ352" s="100"/>
      <c r="EK352" s="100"/>
      <c r="EL352" s="100"/>
      <c r="EM352" s="100"/>
      <c r="EN352" s="100"/>
      <c r="EO352" s="100"/>
      <c r="EP352" s="87"/>
      <c r="EQ352" s="87"/>
      <c r="ER352" s="87"/>
      <c r="ES352" s="87"/>
      <c r="ET352" s="87"/>
      <c r="EU352" s="87"/>
      <c r="EV352" s="87"/>
      <c r="EW352" s="87"/>
      <c r="EX352" s="87"/>
      <c r="EY352" s="87"/>
      <c r="EZ352" s="87"/>
      <c r="FA352" s="87"/>
      <c r="FB352" s="87"/>
      <c r="FC352" s="87"/>
      <c r="FD352" s="87"/>
      <c r="FE352" s="87"/>
      <c r="FF352" s="87"/>
      <c r="FG352" s="87"/>
      <c r="FH352" s="87"/>
      <c r="FI352" s="87"/>
      <c r="FJ352" s="87"/>
      <c r="FK352" s="87"/>
    </row>
    <row r="353" spans="1:167" outlineLevel="1">
      <c r="A353" s="31" t="str">
        <f t="shared" si="32"/>
        <v>modesg_inp_emss_bens_imoveisnome_unidade_funcional</v>
      </c>
      <c r="B353" s="76" t="s">
        <v>28</v>
      </c>
      <c r="C353" s="77" t="s">
        <v>178</v>
      </c>
      <c r="D353" s="73" t="s">
        <v>40</v>
      </c>
      <c r="E353" s="75" t="s">
        <v>212</v>
      </c>
      <c r="F353" s="73" t="s">
        <v>221</v>
      </c>
      <c r="G353" s="73" t="str">
        <f>INDEX(Auxiliar!$B$16:$B$23,MATCH(Plano_V1!H353,Auxiliar!$C$16:$C$23,0),1)</f>
        <v>1. Concluído</v>
      </c>
      <c r="H353" s="73">
        <f>VLOOKUP(A353,'Aux - pivots1'!$A:$B,2,0)</f>
        <v>1</v>
      </c>
      <c r="I353" s="93">
        <f>SUMIFS(Table1[Estimação (horas)],Table1[Tabela],Plano_V1!E353,Table1[Campo],Plano_V1!F353)</f>
        <v>0.5</v>
      </c>
      <c r="J353" s="93">
        <f t="shared" si="30"/>
        <v>6.25E-2</v>
      </c>
      <c r="K353" s="98" t="s">
        <v>39</v>
      </c>
      <c r="L353" s="99">
        <f t="shared" si="31"/>
        <v>6.25E-2</v>
      </c>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100"/>
      <c r="AU353" s="87"/>
      <c r="AV353" s="87"/>
      <c r="AW353" s="87"/>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100"/>
      <c r="EJ353" s="100"/>
      <c r="EK353" s="100"/>
      <c r="EL353" s="100"/>
      <c r="EM353" s="100"/>
      <c r="EN353" s="100"/>
      <c r="EO353" s="100"/>
      <c r="EP353" s="87"/>
      <c r="EQ353" s="87"/>
      <c r="ER353" s="87"/>
      <c r="ES353" s="87"/>
      <c r="ET353" s="87"/>
      <c r="EU353" s="87"/>
      <c r="EV353" s="87"/>
      <c r="EW353" s="87"/>
      <c r="EX353" s="87"/>
      <c r="EY353" s="87"/>
      <c r="EZ353" s="87"/>
      <c r="FA353" s="87"/>
      <c r="FB353" s="87"/>
      <c r="FC353" s="87"/>
      <c r="FD353" s="87"/>
      <c r="FE353" s="87"/>
      <c r="FF353" s="87"/>
      <c r="FG353" s="87"/>
      <c r="FH353" s="87"/>
      <c r="FI353" s="87"/>
      <c r="FJ353" s="87"/>
      <c r="FK353" s="87"/>
    </row>
    <row r="354" spans="1:167" outlineLevel="1">
      <c r="A354" s="31" t="str">
        <f t="shared" si="32"/>
        <v>modesg_inp_emss_bens_imoveisunidade_funcional</v>
      </c>
      <c r="B354" s="76" t="s">
        <v>28</v>
      </c>
      <c r="C354" s="77" t="s">
        <v>178</v>
      </c>
      <c r="D354" s="73" t="s">
        <v>40</v>
      </c>
      <c r="E354" s="75" t="s">
        <v>212</v>
      </c>
      <c r="F354" s="73" t="s">
        <v>222</v>
      </c>
      <c r="G354" s="73" t="str">
        <f>INDEX(Auxiliar!$B$16:$B$23,MATCH(Plano_V1!H354,Auxiliar!$C$16:$C$23,0),1)</f>
        <v>1. Concluído</v>
      </c>
      <c r="H354" s="73">
        <f>VLOOKUP(A354,'Aux - pivots1'!$A:$B,2,0)</f>
        <v>1</v>
      </c>
      <c r="I354" s="93">
        <f>SUMIFS(Table1[Estimação (horas)],Table1[Tabela],Plano_V1!E354,Table1[Campo],Plano_V1!F354)</f>
        <v>0.5</v>
      </c>
      <c r="J354" s="93">
        <f t="shared" si="30"/>
        <v>6.25E-2</v>
      </c>
      <c r="K354" s="98" t="s">
        <v>39</v>
      </c>
      <c r="L354" s="99">
        <f t="shared" si="31"/>
        <v>6.25E-2</v>
      </c>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100"/>
      <c r="AU354" s="87"/>
      <c r="AV354" s="87"/>
      <c r="AW354" s="87"/>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100"/>
      <c r="EJ354" s="100"/>
      <c r="EK354" s="100"/>
      <c r="EL354" s="100"/>
      <c r="EM354" s="100"/>
      <c r="EN354" s="100"/>
      <c r="EO354" s="100"/>
      <c r="EP354" s="87"/>
      <c r="EQ354" s="87"/>
      <c r="ER354" s="87"/>
      <c r="ES354" s="87"/>
      <c r="ET354" s="87"/>
      <c r="EU354" s="87"/>
      <c r="EV354" s="87"/>
      <c r="EW354" s="87"/>
      <c r="EX354" s="87"/>
      <c r="EY354" s="87"/>
      <c r="EZ354" s="87"/>
      <c r="FA354" s="87"/>
      <c r="FB354" s="87"/>
      <c r="FC354" s="87"/>
      <c r="FD354" s="87"/>
      <c r="FE354" s="87"/>
      <c r="FF354" s="87"/>
      <c r="FG354" s="87"/>
      <c r="FH354" s="87"/>
      <c r="FI354" s="87"/>
      <c r="FJ354" s="87"/>
      <c r="FK354" s="87"/>
    </row>
    <row r="355" spans="1:167" outlineLevel="1">
      <c r="A355" s="31" t="str">
        <f t="shared" si="32"/>
        <v>modesg_inp_emss_bens_imoveisnome_fator_emissao</v>
      </c>
      <c r="B355" s="76" t="s">
        <v>28</v>
      </c>
      <c r="C355" s="77" t="s">
        <v>178</v>
      </c>
      <c r="D355" s="73" t="s">
        <v>40</v>
      </c>
      <c r="E355" s="75" t="s">
        <v>212</v>
      </c>
      <c r="F355" s="73" t="s">
        <v>223</v>
      </c>
      <c r="G355" s="73" t="str">
        <f>INDEX(Auxiliar!$B$16:$B$23,MATCH(Plano_V1!H355,Auxiliar!$C$16:$C$23,0),1)</f>
        <v>1. Concluído</v>
      </c>
      <c r="H355" s="73">
        <f>VLOOKUP(A355,'Aux - pivots1'!$A:$B,2,0)</f>
        <v>1</v>
      </c>
      <c r="I355" s="93">
        <f>SUMIFS(Table1[Estimação (horas)],Table1[Tabela],Plano_V1!E355,Table1[Campo],Plano_V1!F355)</f>
        <v>0.5</v>
      </c>
      <c r="J355" s="93">
        <f t="shared" si="30"/>
        <v>6.25E-2</v>
      </c>
      <c r="K355" s="98" t="s">
        <v>39</v>
      </c>
      <c r="L355" s="99">
        <f t="shared" si="31"/>
        <v>6.25E-2</v>
      </c>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100"/>
      <c r="AU355" s="87"/>
      <c r="AV355" s="87"/>
      <c r="AW355" s="87"/>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100"/>
      <c r="EJ355" s="100"/>
      <c r="EK355" s="100"/>
      <c r="EL355" s="100"/>
      <c r="EM355" s="100"/>
      <c r="EN355" s="100"/>
      <c r="EO355" s="100"/>
      <c r="EP355" s="87"/>
      <c r="EQ355" s="87"/>
      <c r="ER355" s="87"/>
      <c r="ES355" s="87"/>
      <c r="ET355" s="87"/>
      <c r="EU355" s="87"/>
      <c r="EV355" s="87"/>
      <c r="EW355" s="87"/>
      <c r="EX355" s="87"/>
      <c r="EY355" s="87"/>
      <c r="EZ355" s="87"/>
      <c r="FA355" s="87"/>
      <c r="FB355" s="87"/>
      <c r="FC355" s="87"/>
      <c r="FD355" s="87"/>
      <c r="FE355" s="87"/>
      <c r="FF355" s="87"/>
      <c r="FG355" s="87"/>
      <c r="FH355" s="87"/>
      <c r="FI355" s="87"/>
      <c r="FJ355" s="87"/>
      <c r="FK355" s="87"/>
    </row>
    <row r="356" spans="1:167" outlineLevel="1">
      <c r="A356" s="31" t="str">
        <f t="shared" si="32"/>
        <v>modesg_inp_emss_bens_imoveisunidade_fator_emissao</v>
      </c>
      <c r="B356" s="76" t="s">
        <v>28</v>
      </c>
      <c r="C356" s="77" t="s">
        <v>178</v>
      </c>
      <c r="D356" s="73" t="s">
        <v>40</v>
      </c>
      <c r="E356" s="75" t="s">
        <v>212</v>
      </c>
      <c r="F356" s="73" t="s">
        <v>298</v>
      </c>
      <c r="G356" s="73" t="e">
        <f>INDEX(Auxiliar!$B$16:$B$23,MATCH(Plano_V1!H356,Auxiliar!$C$16:$C$23,0),1)</f>
        <v>#N/A</v>
      </c>
      <c r="H356" s="73" t="e">
        <f>VLOOKUP(A356,'Aux - pivots1'!$A:$B,2,0)</f>
        <v>#N/A</v>
      </c>
      <c r="I356" s="93">
        <f>SUMIFS(Table1[Estimação (horas)],Table1[Tabela],Plano_V1!E356,Table1[Campo],Plano_V1!F356)</f>
        <v>0</v>
      </c>
      <c r="J356" s="93">
        <f t="shared" si="30"/>
        <v>0</v>
      </c>
      <c r="K356" s="98" t="s">
        <v>39</v>
      </c>
      <c r="L356" s="99">
        <f t="shared" si="31"/>
        <v>0</v>
      </c>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100"/>
      <c r="AU356" s="87"/>
      <c r="AV356" s="87"/>
      <c r="AW356" s="87"/>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100"/>
      <c r="EJ356" s="100"/>
      <c r="EK356" s="100"/>
      <c r="EL356" s="100"/>
      <c r="EM356" s="100"/>
      <c r="EN356" s="100"/>
      <c r="EO356" s="100"/>
      <c r="EP356" s="87"/>
      <c r="EQ356" s="87"/>
      <c r="ER356" s="87"/>
      <c r="ES356" s="87"/>
      <c r="ET356" s="87"/>
      <c r="EU356" s="87"/>
      <c r="EV356" s="87"/>
      <c r="EW356" s="87"/>
      <c r="EX356" s="87"/>
      <c r="EY356" s="87"/>
      <c r="EZ356" s="87"/>
      <c r="FA356" s="87"/>
      <c r="FB356" s="87"/>
      <c r="FC356" s="87"/>
      <c r="FD356" s="87"/>
      <c r="FE356" s="87"/>
      <c r="FF356" s="87"/>
      <c r="FG356" s="87"/>
      <c r="FH356" s="87"/>
      <c r="FI356" s="87"/>
      <c r="FJ356" s="87"/>
      <c r="FK356" s="87"/>
    </row>
    <row r="357" spans="1:167" outlineLevel="1">
      <c r="A357" s="31" t="str">
        <f t="shared" si="32"/>
        <v>modesg_inp_emss_bens_imoveisscore_qualidade</v>
      </c>
      <c r="B357" s="76" t="s">
        <v>28</v>
      </c>
      <c r="C357" s="77" t="s">
        <v>178</v>
      </c>
      <c r="D357" s="73" t="s">
        <v>40</v>
      </c>
      <c r="E357" s="75" t="s">
        <v>212</v>
      </c>
      <c r="F357" s="73" t="s">
        <v>50</v>
      </c>
      <c r="G357" s="73" t="str">
        <f>INDEX(Auxiliar!$B$16:$B$23,MATCH(Plano_V1!H357,Auxiliar!$C$16:$C$23,0),1)</f>
        <v>1. Concluído</v>
      </c>
      <c r="H357" s="73">
        <f>VLOOKUP(A357,'Aux - pivots1'!$A:$B,2,0)</f>
        <v>1</v>
      </c>
      <c r="I357" s="93">
        <f>SUMIFS(Table1[Estimação (horas)],Table1[Tabela],Plano_V1!E357,Table1[Campo],Plano_V1!F357)</f>
        <v>0.5</v>
      </c>
      <c r="J357" s="93">
        <f t="shared" si="30"/>
        <v>6.25E-2</v>
      </c>
      <c r="K357" s="98" t="s">
        <v>39</v>
      </c>
      <c r="L357" s="99">
        <f t="shared" si="31"/>
        <v>6.25E-2</v>
      </c>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100"/>
      <c r="AU357" s="87"/>
      <c r="AV357" s="87"/>
      <c r="AW357" s="87"/>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100"/>
      <c r="EJ357" s="100"/>
      <c r="EK357" s="100"/>
      <c r="EL357" s="100"/>
      <c r="EM357" s="100"/>
      <c r="EN357" s="100"/>
      <c r="EO357" s="100"/>
      <c r="EP357" s="87"/>
      <c r="EQ357" s="87"/>
      <c r="ER357" s="87"/>
      <c r="ES357" s="87"/>
      <c r="ET357" s="87"/>
      <c r="EU357" s="87"/>
      <c r="EV357" s="87"/>
      <c r="EW357" s="87"/>
      <c r="EX357" s="87"/>
      <c r="EY357" s="87"/>
      <c r="EZ357" s="87"/>
      <c r="FA357" s="87"/>
      <c r="FB357" s="87"/>
      <c r="FC357" s="87"/>
      <c r="FD357" s="87"/>
      <c r="FE357" s="87"/>
      <c r="FF357" s="87"/>
      <c r="FG357" s="87"/>
      <c r="FH357" s="87"/>
      <c r="FI357" s="87"/>
      <c r="FJ357" s="87"/>
      <c r="FK357" s="87"/>
    </row>
    <row r="358" spans="1:167" outlineLevel="1">
      <c r="A358" s="31" t="str">
        <f t="shared" si="32"/>
        <v>modesg_inp_emss_bens_imoveisscp_ftr_emss_ano1</v>
      </c>
      <c r="B358" s="76" t="s">
        <v>28</v>
      </c>
      <c r="C358" s="77" t="s">
        <v>178</v>
      </c>
      <c r="D358" s="73" t="s">
        <v>40</v>
      </c>
      <c r="E358" s="75" t="s">
        <v>212</v>
      </c>
      <c r="F358" s="73" t="s">
        <v>299</v>
      </c>
      <c r="G358" s="73" t="e">
        <f>INDEX(Auxiliar!$B$16:$B$23,MATCH(Plano_V1!H358,Auxiliar!$C$16:$C$23,0),1)</f>
        <v>#N/A</v>
      </c>
      <c r="H358" s="73" t="e">
        <f>VLOOKUP(A358,'Aux - pivots1'!$A:$B,2,0)</f>
        <v>#N/A</v>
      </c>
      <c r="I358" s="93">
        <f>SUMIFS(Table1[Estimação (horas)],Table1[Tabela],Plano_V1!E358,Table1[Campo],Plano_V1!F358)</f>
        <v>0</v>
      </c>
      <c r="J358" s="93">
        <f t="shared" si="30"/>
        <v>0</v>
      </c>
      <c r="K358" s="98" t="s">
        <v>39</v>
      </c>
      <c r="L358" s="99">
        <f t="shared" si="31"/>
        <v>0</v>
      </c>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100"/>
      <c r="AU358" s="87"/>
      <c r="AV358" s="87"/>
      <c r="AW358" s="87"/>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100"/>
      <c r="EJ358" s="100"/>
      <c r="EK358" s="100"/>
      <c r="EL358" s="100"/>
      <c r="EM358" s="100"/>
      <c r="EN358" s="100"/>
      <c r="EO358" s="100"/>
      <c r="EP358" s="87"/>
      <c r="EQ358" s="87"/>
      <c r="ER358" s="87"/>
      <c r="ES358" s="87"/>
      <c r="ET358" s="87"/>
      <c r="EU358" s="87"/>
      <c r="EV358" s="87"/>
      <c r="EW358" s="87"/>
      <c r="EX358" s="87"/>
      <c r="EY358" s="87"/>
      <c r="EZ358" s="87"/>
      <c r="FA358" s="87"/>
      <c r="FB358" s="87"/>
      <c r="FC358" s="87"/>
      <c r="FD358" s="87"/>
      <c r="FE358" s="87"/>
      <c r="FF358" s="87"/>
      <c r="FG358" s="87"/>
      <c r="FH358" s="87"/>
      <c r="FI358" s="87"/>
      <c r="FJ358" s="87"/>
      <c r="FK358" s="87"/>
    </row>
    <row r="359" spans="1:167" outlineLevel="1">
      <c r="A359" s="31" t="str">
        <f t="shared" si="32"/>
        <v>modesg_inp_emss_bens_imoveisscp1_ftr_emss</v>
      </c>
      <c r="B359" s="76" t="s">
        <v>28</v>
      </c>
      <c r="C359" s="77" t="s">
        <v>178</v>
      </c>
      <c r="D359" s="73" t="s">
        <v>40</v>
      </c>
      <c r="E359" s="75" t="s">
        <v>212</v>
      </c>
      <c r="F359" s="73" t="s">
        <v>225</v>
      </c>
      <c r="G359" s="73" t="str">
        <f>INDEX(Auxiliar!$B$16:$B$23,MATCH(Plano_V1!H359,Auxiliar!$C$16:$C$23,0),1)</f>
        <v>1. Concluído</v>
      </c>
      <c r="H359" s="73">
        <f>VLOOKUP(A359,'Aux - pivots1'!$A:$B,2,0)</f>
        <v>1</v>
      </c>
      <c r="I359" s="93">
        <f>SUMIFS(Table1[Estimação (horas)],Table1[Tabela],Plano_V1!E359,Table1[Campo],Plano_V1!F359)</f>
        <v>0.6</v>
      </c>
      <c r="J359" s="93">
        <f t="shared" si="30"/>
        <v>7.4999999999999997E-2</v>
      </c>
      <c r="K359" s="98" t="s">
        <v>39</v>
      </c>
      <c r="L359" s="99">
        <f t="shared" si="31"/>
        <v>7.4999999999999997E-2</v>
      </c>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100"/>
      <c r="AU359" s="87"/>
      <c r="AV359" s="87"/>
      <c r="AW359" s="87"/>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100"/>
      <c r="EJ359" s="100"/>
      <c r="EK359" s="100"/>
      <c r="EL359" s="100"/>
      <c r="EM359" s="100"/>
      <c r="EN359" s="100"/>
      <c r="EO359" s="100"/>
      <c r="EP359" s="87"/>
      <c r="EQ359" s="87"/>
      <c r="ER359" s="87"/>
      <c r="ES359" s="87"/>
      <c r="ET359" s="87"/>
      <c r="EU359" s="87"/>
      <c r="EV359" s="87"/>
      <c r="EW359" s="87"/>
      <c r="EX359" s="87"/>
      <c r="EY359" s="87"/>
      <c r="EZ359" s="87"/>
      <c r="FA359" s="87"/>
      <c r="FB359" s="87"/>
      <c r="FC359" s="87"/>
      <c r="FD359" s="87"/>
      <c r="FE359" s="87"/>
      <c r="FF359" s="87"/>
      <c r="FG359" s="87"/>
      <c r="FH359" s="87"/>
      <c r="FI359" s="87"/>
      <c r="FJ359" s="87"/>
      <c r="FK359" s="87"/>
    </row>
    <row r="360" spans="1:167" outlineLevel="1">
      <c r="A360" s="31" t="str">
        <f t="shared" si="32"/>
        <v>modesg_inp_emss_bens_imoveisscp2_ftr_emss</v>
      </c>
      <c r="B360" s="76" t="s">
        <v>28</v>
      </c>
      <c r="C360" s="77" t="s">
        <v>178</v>
      </c>
      <c r="D360" s="73" t="s">
        <v>40</v>
      </c>
      <c r="E360" s="75" t="s">
        <v>212</v>
      </c>
      <c r="F360" s="73" t="s">
        <v>226</v>
      </c>
      <c r="G360" s="73" t="str">
        <f>INDEX(Auxiliar!$B$16:$B$23,MATCH(Plano_V1!H360,Auxiliar!$C$16:$C$23,0),1)</f>
        <v>1. Concluído</v>
      </c>
      <c r="H360" s="73">
        <f>VLOOKUP(A360,'Aux - pivots1'!$A:$B,2,0)</f>
        <v>1</v>
      </c>
      <c r="I360" s="93">
        <f>SUMIFS(Table1[Estimação (horas)],Table1[Tabela],Plano_V1!E360,Table1[Campo],Plano_V1!F360)</f>
        <v>0.6</v>
      </c>
      <c r="J360" s="93">
        <f t="shared" si="30"/>
        <v>7.4999999999999997E-2</v>
      </c>
      <c r="K360" s="98" t="s">
        <v>39</v>
      </c>
      <c r="L360" s="99">
        <f t="shared" si="31"/>
        <v>7.4999999999999997E-2</v>
      </c>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100"/>
      <c r="AU360" s="87"/>
      <c r="AV360" s="87"/>
      <c r="AW360" s="87"/>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100"/>
      <c r="EJ360" s="100"/>
      <c r="EK360" s="100"/>
      <c r="EL360" s="100"/>
      <c r="EM360" s="100"/>
      <c r="EN360" s="100"/>
      <c r="EO360" s="100"/>
      <c r="EP360" s="87"/>
      <c r="EQ360" s="87"/>
      <c r="ER360" s="87"/>
      <c r="ES360" s="87"/>
      <c r="ET360" s="87"/>
      <c r="EU360" s="87"/>
      <c r="EV360" s="87"/>
      <c r="EW360" s="87"/>
      <c r="EX360" s="87"/>
      <c r="EY360" s="87"/>
      <c r="EZ360" s="87"/>
      <c r="FA360" s="87"/>
      <c r="FB360" s="87"/>
      <c r="FC360" s="87"/>
      <c r="FD360" s="87"/>
      <c r="FE360" s="87"/>
      <c r="FF360" s="87"/>
      <c r="FG360" s="87"/>
      <c r="FH360" s="87"/>
      <c r="FI360" s="87"/>
      <c r="FJ360" s="87"/>
      <c r="FK360" s="87"/>
    </row>
    <row r="361" spans="1:167" outlineLevel="1">
      <c r="A361" s="31" t="str">
        <f t="shared" si="32"/>
        <v>Re-testesn.a.</v>
      </c>
      <c r="B361" s="76" t="s">
        <v>28</v>
      </c>
      <c r="C361" s="77" t="s">
        <v>178</v>
      </c>
      <c r="D361" s="73" t="s">
        <v>40</v>
      </c>
      <c r="E361" s="75" t="s">
        <v>53</v>
      </c>
      <c r="F361" s="73" t="s">
        <v>38</v>
      </c>
      <c r="G361" s="73" t="s">
        <v>300</v>
      </c>
      <c r="H361" s="73"/>
      <c r="I361" s="93">
        <f>J361*8</f>
        <v>16</v>
      </c>
      <c r="J361" s="93">
        <v>2</v>
      </c>
      <c r="K361" s="96"/>
      <c r="L361" s="99">
        <f t="shared" si="31"/>
        <v>2</v>
      </c>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100"/>
      <c r="AU361" s="87"/>
      <c r="AV361" s="87"/>
      <c r="AW361" s="87"/>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100"/>
      <c r="EJ361" s="100"/>
      <c r="EK361" s="100"/>
      <c r="EL361" s="100"/>
      <c r="EM361" s="100"/>
      <c r="EN361" s="100"/>
      <c r="EO361" s="100"/>
      <c r="EP361" s="87"/>
      <c r="EQ361" s="87"/>
      <c r="ER361" s="87"/>
      <c r="ES361" s="87"/>
      <c r="ET361" s="87"/>
      <c r="EU361" s="87"/>
      <c r="EV361" s="87"/>
      <c r="EW361" s="87"/>
      <c r="EX361" s="87"/>
      <c r="EY361" s="87"/>
      <c r="EZ361" s="87"/>
      <c r="FA361" s="87"/>
      <c r="FB361" s="87"/>
      <c r="FC361" s="87"/>
      <c r="FD361" s="87"/>
      <c r="FE361" s="87"/>
      <c r="FF361" s="87"/>
      <c r="FG361" s="87"/>
      <c r="FH361" s="87"/>
      <c r="FI361" s="87"/>
      <c r="FJ361" s="87"/>
      <c r="FK361" s="87"/>
    </row>
    <row r="362" spans="1:167">
      <c r="A362" s="113" t="str">
        <f t="shared" si="32"/>
        <v/>
      </c>
      <c r="B362" s="72" t="s">
        <v>28</v>
      </c>
      <c r="C362" s="105" t="s">
        <v>301</v>
      </c>
      <c r="D362" s="105"/>
      <c r="E362" s="112"/>
      <c r="F362" s="105"/>
      <c r="G362" s="105"/>
      <c r="H362" s="105"/>
      <c r="I362" s="108">
        <f>SUM(I363:I446)</f>
        <v>796.3875000000013</v>
      </c>
      <c r="J362" s="108">
        <f>ROUNDUP(I362/8,0)</f>
        <v>100</v>
      </c>
      <c r="K362" s="96"/>
      <c r="L362" s="99">
        <f t="shared" si="31"/>
        <v>0</v>
      </c>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100"/>
      <c r="AU362" s="87"/>
      <c r="AV362" s="87"/>
      <c r="AW362" s="87"/>
      <c r="AX362" s="87"/>
      <c r="AY362" s="87"/>
      <c r="AZ362" s="87"/>
      <c r="BA362" s="87"/>
      <c r="BB362" s="87"/>
      <c r="BC362" s="87"/>
      <c r="BD362" s="87"/>
      <c r="BE362" s="87"/>
      <c r="BF362" s="87"/>
      <c r="BG362" s="87"/>
      <c r="BH362" s="87"/>
      <c r="BI362" s="87"/>
      <c r="BJ362" s="87"/>
      <c r="BK362" s="87"/>
      <c r="BL362" s="87"/>
      <c r="BM362" s="87"/>
      <c r="BN362" s="87"/>
      <c r="BO362" s="87"/>
      <c r="BP362" s="87"/>
      <c r="BQ362" s="87">
        <v>1</v>
      </c>
      <c r="BR362" s="87">
        <v>1</v>
      </c>
      <c r="BS362" s="87">
        <v>1</v>
      </c>
      <c r="BT362" s="87">
        <v>0.5</v>
      </c>
      <c r="BU362" s="87">
        <v>0.5</v>
      </c>
      <c r="BV362" s="87">
        <v>1</v>
      </c>
      <c r="BW362" s="87">
        <v>1</v>
      </c>
      <c r="BX362" s="87">
        <v>1</v>
      </c>
      <c r="BY362" s="87">
        <v>0.5</v>
      </c>
      <c r="BZ362" s="87">
        <v>0.5</v>
      </c>
      <c r="CA362" s="87">
        <v>1</v>
      </c>
      <c r="CB362" s="87">
        <v>1</v>
      </c>
      <c r="CC362" s="87">
        <v>1</v>
      </c>
      <c r="CD362" s="87">
        <v>0.5</v>
      </c>
      <c r="CE362" s="87">
        <v>0.5</v>
      </c>
      <c r="CF362" s="87">
        <v>1</v>
      </c>
      <c r="CG362" s="87">
        <v>1</v>
      </c>
      <c r="CH362" s="87">
        <v>1</v>
      </c>
      <c r="CI362" s="87">
        <v>0.5</v>
      </c>
      <c r="CJ362" s="87">
        <v>0.5</v>
      </c>
      <c r="CK362" s="87">
        <v>1</v>
      </c>
      <c r="CL362" s="87">
        <v>1</v>
      </c>
      <c r="CM362" s="87">
        <v>1</v>
      </c>
      <c r="CN362" s="87">
        <v>0.5</v>
      </c>
      <c r="CO362" s="87">
        <v>0.5</v>
      </c>
      <c r="CP362" s="87">
        <v>1</v>
      </c>
      <c r="CQ362" s="87">
        <v>1</v>
      </c>
      <c r="CR362" s="87">
        <v>1</v>
      </c>
      <c r="CS362" s="87">
        <v>0.5</v>
      </c>
      <c r="CT362" s="87">
        <v>0.5</v>
      </c>
      <c r="CU362" s="87">
        <v>1</v>
      </c>
      <c r="CV362" s="87">
        <v>3</v>
      </c>
      <c r="CW362" s="87">
        <v>3</v>
      </c>
      <c r="CX362" s="87">
        <v>2.5</v>
      </c>
      <c r="CY362" s="87">
        <v>2.5</v>
      </c>
      <c r="CZ362" s="87">
        <v>3</v>
      </c>
      <c r="DA362" s="87">
        <v>3</v>
      </c>
      <c r="DB362" s="87">
        <v>3</v>
      </c>
      <c r="DC362" s="87">
        <v>2.5</v>
      </c>
      <c r="DD362" s="87">
        <v>3</v>
      </c>
      <c r="DE362" s="87">
        <v>3</v>
      </c>
      <c r="DF362" s="87">
        <v>3</v>
      </c>
      <c r="DG362" s="87">
        <v>3</v>
      </c>
      <c r="DH362" s="87">
        <v>2.5</v>
      </c>
      <c r="DI362" s="87">
        <v>3</v>
      </c>
      <c r="DJ362" s="87">
        <v>3</v>
      </c>
      <c r="DK362" s="87">
        <v>3</v>
      </c>
      <c r="DL362" s="87">
        <v>3</v>
      </c>
      <c r="DM362" s="87">
        <v>2.5</v>
      </c>
      <c r="DN362" s="87">
        <v>2</v>
      </c>
      <c r="DO362" s="87">
        <v>3</v>
      </c>
      <c r="DP362" s="87">
        <v>3</v>
      </c>
      <c r="DQ362" s="87">
        <v>3</v>
      </c>
      <c r="DR362" s="87">
        <v>2.5</v>
      </c>
      <c r="DS362" s="87">
        <v>2</v>
      </c>
      <c r="DT362" s="87">
        <v>2</v>
      </c>
      <c r="DU362" s="87">
        <v>2</v>
      </c>
      <c r="DV362" s="87">
        <v>2</v>
      </c>
      <c r="DW362" s="87">
        <v>2</v>
      </c>
      <c r="DX362" s="87"/>
      <c r="DY362" s="87"/>
      <c r="DZ362" s="87"/>
      <c r="EA362" s="87"/>
      <c r="EB362" s="87"/>
      <c r="EC362" s="87"/>
      <c r="ED362" s="87"/>
      <c r="EE362" s="87"/>
      <c r="EF362" s="87"/>
      <c r="EG362" s="87"/>
      <c r="EH362" s="87"/>
      <c r="EI362" s="100"/>
      <c r="EJ362" s="100"/>
      <c r="EK362" s="100"/>
      <c r="EL362" s="100"/>
      <c r="EM362" s="100"/>
      <c r="EN362" s="100"/>
      <c r="EO362" s="100"/>
      <c r="EP362" s="87"/>
      <c r="EQ362" s="87"/>
      <c r="ER362" s="87"/>
      <c r="ES362" s="87"/>
      <c r="ET362" s="87"/>
      <c r="EU362" s="87"/>
      <c r="EV362" s="87"/>
      <c r="EW362" s="87"/>
      <c r="EX362" s="87"/>
      <c r="EY362" s="87"/>
      <c r="EZ362" s="87"/>
      <c r="FA362" s="87"/>
      <c r="FB362" s="87"/>
      <c r="FC362" s="87"/>
      <c r="FD362" s="87"/>
      <c r="FE362" s="87"/>
      <c r="FF362" s="87"/>
      <c r="FG362" s="87"/>
      <c r="FH362" s="87"/>
      <c r="FI362" s="87"/>
      <c r="FJ362" s="87"/>
      <c r="FK362" s="87"/>
    </row>
    <row r="363" spans="1:167" hidden="1" outlineLevel="1">
      <c r="A363" s="31" t="str">
        <f t="shared" si="32"/>
        <v>modesg_out_bens_imoveisn.a.</v>
      </c>
      <c r="B363" s="76" t="s">
        <v>28</v>
      </c>
      <c r="C363" s="77" t="s">
        <v>301</v>
      </c>
      <c r="D363" s="73" t="s">
        <v>36</v>
      </c>
      <c r="E363" s="75" t="s">
        <v>302</v>
      </c>
      <c r="F363" s="73" t="s">
        <v>38</v>
      </c>
      <c r="G363" s="73" t="str">
        <f>INDEX(Auxiliar!$B$16:$B$23,MATCH(Plano_V1!H363,Auxiliar!$C$16:$C$23,0),1)</f>
        <v>1. Concluído</v>
      </c>
      <c r="H363" s="73">
        <f>VLOOKUP(A363,'Aux - pivots1'!$A:$B,2,0)</f>
        <v>1</v>
      </c>
      <c r="I363" s="93">
        <f>SUMIFS(Table1[Estimação (horas)],Table1[Tabela],Plano_V1!E363,Table1[Campo],Plano_V1!F363)</f>
        <v>8</v>
      </c>
      <c r="J363" s="93">
        <f t="shared" ref="J363:J426" si="33">I363/8</f>
        <v>1</v>
      </c>
      <c r="K363" s="96" t="s">
        <v>303</v>
      </c>
      <c r="L363" s="99">
        <f t="shared" si="31"/>
        <v>1</v>
      </c>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100"/>
      <c r="AU363" s="87"/>
      <c r="AV363" s="87"/>
      <c r="AW363" s="87"/>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100"/>
      <c r="EJ363" s="100"/>
      <c r="EK363" s="100"/>
      <c r="EL363" s="100"/>
      <c r="EM363" s="100"/>
      <c r="EN363" s="100"/>
      <c r="EO363" s="100"/>
      <c r="EP363" s="87"/>
      <c r="EQ363" s="87"/>
      <c r="ER363" s="87"/>
      <c r="ES363" s="87"/>
      <c r="ET363" s="87"/>
      <c r="EU363" s="87"/>
      <c r="EV363" s="87"/>
      <c r="EW363" s="87"/>
      <c r="EX363" s="87"/>
      <c r="EY363" s="87"/>
      <c r="EZ363" s="87"/>
      <c r="FA363" s="87"/>
      <c r="FB363" s="87"/>
      <c r="FC363" s="87"/>
      <c r="FD363" s="87"/>
      <c r="FE363" s="87"/>
      <c r="FF363" s="87"/>
      <c r="FG363" s="87"/>
      <c r="FH363" s="87"/>
      <c r="FI363" s="87"/>
      <c r="FJ363" s="87"/>
      <c r="FK363" s="87"/>
    </row>
    <row r="364" spans="1:167" hidden="1" outlineLevel="1">
      <c r="A364" s="31" t="str">
        <f t="shared" si="32"/>
        <v>modesg_out_bens_imoveiscempbem</v>
      </c>
      <c r="B364" s="76" t="s">
        <v>28</v>
      </c>
      <c r="C364" s="77" t="s">
        <v>301</v>
      </c>
      <c r="D364" s="73" t="s">
        <v>40</v>
      </c>
      <c r="E364" s="75" t="s">
        <v>302</v>
      </c>
      <c r="F364" s="73" t="s">
        <v>41</v>
      </c>
      <c r="G364" s="73" t="str">
        <f>INDEX(Auxiliar!$B$16:$B$23,MATCH(Plano_V1!H364,Auxiliar!$C$16:$C$23,0),1)</f>
        <v>1. Concluído</v>
      </c>
      <c r="H364" s="73">
        <f>VLOOKUP(A364,'Aux - pivots1'!$A:$B,2,0)</f>
        <v>1</v>
      </c>
      <c r="I364" s="93">
        <f>SUMIFS(Table1[Estimação (horas)],Table1[Tabela],Plano_V1!E364,Table1[Campo],Plano_V1!F364)</f>
        <v>4.0999999999999996</v>
      </c>
      <c r="J364" s="93">
        <f t="shared" si="33"/>
        <v>0.51249999999999996</v>
      </c>
      <c r="K364" s="96" t="s">
        <v>303</v>
      </c>
      <c r="L364" s="99">
        <f t="shared" si="31"/>
        <v>0.51249999999999996</v>
      </c>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100"/>
      <c r="AU364" s="87"/>
      <c r="AV364" s="87"/>
      <c r="AW364" s="87"/>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100"/>
      <c r="EJ364" s="100"/>
      <c r="EK364" s="100"/>
      <c r="EL364" s="100"/>
      <c r="EM364" s="100"/>
      <c r="EN364" s="100"/>
      <c r="EO364" s="100"/>
      <c r="EP364" s="87"/>
      <c r="EQ364" s="87"/>
      <c r="ER364" s="87"/>
      <c r="ES364" s="87"/>
      <c r="ET364" s="87"/>
      <c r="EU364" s="87"/>
      <c r="EV364" s="87"/>
      <c r="EW364" s="87"/>
      <c r="EX364" s="87"/>
      <c r="EY364" s="87"/>
      <c r="EZ364" s="87"/>
      <c r="FA364" s="87"/>
      <c r="FB364" s="87"/>
      <c r="FC364" s="87"/>
      <c r="FD364" s="87"/>
      <c r="FE364" s="87"/>
      <c r="FF364" s="87"/>
      <c r="FG364" s="87"/>
      <c r="FH364" s="87"/>
      <c r="FI364" s="87"/>
      <c r="FJ364" s="87"/>
      <c r="FK364" s="87"/>
    </row>
    <row r="365" spans="1:167" hidden="1" outlineLevel="1">
      <c r="A365" s="31" t="str">
        <f t="shared" si="32"/>
        <v>modesg_out_bens_imoveisckbalbem</v>
      </c>
      <c r="B365" s="76" t="s">
        <v>28</v>
      </c>
      <c r="C365" s="77" t="s">
        <v>301</v>
      </c>
      <c r="D365" s="73" t="s">
        <v>40</v>
      </c>
      <c r="E365" s="75" t="s">
        <v>302</v>
      </c>
      <c r="F365" s="73" t="s">
        <v>43</v>
      </c>
      <c r="G365" s="73" t="str">
        <f>INDEX(Auxiliar!$B$16:$B$23,MATCH(Plano_V1!H365,Auxiliar!$C$16:$C$23,0),1)</f>
        <v>1. Concluído</v>
      </c>
      <c r="H365" s="73">
        <f>VLOOKUP(A365,'Aux - pivots1'!$A:$B,2,0)</f>
        <v>1</v>
      </c>
      <c r="I365" s="93">
        <f>SUMIFS(Table1[Estimação (horas)],Table1[Tabela],Plano_V1!E365,Table1[Campo],Plano_V1!F365)</f>
        <v>4.0999999999999996</v>
      </c>
      <c r="J365" s="93">
        <f t="shared" si="33"/>
        <v>0.51249999999999996</v>
      </c>
      <c r="K365" s="96" t="s">
        <v>303</v>
      </c>
      <c r="L365" s="99">
        <f t="shared" si="31"/>
        <v>0.51249999999999996</v>
      </c>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100"/>
      <c r="AU365" s="87"/>
      <c r="AV365" s="87"/>
      <c r="AW365" s="87"/>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100"/>
      <c r="EJ365" s="100"/>
      <c r="EK365" s="100"/>
      <c r="EL365" s="100"/>
      <c r="EM365" s="100"/>
      <c r="EN365" s="100"/>
      <c r="EO365" s="100"/>
      <c r="EP365" s="87"/>
      <c r="EQ365" s="87"/>
      <c r="ER365" s="87"/>
      <c r="ES365" s="87"/>
      <c r="ET365" s="87"/>
      <c r="EU365" s="87"/>
      <c r="EV365" s="87"/>
      <c r="EW365" s="87"/>
      <c r="EX365" s="87"/>
      <c r="EY365" s="87"/>
      <c r="EZ365" s="87"/>
      <c r="FA365" s="87"/>
      <c r="FB365" s="87"/>
      <c r="FC365" s="87"/>
      <c r="FD365" s="87"/>
      <c r="FE365" s="87"/>
      <c r="FF365" s="87"/>
      <c r="FG365" s="87"/>
      <c r="FH365" s="87"/>
      <c r="FI365" s="87"/>
      <c r="FJ365" s="87"/>
      <c r="FK365" s="87"/>
    </row>
    <row r="366" spans="1:167" hidden="1" outlineLevel="1">
      <c r="A366" s="31" t="str">
        <f t="shared" si="32"/>
        <v>modesg_out_bens_imoveisckctabem</v>
      </c>
      <c r="B366" s="76" t="s">
        <v>28</v>
      </c>
      <c r="C366" s="77" t="s">
        <v>301</v>
      </c>
      <c r="D366" s="73" t="s">
        <v>40</v>
      </c>
      <c r="E366" s="75" t="s">
        <v>302</v>
      </c>
      <c r="F366" s="73" t="s">
        <v>44</v>
      </c>
      <c r="G366" s="73" t="str">
        <f>INDEX(Auxiliar!$B$16:$B$23,MATCH(Plano_V1!H366,Auxiliar!$C$16:$C$23,0),1)</f>
        <v>1. Concluído</v>
      </c>
      <c r="H366" s="73">
        <f>VLOOKUP(A366,'Aux - pivots1'!$A:$B,2,0)</f>
        <v>1</v>
      </c>
      <c r="I366" s="93">
        <f>SUMIFS(Table1[Estimação (horas)],Table1[Tabela],Plano_V1!E366,Table1[Campo],Plano_V1!F366)</f>
        <v>4.0999999999999996</v>
      </c>
      <c r="J366" s="93">
        <f t="shared" si="33"/>
        <v>0.51249999999999996</v>
      </c>
      <c r="K366" s="96" t="s">
        <v>303</v>
      </c>
      <c r="L366" s="99">
        <f t="shared" si="31"/>
        <v>0.51249999999999996</v>
      </c>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100"/>
      <c r="AU366" s="87"/>
      <c r="AV366" s="87"/>
      <c r="AW366" s="87"/>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100"/>
      <c r="EJ366" s="100"/>
      <c r="EK366" s="100"/>
      <c r="EL366" s="100"/>
      <c r="EM366" s="100"/>
      <c r="EN366" s="100"/>
      <c r="EO366" s="100"/>
      <c r="EP366" s="87"/>
      <c r="EQ366" s="87"/>
      <c r="ER366" s="87"/>
      <c r="ES366" s="87"/>
      <c r="ET366" s="87"/>
      <c r="EU366" s="87"/>
      <c r="EV366" s="87"/>
      <c r="EW366" s="87"/>
      <c r="EX366" s="87"/>
      <c r="EY366" s="87"/>
      <c r="EZ366" s="87"/>
      <c r="FA366" s="87"/>
      <c r="FB366" s="87"/>
      <c r="FC366" s="87"/>
      <c r="FD366" s="87"/>
      <c r="FE366" s="87"/>
      <c r="FF366" s="87"/>
      <c r="FG366" s="87"/>
      <c r="FH366" s="87"/>
      <c r="FI366" s="87"/>
      <c r="FJ366" s="87"/>
      <c r="FK366" s="87"/>
    </row>
    <row r="367" spans="1:167" hidden="1" outlineLevel="1">
      <c r="A367" s="31" t="str">
        <f t="shared" si="32"/>
        <v>modesg_out_bens_imoveisckrefbem</v>
      </c>
      <c r="B367" s="76" t="s">
        <v>28</v>
      </c>
      <c r="C367" s="77" t="s">
        <v>301</v>
      </c>
      <c r="D367" s="73" t="s">
        <v>40</v>
      </c>
      <c r="E367" s="75" t="s">
        <v>302</v>
      </c>
      <c r="F367" s="73" t="s">
        <v>45</v>
      </c>
      <c r="G367" s="73" t="str">
        <f>INDEX(Auxiliar!$B$16:$B$23,MATCH(Plano_V1!H367,Auxiliar!$C$16:$C$23,0),1)</f>
        <v>1. Concluído</v>
      </c>
      <c r="H367" s="73">
        <f>VLOOKUP(A367,'Aux - pivots1'!$A:$B,2,0)</f>
        <v>1</v>
      </c>
      <c r="I367" s="93">
        <f>SUMIFS(Table1[Estimação (horas)],Table1[Tabela],Plano_V1!E367,Table1[Campo],Plano_V1!F367)</f>
        <v>4.0999999999999996</v>
      </c>
      <c r="J367" s="93">
        <f t="shared" si="33"/>
        <v>0.51249999999999996</v>
      </c>
      <c r="K367" s="96" t="s">
        <v>303</v>
      </c>
      <c r="L367" s="99">
        <f t="shared" si="31"/>
        <v>0.51249999999999996</v>
      </c>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100"/>
      <c r="AU367" s="87"/>
      <c r="AV367" s="87"/>
      <c r="AW367" s="87"/>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100"/>
      <c r="EJ367" s="100"/>
      <c r="EK367" s="100"/>
      <c r="EL367" s="100"/>
      <c r="EM367" s="100"/>
      <c r="EN367" s="100"/>
      <c r="EO367" s="100"/>
      <c r="EP367" s="87"/>
      <c r="EQ367" s="87"/>
      <c r="ER367" s="87"/>
      <c r="ES367" s="87"/>
      <c r="ET367" s="87"/>
      <c r="EU367" s="87"/>
      <c r="EV367" s="87"/>
      <c r="EW367" s="87"/>
      <c r="EX367" s="87"/>
      <c r="EY367" s="87"/>
      <c r="EZ367" s="87"/>
      <c r="FA367" s="87"/>
      <c r="FB367" s="87"/>
      <c r="FC367" s="87"/>
      <c r="FD367" s="87"/>
      <c r="FE367" s="87"/>
      <c r="FF367" s="87"/>
      <c r="FG367" s="87"/>
      <c r="FH367" s="87"/>
      <c r="FI367" s="87"/>
      <c r="FJ367" s="87"/>
      <c r="FK367" s="87"/>
    </row>
    <row r="368" spans="1:167" hidden="1" outlineLevel="1">
      <c r="A368" s="31" t="str">
        <f t="shared" si="32"/>
        <v>modesg_out_bens_imoveisflg_rsc_fsc_agd</v>
      </c>
      <c r="B368" s="76" t="s">
        <v>28</v>
      </c>
      <c r="C368" s="77" t="s">
        <v>301</v>
      </c>
      <c r="D368" s="73" t="s">
        <v>40</v>
      </c>
      <c r="E368" s="75" t="s">
        <v>302</v>
      </c>
      <c r="F368" s="73" t="s">
        <v>273</v>
      </c>
      <c r="G368" s="73" t="str">
        <f>INDEX(Auxiliar!$B$16:$B$23,MATCH(Plano_V1!H368,Auxiliar!$C$16:$C$23,0),1)</f>
        <v>4. Validação EF</v>
      </c>
      <c r="H368" s="73">
        <f>VLOOKUP(A368,'Aux - pivots1'!$A:$B,2,0)</f>
        <v>4</v>
      </c>
      <c r="I368" s="93">
        <f>SUMIFS(Table1[Estimação (horas)],Table1[Tabela],Plano_V1!E368,Table1[Campo],Plano_V1!F368)</f>
        <v>16.100000000000001</v>
      </c>
      <c r="J368" s="93">
        <f t="shared" si="33"/>
        <v>2.0125000000000002</v>
      </c>
      <c r="K368" s="96" t="s">
        <v>303</v>
      </c>
      <c r="L368" s="99">
        <f t="shared" si="31"/>
        <v>2.0125000000000002</v>
      </c>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100"/>
      <c r="AU368" s="87"/>
      <c r="AV368" s="87"/>
      <c r="AW368" s="87"/>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100"/>
      <c r="EJ368" s="100"/>
      <c r="EK368" s="100"/>
      <c r="EL368" s="100"/>
      <c r="EM368" s="100"/>
      <c r="EN368" s="100"/>
      <c r="EO368" s="100"/>
      <c r="EP368" s="87"/>
      <c r="EQ368" s="87"/>
      <c r="ER368" s="87"/>
      <c r="ES368" s="87"/>
      <c r="ET368" s="87"/>
      <c r="EU368" s="87"/>
      <c r="EV368" s="87"/>
      <c r="EW368" s="87"/>
      <c r="EX368" s="87"/>
      <c r="EY368" s="87"/>
      <c r="EZ368" s="87"/>
      <c r="FA368" s="87"/>
      <c r="FB368" s="87"/>
      <c r="FC368" s="87"/>
      <c r="FD368" s="87"/>
      <c r="FE368" s="87"/>
      <c r="FF368" s="87"/>
      <c r="FG368" s="87"/>
      <c r="FH368" s="87"/>
      <c r="FI368" s="87"/>
      <c r="FJ368" s="87"/>
      <c r="FK368" s="87"/>
    </row>
    <row r="369" spans="1:167" hidden="1" outlineLevel="1">
      <c r="A369" s="31" t="str">
        <f t="shared" si="32"/>
        <v>modesg_out_bens_imoveisflg_rsc_fsc_crnc</v>
      </c>
      <c r="B369" s="76" t="s">
        <v>28</v>
      </c>
      <c r="C369" s="77" t="s">
        <v>301</v>
      </c>
      <c r="D369" s="73" t="s">
        <v>40</v>
      </c>
      <c r="E369" s="75" t="s">
        <v>302</v>
      </c>
      <c r="F369" s="73" t="s">
        <v>274</v>
      </c>
      <c r="G369" s="73" t="str">
        <f>INDEX(Auxiliar!$B$16:$B$23,MATCH(Plano_V1!H369,Auxiliar!$C$16:$C$23,0),1)</f>
        <v>4. Validação EF</v>
      </c>
      <c r="H369" s="73">
        <f>VLOOKUP(A369,'Aux - pivots1'!$A:$B,2,0)</f>
        <v>4</v>
      </c>
      <c r="I369" s="93">
        <f>SUMIFS(Table1[Estimação (horas)],Table1[Tabela],Plano_V1!E369,Table1[Campo],Plano_V1!F369)</f>
        <v>16.100000000000001</v>
      </c>
      <c r="J369" s="93">
        <f t="shared" si="33"/>
        <v>2.0125000000000002</v>
      </c>
      <c r="K369" s="96" t="s">
        <v>303</v>
      </c>
      <c r="L369" s="99">
        <f t="shared" si="31"/>
        <v>2.0125000000000002</v>
      </c>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100"/>
      <c r="AU369" s="87"/>
      <c r="AV369" s="87"/>
      <c r="AW369" s="87"/>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100"/>
      <c r="EJ369" s="100"/>
      <c r="EK369" s="100"/>
      <c r="EL369" s="100"/>
      <c r="EM369" s="100"/>
      <c r="EN369" s="100"/>
      <c r="EO369" s="100"/>
      <c r="EP369" s="87"/>
      <c r="EQ369" s="87"/>
      <c r="ER369" s="87"/>
      <c r="ES369" s="87"/>
      <c r="ET369" s="87"/>
      <c r="EU369" s="87"/>
      <c r="EV369" s="87"/>
      <c r="EW369" s="87"/>
      <c r="EX369" s="87"/>
      <c r="EY369" s="87"/>
      <c r="EZ369" s="87"/>
      <c r="FA369" s="87"/>
      <c r="FB369" s="87"/>
      <c r="FC369" s="87"/>
      <c r="FD369" s="87"/>
      <c r="FE369" s="87"/>
      <c r="FF369" s="87"/>
      <c r="FG369" s="87"/>
      <c r="FH369" s="87"/>
      <c r="FI369" s="87"/>
      <c r="FJ369" s="87"/>
      <c r="FK369" s="87"/>
    </row>
    <row r="370" spans="1:167" hidden="1" outlineLevel="1">
      <c r="A370" s="31" t="str">
        <f t="shared" si="32"/>
        <v>modesg_out_bens_imoveisorigem_flg_rsc_fsc_agd</v>
      </c>
      <c r="B370" s="76" t="s">
        <v>28</v>
      </c>
      <c r="C370" s="77" t="s">
        <v>301</v>
      </c>
      <c r="D370" s="73" t="s">
        <v>40</v>
      </c>
      <c r="E370" s="75" t="s">
        <v>302</v>
      </c>
      <c r="F370" s="73" t="s">
        <v>304</v>
      </c>
      <c r="G370" s="73" t="str">
        <f>INDEX(Auxiliar!$B$16:$B$23,MATCH(Plano_V1!H370,Auxiliar!$C$16:$C$23,0),1)</f>
        <v>4. Validação EF</v>
      </c>
      <c r="H370" s="73">
        <f>VLOOKUP(A370,'Aux - pivots1'!$A:$B,2,0)</f>
        <v>4</v>
      </c>
      <c r="I370" s="93">
        <f>SUMIFS(Table1[Estimação (horas)],Table1[Tabela],Plano_V1!E370,Table1[Campo],Plano_V1!F370)</f>
        <v>4.0999999999999996</v>
      </c>
      <c r="J370" s="93">
        <f t="shared" si="33"/>
        <v>0.51249999999999996</v>
      </c>
      <c r="K370" s="96" t="s">
        <v>303</v>
      </c>
      <c r="L370" s="99">
        <f t="shared" si="31"/>
        <v>0.51249999999999996</v>
      </c>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100"/>
      <c r="AU370" s="87"/>
      <c r="AV370" s="87"/>
      <c r="AW370" s="87"/>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100"/>
      <c r="EJ370" s="100"/>
      <c r="EK370" s="100"/>
      <c r="EL370" s="100"/>
      <c r="EM370" s="100"/>
      <c r="EN370" s="100"/>
      <c r="EO370" s="100"/>
      <c r="EP370" s="87"/>
      <c r="EQ370" s="87"/>
      <c r="ER370" s="87"/>
      <c r="ES370" s="87"/>
      <c r="ET370" s="87"/>
      <c r="EU370" s="87"/>
      <c r="EV370" s="87"/>
      <c r="EW370" s="87"/>
      <c r="EX370" s="87"/>
      <c r="EY370" s="87"/>
      <c r="EZ370" s="87"/>
      <c r="FA370" s="87"/>
      <c r="FB370" s="87"/>
      <c r="FC370" s="87"/>
      <c r="FD370" s="87"/>
      <c r="FE370" s="87"/>
      <c r="FF370" s="87"/>
      <c r="FG370" s="87"/>
      <c r="FH370" s="87"/>
      <c r="FI370" s="87"/>
      <c r="FJ370" s="87"/>
      <c r="FK370" s="87"/>
    </row>
    <row r="371" spans="1:167" hidden="1" outlineLevel="1">
      <c r="A371" s="31" t="str">
        <f t="shared" si="32"/>
        <v>modesg_out_bens_imoveisorigem_flg_rsc_fsc_crnc</v>
      </c>
      <c r="B371" s="76" t="s">
        <v>28</v>
      </c>
      <c r="C371" s="77" t="s">
        <v>301</v>
      </c>
      <c r="D371" s="73" t="s">
        <v>40</v>
      </c>
      <c r="E371" s="75" t="s">
        <v>302</v>
      </c>
      <c r="F371" s="73" t="s">
        <v>305</v>
      </c>
      <c r="G371" s="73" t="str">
        <f>INDEX(Auxiliar!$B$16:$B$23,MATCH(Plano_V1!H371,Auxiliar!$C$16:$C$23,0),1)</f>
        <v>4. Validação EF</v>
      </c>
      <c r="H371" s="73">
        <f>VLOOKUP(A371,'Aux - pivots1'!$A:$B,2,0)</f>
        <v>4</v>
      </c>
      <c r="I371" s="93">
        <f>SUMIFS(Table1[Estimação (horas)],Table1[Tabela],Plano_V1!E371,Table1[Campo],Plano_V1!F371)</f>
        <v>4.0999999999999996</v>
      </c>
      <c r="J371" s="93">
        <f t="shared" si="33"/>
        <v>0.51249999999999996</v>
      </c>
      <c r="K371" s="96" t="s">
        <v>303</v>
      </c>
      <c r="L371" s="99">
        <f t="shared" si="31"/>
        <v>0.51249999999999996</v>
      </c>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100"/>
      <c r="AU371" s="87"/>
      <c r="AV371" s="87"/>
      <c r="AW371" s="87"/>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c r="BU371" s="87"/>
      <c r="BV371" s="87"/>
      <c r="BW371" s="87"/>
      <c r="BX371" s="87"/>
      <c r="BY371" s="87"/>
      <c r="BZ371" s="87"/>
      <c r="CA371" s="87"/>
      <c r="CB371" s="87"/>
      <c r="CC371" s="87"/>
      <c r="CD371" s="87"/>
      <c r="CE371" s="87"/>
      <c r="CF371" s="87"/>
      <c r="CG371" s="87"/>
      <c r="CH371" s="87"/>
      <c r="CI371" s="87"/>
      <c r="CJ371" s="87"/>
      <c r="CK371" s="87"/>
      <c r="CL371" s="87"/>
      <c r="CM371" s="87"/>
      <c r="CN371" s="87"/>
      <c r="CO371" s="87"/>
      <c r="CP371" s="87"/>
      <c r="CQ371" s="87"/>
      <c r="CR371" s="87"/>
      <c r="CS371" s="87"/>
      <c r="CT371" s="87"/>
      <c r="CU371" s="87"/>
      <c r="CV371" s="87"/>
      <c r="CW371" s="87"/>
      <c r="CX371" s="87"/>
      <c r="CY371" s="87"/>
      <c r="CZ371" s="87"/>
      <c r="DA371" s="87"/>
      <c r="DB371" s="87"/>
      <c r="DC371" s="87"/>
      <c r="DD371" s="87"/>
      <c r="DE371" s="87"/>
      <c r="DF371" s="87"/>
      <c r="DG371" s="87"/>
      <c r="DH371" s="87"/>
      <c r="DI371" s="87"/>
      <c r="DJ371" s="87"/>
      <c r="DK371" s="87"/>
      <c r="DL371" s="87"/>
      <c r="DM371" s="87"/>
      <c r="DN371" s="87"/>
      <c r="DO371" s="87"/>
      <c r="DP371" s="87"/>
      <c r="DQ371" s="87"/>
      <c r="DR371" s="87"/>
      <c r="DS371" s="87"/>
      <c r="DT371" s="87"/>
      <c r="DU371" s="87"/>
      <c r="DV371" s="87"/>
      <c r="DW371" s="87"/>
      <c r="DX371" s="87"/>
      <c r="DY371" s="87"/>
      <c r="DZ371" s="87"/>
      <c r="EA371" s="87"/>
      <c r="EB371" s="87"/>
      <c r="EC371" s="87"/>
      <c r="ED371" s="87"/>
      <c r="EE371" s="87"/>
      <c r="EF371" s="87"/>
      <c r="EG371" s="87"/>
      <c r="EH371" s="87"/>
      <c r="EI371" s="100"/>
      <c r="EJ371" s="100"/>
      <c r="EK371" s="100"/>
      <c r="EL371" s="100"/>
      <c r="EM371" s="100"/>
      <c r="EN371" s="100"/>
      <c r="EO371" s="100"/>
      <c r="EP371" s="87"/>
      <c r="EQ371" s="87"/>
      <c r="ER371" s="87"/>
      <c r="ES371" s="87"/>
      <c r="ET371" s="87"/>
      <c r="EU371" s="87"/>
      <c r="EV371" s="87"/>
      <c r="EW371" s="87"/>
      <c r="EX371" s="87"/>
      <c r="EY371" s="87"/>
      <c r="EZ371" s="87"/>
      <c r="FA371" s="87"/>
      <c r="FB371" s="87"/>
      <c r="FC371" s="87"/>
      <c r="FD371" s="87"/>
      <c r="FE371" s="87"/>
      <c r="FF371" s="87"/>
      <c r="FG371" s="87"/>
      <c r="FH371" s="87"/>
      <c r="FI371" s="87"/>
      <c r="FJ371" s="87"/>
      <c r="FK371" s="87"/>
    </row>
    <row r="372" spans="1:167" hidden="1" outlineLevel="1">
      <c r="A372" s="31" t="str">
        <f t="shared" si="32"/>
        <v>modesg_out_bens_imoveisorigem_scp1_emss</v>
      </c>
      <c r="B372" s="76" t="s">
        <v>28</v>
      </c>
      <c r="C372" s="77" t="s">
        <v>301</v>
      </c>
      <c r="D372" s="73" t="s">
        <v>40</v>
      </c>
      <c r="E372" s="75" t="s">
        <v>302</v>
      </c>
      <c r="F372" s="73" t="s">
        <v>306</v>
      </c>
      <c r="G372" s="73" t="str">
        <f>INDEX(Auxiliar!$B$16:$B$23,MATCH(Plano_V1!H372,Auxiliar!$C$16:$C$23,0),1)</f>
        <v>2. Em Teste</v>
      </c>
      <c r="H372" s="73">
        <f>VLOOKUP(A372,'Aux - pivots1'!$A:$B,2,0)</f>
        <v>2</v>
      </c>
      <c r="I372" s="93">
        <f>SUMIFS(Table1[Estimação (horas)],Table1[Tabela],Plano_V1!E372,Table1[Campo],Plano_V1!F372)</f>
        <v>4.0999999999999996</v>
      </c>
      <c r="J372" s="93">
        <f t="shared" si="33"/>
        <v>0.51249999999999996</v>
      </c>
      <c r="K372" s="96" t="s">
        <v>303</v>
      </c>
      <c r="L372" s="99">
        <f t="shared" si="31"/>
        <v>0.51249999999999996</v>
      </c>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100"/>
      <c r="AU372" s="87"/>
      <c r="AV372" s="87"/>
      <c r="AW372" s="87"/>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100"/>
      <c r="EJ372" s="100"/>
      <c r="EK372" s="100"/>
      <c r="EL372" s="100"/>
      <c r="EM372" s="100"/>
      <c r="EN372" s="100"/>
      <c r="EO372" s="100"/>
      <c r="EP372" s="87"/>
      <c r="EQ372" s="87"/>
      <c r="ER372" s="87"/>
      <c r="ES372" s="87"/>
      <c r="ET372" s="87"/>
      <c r="EU372" s="87"/>
      <c r="EV372" s="87"/>
      <c r="EW372" s="87"/>
      <c r="EX372" s="87"/>
      <c r="EY372" s="87"/>
      <c r="EZ372" s="87"/>
      <c r="FA372" s="87"/>
      <c r="FB372" s="87"/>
      <c r="FC372" s="87"/>
      <c r="FD372" s="87"/>
      <c r="FE372" s="87"/>
      <c r="FF372" s="87"/>
      <c r="FG372" s="87"/>
      <c r="FH372" s="87"/>
      <c r="FI372" s="87"/>
      <c r="FJ372" s="87"/>
      <c r="FK372" s="87"/>
    </row>
    <row r="373" spans="1:167" hidden="1" outlineLevel="1">
      <c r="A373" s="31" t="str">
        <f t="shared" si="32"/>
        <v>modesg_out_bens_imoveisorigem_scp2_emss</v>
      </c>
      <c r="B373" s="76" t="s">
        <v>28</v>
      </c>
      <c r="C373" s="77" t="s">
        <v>301</v>
      </c>
      <c r="D373" s="73" t="s">
        <v>40</v>
      </c>
      <c r="E373" s="75" t="s">
        <v>302</v>
      </c>
      <c r="F373" s="73" t="s">
        <v>307</v>
      </c>
      <c r="G373" s="73" t="str">
        <f>INDEX(Auxiliar!$B$16:$B$23,MATCH(Plano_V1!H373,Auxiliar!$C$16:$C$23,0),1)</f>
        <v>2. Em Teste</v>
      </c>
      <c r="H373" s="73">
        <f>VLOOKUP(A373,'Aux - pivots1'!$A:$B,2,0)</f>
        <v>2</v>
      </c>
      <c r="I373" s="93">
        <f>SUMIFS(Table1[Estimação (horas)],Table1[Tabela],Plano_V1!E373,Table1[Campo],Plano_V1!F373)</f>
        <v>4.0999999999999996</v>
      </c>
      <c r="J373" s="93">
        <f t="shared" si="33"/>
        <v>0.51249999999999996</v>
      </c>
      <c r="K373" s="96" t="s">
        <v>303</v>
      </c>
      <c r="L373" s="99">
        <f t="shared" si="31"/>
        <v>0.51249999999999996</v>
      </c>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100"/>
      <c r="AU373" s="87"/>
      <c r="AV373" s="87"/>
      <c r="AW373" s="87"/>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100"/>
      <c r="EJ373" s="100"/>
      <c r="EK373" s="100"/>
      <c r="EL373" s="100"/>
      <c r="EM373" s="100"/>
      <c r="EN373" s="100"/>
      <c r="EO373" s="100"/>
      <c r="EP373" s="87"/>
      <c r="EQ373" s="87"/>
      <c r="ER373" s="87"/>
      <c r="ES373" s="87"/>
      <c r="ET373" s="87"/>
      <c r="EU373" s="87"/>
      <c r="EV373" s="87"/>
      <c r="EW373" s="87"/>
      <c r="EX373" s="87"/>
      <c r="EY373" s="87"/>
      <c r="EZ373" s="87"/>
      <c r="FA373" s="87"/>
      <c r="FB373" s="87"/>
      <c r="FC373" s="87"/>
      <c r="FD373" s="87"/>
      <c r="FE373" s="87"/>
      <c r="FF373" s="87"/>
      <c r="FG373" s="87"/>
      <c r="FH373" s="87"/>
      <c r="FI373" s="87"/>
      <c r="FJ373" s="87"/>
      <c r="FK373" s="87"/>
    </row>
    <row r="374" spans="1:167" hidden="1" outlineLevel="1">
      <c r="A374" s="31" t="str">
        <f t="shared" si="32"/>
        <v>modesg_out_bens_imoveisorigem_scp3_emss</v>
      </c>
      <c r="B374" s="76" t="s">
        <v>28</v>
      </c>
      <c r="C374" s="77" t="s">
        <v>301</v>
      </c>
      <c r="D374" s="73" t="s">
        <v>40</v>
      </c>
      <c r="E374" s="75" t="s">
        <v>302</v>
      </c>
      <c r="F374" s="73" t="s">
        <v>308</v>
      </c>
      <c r="G374" s="73" t="str">
        <f>INDEX(Auxiliar!$B$16:$B$23,MATCH(Plano_V1!H374,Auxiliar!$C$16:$C$23,0),1)</f>
        <v>2. Em Teste</v>
      </c>
      <c r="H374" s="73">
        <f>VLOOKUP(A374,'Aux - pivots1'!$A:$B,2,0)</f>
        <v>2</v>
      </c>
      <c r="I374" s="93">
        <f>SUMIFS(Table1[Estimação (horas)],Table1[Tabela],Plano_V1!E374,Table1[Campo],Plano_V1!F374)</f>
        <v>4.0999999999999996</v>
      </c>
      <c r="J374" s="93">
        <f t="shared" si="33"/>
        <v>0.51249999999999996</v>
      </c>
      <c r="K374" s="96" t="s">
        <v>303</v>
      </c>
      <c r="L374" s="99">
        <f t="shared" si="31"/>
        <v>0.51249999999999996</v>
      </c>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100"/>
      <c r="AU374" s="87"/>
      <c r="AV374" s="87"/>
      <c r="AW374" s="87"/>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100"/>
      <c r="EJ374" s="100"/>
      <c r="EK374" s="100"/>
      <c r="EL374" s="100"/>
      <c r="EM374" s="100"/>
      <c r="EN374" s="100"/>
      <c r="EO374" s="100"/>
      <c r="EP374" s="87"/>
      <c r="EQ374" s="87"/>
      <c r="ER374" s="87"/>
      <c r="ES374" s="87"/>
      <c r="ET374" s="87"/>
      <c r="EU374" s="87"/>
      <c r="EV374" s="87"/>
      <c r="EW374" s="87"/>
      <c r="EX374" s="87"/>
      <c r="EY374" s="87"/>
      <c r="EZ374" s="87"/>
      <c r="FA374" s="87"/>
      <c r="FB374" s="87"/>
      <c r="FC374" s="87"/>
      <c r="FD374" s="87"/>
      <c r="FE374" s="87"/>
      <c r="FF374" s="87"/>
      <c r="FG374" s="87"/>
      <c r="FH374" s="87"/>
      <c r="FI374" s="87"/>
      <c r="FJ374" s="87"/>
      <c r="FK374" s="87"/>
    </row>
    <row r="375" spans="1:167" hidden="1" outlineLevel="1">
      <c r="A375" s="31" t="str">
        <f t="shared" si="32"/>
        <v>modesg_out_bens_imoveisref_date</v>
      </c>
      <c r="B375" s="76" t="s">
        <v>28</v>
      </c>
      <c r="C375" s="77" t="s">
        <v>301</v>
      </c>
      <c r="D375" s="73" t="s">
        <v>40</v>
      </c>
      <c r="E375" s="75" t="s">
        <v>302</v>
      </c>
      <c r="F375" s="73" t="s">
        <v>73</v>
      </c>
      <c r="G375" s="73" t="str">
        <f>INDEX(Auxiliar!$B$16:$B$23,MATCH(Plano_V1!H375,Auxiliar!$C$16:$C$23,0),1)</f>
        <v>1. Concluído</v>
      </c>
      <c r="H375" s="73">
        <f>VLOOKUP(A375,'Aux - pivots1'!$A:$B,2,0)</f>
        <v>1</v>
      </c>
      <c r="I375" s="93">
        <f>SUMIFS(Table1[Estimação (horas)],Table1[Tabela],Plano_V1!E375,Table1[Campo],Plano_V1!F375)</f>
        <v>4.0999999999999996</v>
      </c>
      <c r="J375" s="93">
        <f t="shared" si="33"/>
        <v>0.51249999999999996</v>
      </c>
      <c r="K375" s="96" t="s">
        <v>303</v>
      </c>
      <c r="L375" s="99">
        <f t="shared" si="31"/>
        <v>0.51249999999999996</v>
      </c>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100"/>
      <c r="AU375" s="87"/>
      <c r="AV375" s="87"/>
      <c r="AW375" s="87"/>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100"/>
      <c r="EJ375" s="100"/>
      <c r="EK375" s="100"/>
      <c r="EL375" s="100"/>
      <c r="EM375" s="100"/>
      <c r="EN375" s="100"/>
      <c r="EO375" s="100"/>
      <c r="EP375" s="87"/>
      <c r="EQ375" s="87"/>
      <c r="ER375" s="87"/>
      <c r="ES375" s="87"/>
      <c r="ET375" s="87"/>
      <c r="EU375" s="87"/>
      <c r="EV375" s="87"/>
      <c r="EW375" s="87"/>
      <c r="EX375" s="87"/>
      <c r="EY375" s="87"/>
      <c r="EZ375" s="87"/>
      <c r="FA375" s="87"/>
      <c r="FB375" s="87"/>
      <c r="FC375" s="87"/>
      <c r="FD375" s="87"/>
      <c r="FE375" s="87"/>
      <c r="FF375" s="87"/>
      <c r="FG375" s="87"/>
      <c r="FH375" s="87"/>
      <c r="FI375" s="87"/>
      <c r="FJ375" s="87"/>
      <c r="FK375" s="87"/>
    </row>
    <row r="376" spans="1:167" hidden="1" outlineLevel="1">
      <c r="A376" s="31" t="str">
        <f t="shared" si="32"/>
        <v>modesg_out_bens_imoveisscp1_emss</v>
      </c>
      <c r="B376" s="76" t="s">
        <v>28</v>
      </c>
      <c r="C376" s="77" t="s">
        <v>301</v>
      </c>
      <c r="D376" s="73" t="s">
        <v>40</v>
      </c>
      <c r="E376" s="75" t="s">
        <v>302</v>
      </c>
      <c r="F376" s="73" t="s">
        <v>276</v>
      </c>
      <c r="G376" s="73" t="str">
        <f>INDEX(Auxiliar!$B$16:$B$23,MATCH(Plano_V1!H376,Auxiliar!$C$16:$C$23,0),1)</f>
        <v>2. Em Teste</v>
      </c>
      <c r="H376" s="73">
        <f>VLOOKUP(A376,'Aux - pivots1'!$A:$B,2,0)</f>
        <v>2</v>
      </c>
      <c r="I376" s="93">
        <f>SUMIFS(Table1[Estimação (horas)],Table1[Tabela],Plano_V1!E376,Table1[Campo],Plano_V1!F376)</f>
        <v>8.1</v>
      </c>
      <c r="J376" s="93">
        <f t="shared" si="33"/>
        <v>1.0125</v>
      </c>
      <c r="K376" s="96" t="s">
        <v>303</v>
      </c>
      <c r="L376" s="99">
        <f t="shared" si="31"/>
        <v>1.0125</v>
      </c>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100"/>
      <c r="AU376" s="87"/>
      <c r="AV376" s="87"/>
      <c r="AW376" s="87"/>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100"/>
      <c r="EJ376" s="100"/>
      <c r="EK376" s="100"/>
      <c r="EL376" s="100"/>
      <c r="EM376" s="100"/>
      <c r="EN376" s="100"/>
      <c r="EO376" s="100"/>
      <c r="EP376" s="87"/>
      <c r="EQ376" s="87"/>
      <c r="ER376" s="87"/>
      <c r="ES376" s="87"/>
      <c r="ET376" s="87"/>
      <c r="EU376" s="87"/>
      <c r="EV376" s="87"/>
      <c r="EW376" s="87"/>
      <c r="EX376" s="87"/>
      <c r="EY376" s="87"/>
      <c r="EZ376" s="87"/>
      <c r="FA376" s="87"/>
      <c r="FB376" s="87"/>
      <c r="FC376" s="87"/>
      <c r="FD376" s="87"/>
      <c r="FE376" s="87"/>
      <c r="FF376" s="87"/>
      <c r="FG376" s="87"/>
      <c r="FH376" s="87"/>
      <c r="FI376" s="87"/>
      <c r="FJ376" s="87"/>
      <c r="FK376" s="87"/>
    </row>
    <row r="377" spans="1:167" hidden="1" outlineLevel="1">
      <c r="A377" s="31" t="str">
        <f t="shared" si="32"/>
        <v>modesg_out_bens_imoveisscp2_emss</v>
      </c>
      <c r="B377" s="76" t="s">
        <v>28</v>
      </c>
      <c r="C377" s="77" t="s">
        <v>301</v>
      </c>
      <c r="D377" s="73" t="s">
        <v>40</v>
      </c>
      <c r="E377" s="75" t="s">
        <v>302</v>
      </c>
      <c r="F377" s="73" t="s">
        <v>277</v>
      </c>
      <c r="G377" s="73" t="str">
        <f>INDEX(Auxiliar!$B$16:$B$23,MATCH(Plano_V1!H377,Auxiliar!$C$16:$C$23,0),1)</f>
        <v>2. Em Teste</v>
      </c>
      <c r="H377" s="73">
        <f>VLOOKUP(A377,'Aux - pivots1'!$A:$B,2,0)</f>
        <v>2</v>
      </c>
      <c r="I377" s="93">
        <f>SUMIFS(Table1[Estimação (horas)],Table1[Tabela],Plano_V1!E377,Table1[Campo],Plano_V1!F377)</f>
        <v>8.1</v>
      </c>
      <c r="J377" s="93">
        <f t="shared" si="33"/>
        <v>1.0125</v>
      </c>
      <c r="K377" s="96" t="s">
        <v>303</v>
      </c>
      <c r="L377" s="99">
        <f t="shared" si="31"/>
        <v>1.0125</v>
      </c>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100"/>
      <c r="AU377" s="87"/>
      <c r="AV377" s="87"/>
      <c r="AW377" s="87"/>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100"/>
      <c r="EJ377" s="100"/>
      <c r="EK377" s="100"/>
      <c r="EL377" s="100"/>
      <c r="EM377" s="100"/>
      <c r="EN377" s="100"/>
      <c r="EO377" s="100"/>
      <c r="EP377" s="87"/>
      <c r="EQ377" s="87"/>
      <c r="ER377" s="87"/>
      <c r="ES377" s="87"/>
      <c r="ET377" s="87"/>
      <c r="EU377" s="87"/>
      <c r="EV377" s="87"/>
      <c r="EW377" s="87"/>
      <c r="EX377" s="87"/>
      <c r="EY377" s="87"/>
      <c r="EZ377" s="87"/>
      <c r="FA377" s="87"/>
      <c r="FB377" s="87"/>
      <c r="FC377" s="87"/>
      <c r="FD377" s="87"/>
      <c r="FE377" s="87"/>
      <c r="FF377" s="87"/>
      <c r="FG377" s="87"/>
      <c r="FH377" s="87"/>
      <c r="FI377" s="87"/>
      <c r="FJ377" s="87"/>
      <c r="FK377" s="87"/>
    </row>
    <row r="378" spans="1:167" hidden="1" outlineLevel="1">
      <c r="A378" s="31" t="str">
        <f t="shared" si="32"/>
        <v>modesg_out_bens_imoveisscp3_emss</v>
      </c>
      <c r="B378" s="76" t="s">
        <v>28</v>
      </c>
      <c r="C378" s="77" t="s">
        <v>301</v>
      </c>
      <c r="D378" s="73" t="s">
        <v>40</v>
      </c>
      <c r="E378" s="75" t="s">
        <v>302</v>
      </c>
      <c r="F378" s="73" t="s">
        <v>278</v>
      </c>
      <c r="G378" s="73" t="str">
        <f>INDEX(Auxiliar!$B$16:$B$23,MATCH(Plano_V1!H378,Auxiliar!$C$16:$C$23,0),1)</f>
        <v>1. Concluído</v>
      </c>
      <c r="H378" s="73">
        <f>VLOOKUP(A378,'Aux - pivots1'!$A:$B,2,0)</f>
        <v>1</v>
      </c>
      <c r="I378" s="93">
        <f>SUMIFS(Table1[Estimação (horas)],Table1[Tabela],Plano_V1!E378,Table1[Campo],Plano_V1!F378)</f>
        <v>4.0999999999999996</v>
      </c>
      <c r="J378" s="93">
        <f t="shared" si="33"/>
        <v>0.51249999999999996</v>
      </c>
      <c r="K378" s="96" t="s">
        <v>303</v>
      </c>
      <c r="L378" s="99">
        <f t="shared" si="31"/>
        <v>0.51249999999999996</v>
      </c>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100"/>
      <c r="AU378" s="87"/>
      <c r="AV378" s="87"/>
      <c r="AW378" s="87"/>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100"/>
      <c r="EJ378" s="100"/>
      <c r="EK378" s="100"/>
      <c r="EL378" s="100"/>
      <c r="EM378" s="100"/>
      <c r="EN378" s="100"/>
      <c r="EO378" s="100"/>
      <c r="EP378" s="87"/>
      <c r="EQ378" s="87"/>
      <c r="ER378" s="87"/>
      <c r="ES378" s="87"/>
      <c r="ET378" s="87"/>
      <c r="EU378" s="87"/>
      <c r="EV378" s="87"/>
      <c r="EW378" s="87"/>
      <c r="EX378" s="87"/>
      <c r="EY378" s="87"/>
      <c r="EZ378" s="87"/>
      <c r="FA378" s="87"/>
      <c r="FB378" s="87"/>
      <c r="FC378" s="87"/>
      <c r="FD378" s="87"/>
      <c r="FE378" s="87"/>
      <c r="FF378" s="87"/>
      <c r="FG378" s="87"/>
      <c r="FH378" s="87"/>
      <c r="FI378" s="87"/>
      <c r="FJ378" s="87"/>
      <c r="FK378" s="87"/>
    </row>
    <row r="379" spans="1:167" hidden="1" outlineLevel="1">
      <c r="A379" s="31" t="str">
        <f t="shared" si="32"/>
        <v>modesg_out_bens_imoveisunidade_funcional_scp1_emss</v>
      </c>
      <c r="B379" s="76" t="s">
        <v>28</v>
      </c>
      <c r="C379" s="77" t="s">
        <v>301</v>
      </c>
      <c r="D379" s="73" t="s">
        <v>40</v>
      </c>
      <c r="E379" s="75" t="s">
        <v>302</v>
      </c>
      <c r="F379" s="73" t="s">
        <v>309</v>
      </c>
      <c r="G379" s="73" t="str">
        <f>INDEX(Auxiliar!$B$16:$B$23,MATCH(Plano_V1!H379,Auxiliar!$C$16:$C$23,0),1)</f>
        <v>2. Em Teste</v>
      </c>
      <c r="H379" s="73">
        <f>VLOOKUP(A379,'Aux - pivots1'!$A:$B,2,0)</f>
        <v>2</v>
      </c>
      <c r="I379" s="93">
        <f>SUMIFS(Table1[Estimação (horas)],Table1[Tabela],Plano_V1!E379,Table1[Campo],Plano_V1!F379)</f>
        <v>4.0999999999999996</v>
      </c>
      <c r="J379" s="93">
        <f t="shared" si="33"/>
        <v>0.51249999999999996</v>
      </c>
      <c r="K379" s="96" t="s">
        <v>303</v>
      </c>
      <c r="L379" s="99">
        <f t="shared" si="31"/>
        <v>0.51249999999999996</v>
      </c>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100"/>
      <c r="AU379" s="87"/>
      <c r="AV379" s="87"/>
      <c r="AW379" s="87"/>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100"/>
      <c r="EJ379" s="100"/>
      <c r="EK379" s="100"/>
      <c r="EL379" s="100"/>
      <c r="EM379" s="100"/>
      <c r="EN379" s="100"/>
      <c r="EO379" s="100"/>
      <c r="EP379" s="87"/>
      <c r="EQ379" s="87"/>
      <c r="ER379" s="87"/>
      <c r="ES379" s="87"/>
      <c r="ET379" s="87"/>
      <c r="EU379" s="87"/>
      <c r="EV379" s="87"/>
      <c r="EW379" s="87"/>
      <c r="EX379" s="87"/>
      <c r="EY379" s="87"/>
      <c r="EZ379" s="87"/>
      <c r="FA379" s="87"/>
      <c r="FB379" s="87"/>
      <c r="FC379" s="87"/>
      <c r="FD379" s="87"/>
      <c r="FE379" s="87"/>
      <c r="FF379" s="87"/>
      <c r="FG379" s="87"/>
      <c r="FH379" s="87"/>
      <c r="FI379" s="87"/>
      <c r="FJ379" s="87"/>
      <c r="FK379" s="87"/>
    </row>
    <row r="380" spans="1:167" hidden="1" outlineLevel="1">
      <c r="A380" s="31" t="str">
        <f t="shared" si="32"/>
        <v>modesg_out_bens_imoveisunidade_funcional_scp2_emss</v>
      </c>
      <c r="B380" s="76" t="s">
        <v>28</v>
      </c>
      <c r="C380" s="77" t="s">
        <v>301</v>
      </c>
      <c r="D380" s="73" t="s">
        <v>40</v>
      </c>
      <c r="E380" s="75" t="s">
        <v>302</v>
      </c>
      <c r="F380" s="73" t="s">
        <v>310</v>
      </c>
      <c r="G380" s="73" t="str">
        <f>INDEX(Auxiliar!$B$16:$B$23,MATCH(Plano_V1!H380,Auxiliar!$C$16:$C$23,0),1)</f>
        <v>2. Em Teste</v>
      </c>
      <c r="H380" s="73">
        <f>VLOOKUP(A380,'Aux - pivots1'!$A:$B,2,0)</f>
        <v>2</v>
      </c>
      <c r="I380" s="93">
        <f>SUMIFS(Table1[Estimação (horas)],Table1[Tabela],Plano_V1!E380,Table1[Campo],Plano_V1!F380)</f>
        <v>4.0999999999999996</v>
      </c>
      <c r="J380" s="93">
        <f t="shared" si="33"/>
        <v>0.51249999999999996</v>
      </c>
      <c r="K380" s="96" t="s">
        <v>303</v>
      </c>
      <c r="L380" s="99">
        <f t="shared" si="31"/>
        <v>0.51249999999999996</v>
      </c>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100"/>
      <c r="AU380" s="87"/>
      <c r="AV380" s="87"/>
      <c r="AW380" s="87"/>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100"/>
      <c r="EJ380" s="100"/>
      <c r="EK380" s="100"/>
      <c r="EL380" s="100"/>
      <c r="EM380" s="100"/>
      <c r="EN380" s="100"/>
      <c r="EO380" s="100"/>
      <c r="EP380" s="87"/>
      <c r="EQ380" s="87"/>
      <c r="ER380" s="87"/>
      <c r="ES380" s="87"/>
      <c r="ET380" s="87"/>
      <c r="EU380" s="87"/>
      <c r="EV380" s="87"/>
      <c r="EW380" s="87"/>
      <c r="EX380" s="87"/>
      <c r="EY380" s="87"/>
      <c r="EZ380" s="87"/>
      <c r="FA380" s="87"/>
      <c r="FB380" s="87"/>
      <c r="FC380" s="87"/>
      <c r="FD380" s="87"/>
      <c r="FE380" s="87"/>
      <c r="FF380" s="87"/>
      <c r="FG380" s="87"/>
      <c r="FH380" s="87"/>
      <c r="FI380" s="87"/>
      <c r="FJ380" s="87"/>
      <c r="FK380" s="87"/>
    </row>
    <row r="381" spans="1:167" hidden="1" outlineLevel="1">
      <c r="A381" s="31" t="str">
        <f t="shared" si="32"/>
        <v>modesg_out_bens_imoveisunidade_funcional_scp3_emss</v>
      </c>
      <c r="B381" s="76" t="s">
        <v>28</v>
      </c>
      <c r="C381" s="77" t="s">
        <v>301</v>
      </c>
      <c r="D381" s="73" t="s">
        <v>40</v>
      </c>
      <c r="E381" s="75" t="s">
        <v>302</v>
      </c>
      <c r="F381" s="73" t="s">
        <v>311</v>
      </c>
      <c r="G381" s="73" t="str">
        <f>INDEX(Auxiliar!$B$16:$B$23,MATCH(Plano_V1!H381,Auxiliar!$C$16:$C$23,0),1)</f>
        <v>2. Em Teste</v>
      </c>
      <c r="H381" s="73">
        <f>VLOOKUP(A381,'Aux - pivots1'!$A:$B,2,0)</f>
        <v>2</v>
      </c>
      <c r="I381" s="93">
        <f>SUMIFS(Table1[Estimação (horas)],Table1[Tabela],Plano_V1!E381,Table1[Campo],Plano_V1!F381)</f>
        <v>4.0999999999999996</v>
      </c>
      <c r="J381" s="93">
        <f t="shared" si="33"/>
        <v>0.51249999999999996</v>
      </c>
      <c r="K381" s="96" t="s">
        <v>303</v>
      </c>
      <c r="L381" s="99">
        <f t="shared" si="31"/>
        <v>0.51249999999999996</v>
      </c>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100"/>
      <c r="AU381" s="87"/>
      <c r="AV381" s="87"/>
      <c r="AW381" s="87"/>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100"/>
      <c r="EJ381" s="100"/>
      <c r="EK381" s="100"/>
      <c r="EL381" s="100"/>
      <c r="EM381" s="100"/>
      <c r="EN381" s="100"/>
      <c r="EO381" s="100"/>
      <c r="EP381" s="87"/>
      <c r="EQ381" s="87"/>
      <c r="ER381" s="87"/>
      <c r="ES381" s="87"/>
      <c r="ET381" s="87"/>
      <c r="EU381" s="87"/>
      <c r="EV381" s="87"/>
      <c r="EW381" s="87"/>
      <c r="EX381" s="87"/>
      <c r="EY381" s="87"/>
      <c r="EZ381" s="87"/>
      <c r="FA381" s="87"/>
      <c r="FB381" s="87"/>
      <c r="FC381" s="87"/>
      <c r="FD381" s="87"/>
      <c r="FE381" s="87"/>
      <c r="FF381" s="87"/>
      <c r="FG381" s="87"/>
      <c r="FH381" s="87"/>
      <c r="FI381" s="87"/>
      <c r="FJ381" s="87"/>
      <c r="FK381" s="87"/>
    </row>
    <row r="382" spans="1:167" hidden="1" outlineLevel="1">
      <c r="A382" s="31" t="str">
        <f t="shared" si="32"/>
        <v>modesg_out_empr_info_nfinn.a.</v>
      </c>
      <c r="B382" s="76" t="s">
        <v>28</v>
      </c>
      <c r="C382" s="77" t="s">
        <v>301</v>
      </c>
      <c r="D382" s="73" t="s">
        <v>36</v>
      </c>
      <c r="E382" s="75" t="s">
        <v>312</v>
      </c>
      <c r="F382" s="73" t="s">
        <v>38</v>
      </c>
      <c r="G382" s="73" t="str">
        <f>INDEX(Auxiliar!$B$16:$B$23,MATCH(Plano_V1!H382,Auxiliar!$C$16:$C$23,0),1)</f>
        <v>1. Concluído</v>
      </c>
      <c r="H382" s="73">
        <f>VLOOKUP(A382,'Aux - pivots1'!$A:$B,2,0)</f>
        <v>1</v>
      </c>
      <c r="I382" s="93">
        <f>SUMIFS(Table1[Estimação (horas)],Table1[Tabela],Plano_V1!E382,Table1[Campo],Plano_V1!F382)</f>
        <v>8</v>
      </c>
      <c r="J382" s="93">
        <f t="shared" si="33"/>
        <v>1</v>
      </c>
      <c r="K382" s="96" t="s">
        <v>313</v>
      </c>
      <c r="L382" s="99">
        <f t="shared" si="31"/>
        <v>1</v>
      </c>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100"/>
      <c r="AU382" s="87"/>
      <c r="AV382" s="87"/>
      <c r="AW382" s="87"/>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100"/>
      <c r="EJ382" s="100"/>
      <c r="EK382" s="100"/>
      <c r="EL382" s="100"/>
      <c r="EM382" s="100"/>
      <c r="EN382" s="100"/>
      <c r="EO382" s="100"/>
      <c r="EP382" s="87"/>
      <c r="EQ382" s="87"/>
      <c r="ER382" s="87"/>
      <c r="ES382" s="87"/>
      <c r="ET382" s="87"/>
      <c r="EU382" s="87"/>
      <c r="EV382" s="87"/>
      <c r="EW382" s="87"/>
      <c r="EX382" s="87"/>
      <c r="EY382" s="87"/>
      <c r="EZ382" s="87"/>
      <c r="FA382" s="87"/>
      <c r="FB382" s="87"/>
      <c r="FC382" s="87"/>
      <c r="FD382" s="87"/>
      <c r="FE382" s="87"/>
      <c r="FF382" s="87"/>
      <c r="FG382" s="87"/>
      <c r="FH382" s="87"/>
      <c r="FI382" s="87"/>
      <c r="FJ382" s="87"/>
      <c r="FK382" s="87"/>
    </row>
    <row r="383" spans="1:167" hidden="1" outlineLevel="1">
      <c r="A383" s="31" t="str">
        <f t="shared" si="32"/>
        <v>modesg_out_empr_info_nfincca_capex_enblng_algnd</v>
      </c>
      <c r="B383" s="76" t="s">
        <v>28</v>
      </c>
      <c r="C383" s="77" t="s">
        <v>301</v>
      </c>
      <c r="D383" s="73" t="s">
        <v>40</v>
      </c>
      <c r="E383" s="75" t="s">
        <v>312</v>
      </c>
      <c r="F383" s="73" t="s">
        <v>241</v>
      </c>
      <c r="G383" s="73" t="str">
        <f>INDEX(Auxiliar!$B$16:$B$23,MATCH(Plano_V1!H383,Auxiliar!$C$16:$C$23,0),1)</f>
        <v>6. Em implementação (re-especificação)</v>
      </c>
      <c r="H383" s="73">
        <f>VLOOKUP(A383,'Aux - pivots1'!$A:$B,2,0)</f>
        <v>6</v>
      </c>
      <c r="I383" s="93">
        <f>SUMIFS(Table1[Estimação (horas)],Table1[Tabela],Plano_V1!E383,Table1[Campo],Plano_V1!F383)</f>
        <v>16.100000000000001</v>
      </c>
      <c r="J383" s="93">
        <f t="shared" si="33"/>
        <v>2.0125000000000002</v>
      </c>
      <c r="K383" s="96" t="s">
        <v>313</v>
      </c>
      <c r="L383" s="99">
        <f t="shared" si="31"/>
        <v>2.0125000000000002</v>
      </c>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100"/>
      <c r="AU383" s="87"/>
      <c r="AV383" s="87"/>
      <c r="AW383" s="87"/>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100"/>
      <c r="EJ383" s="100"/>
      <c r="EK383" s="100"/>
      <c r="EL383" s="100"/>
      <c r="EM383" s="100"/>
      <c r="EN383" s="100"/>
      <c r="EO383" s="100"/>
      <c r="EP383" s="87"/>
      <c r="EQ383" s="87"/>
      <c r="ER383" s="87"/>
      <c r="ES383" s="87"/>
      <c r="ET383" s="87"/>
      <c r="EU383" s="87"/>
      <c r="EV383" s="87"/>
      <c r="EW383" s="87"/>
      <c r="EX383" s="87"/>
      <c r="EY383" s="87"/>
      <c r="EZ383" s="87"/>
      <c r="FA383" s="87"/>
      <c r="FB383" s="87"/>
      <c r="FC383" s="87"/>
      <c r="FD383" s="87"/>
      <c r="FE383" s="87"/>
      <c r="FF383" s="87"/>
      <c r="FG383" s="87"/>
      <c r="FH383" s="87"/>
      <c r="FI383" s="87"/>
      <c r="FJ383" s="87"/>
      <c r="FK383" s="87"/>
    </row>
    <row r="384" spans="1:167" hidden="1" outlineLevel="1">
      <c r="A384" s="31" t="str">
        <f t="shared" si="32"/>
        <v>modesg_out_empr_info_nfincca_capex_own_prfrmnce_algnd</v>
      </c>
      <c r="B384" s="76" t="s">
        <v>28</v>
      </c>
      <c r="C384" s="77" t="s">
        <v>301</v>
      </c>
      <c r="D384" s="73" t="s">
        <v>40</v>
      </c>
      <c r="E384" s="75" t="s">
        <v>312</v>
      </c>
      <c r="F384" s="73" t="s">
        <v>242</v>
      </c>
      <c r="G384" s="73" t="str">
        <f>INDEX(Auxiliar!$B$16:$B$23,MATCH(Plano_V1!H384,Auxiliar!$C$16:$C$23,0),1)</f>
        <v>6. Em implementação (re-especificação)</v>
      </c>
      <c r="H384" s="73">
        <f>VLOOKUP(A384,'Aux - pivots1'!$A:$B,2,0)</f>
        <v>6</v>
      </c>
      <c r="I384" s="93">
        <f>SUMIFS(Table1[Estimação (horas)],Table1[Tabela],Plano_V1!E384,Table1[Campo],Plano_V1!F384)</f>
        <v>16.100000000000001</v>
      </c>
      <c r="J384" s="93">
        <f t="shared" si="33"/>
        <v>2.0125000000000002</v>
      </c>
      <c r="K384" s="96" t="s">
        <v>313</v>
      </c>
      <c r="L384" s="99">
        <f t="shared" si="31"/>
        <v>2.0125000000000002</v>
      </c>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100"/>
      <c r="AU384" s="87"/>
      <c r="AV384" s="87"/>
      <c r="AW384" s="87"/>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100"/>
      <c r="EJ384" s="100"/>
      <c r="EK384" s="100"/>
      <c r="EL384" s="100"/>
      <c r="EM384" s="100"/>
      <c r="EN384" s="100"/>
      <c r="EO384" s="100"/>
      <c r="EP384" s="87"/>
      <c r="EQ384" s="87"/>
      <c r="ER384" s="87"/>
      <c r="ES384" s="87"/>
      <c r="ET384" s="87"/>
      <c r="EU384" s="87"/>
      <c r="EV384" s="87"/>
      <c r="EW384" s="87"/>
      <c r="EX384" s="87"/>
      <c r="EY384" s="87"/>
      <c r="EZ384" s="87"/>
      <c r="FA384" s="87"/>
      <c r="FB384" s="87"/>
      <c r="FC384" s="87"/>
      <c r="FD384" s="87"/>
      <c r="FE384" s="87"/>
      <c r="FF384" s="87"/>
      <c r="FG384" s="87"/>
      <c r="FH384" s="87"/>
      <c r="FI384" s="87"/>
      <c r="FJ384" s="87"/>
      <c r="FK384" s="87"/>
    </row>
    <row r="385" spans="1:167" hidden="1" outlineLevel="1">
      <c r="A385" s="31" t="str">
        <f t="shared" si="32"/>
        <v>modesg_out_empr_info_nfincca_capex_ttl_elgbl</v>
      </c>
      <c r="B385" s="76" t="s">
        <v>28</v>
      </c>
      <c r="C385" s="77" t="s">
        <v>301</v>
      </c>
      <c r="D385" s="73" t="s">
        <v>40</v>
      </c>
      <c r="E385" s="75" t="s">
        <v>312</v>
      </c>
      <c r="F385" s="73" t="s">
        <v>240</v>
      </c>
      <c r="G385" s="73" t="str">
        <f>INDEX(Auxiliar!$B$16:$B$23,MATCH(Plano_V1!H385,Auxiliar!$C$16:$C$23,0),1)</f>
        <v>6. Em implementação (re-especificação)</v>
      </c>
      <c r="H385" s="73">
        <f>VLOOKUP(A385,'Aux - pivots1'!$A:$B,2,0)</f>
        <v>6</v>
      </c>
      <c r="I385" s="93">
        <f>SUMIFS(Table1[Estimação (horas)],Table1[Tabela],Plano_V1!E385,Table1[Campo],Plano_V1!F385)</f>
        <v>16.100000000000001</v>
      </c>
      <c r="J385" s="93">
        <f t="shared" si="33"/>
        <v>2.0125000000000002</v>
      </c>
      <c r="K385" s="96" t="s">
        <v>313</v>
      </c>
      <c r="L385" s="99">
        <f t="shared" si="31"/>
        <v>2.0125000000000002</v>
      </c>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100"/>
      <c r="AU385" s="87"/>
      <c r="AV385" s="87"/>
      <c r="AW385" s="87"/>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100"/>
      <c r="EJ385" s="100"/>
      <c r="EK385" s="100"/>
      <c r="EL385" s="100"/>
      <c r="EM385" s="100"/>
      <c r="EN385" s="100"/>
      <c r="EO385" s="100"/>
      <c r="EP385" s="87"/>
      <c r="EQ385" s="87"/>
      <c r="ER385" s="87"/>
      <c r="ES385" s="87"/>
      <c r="ET385" s="87"/>
      <c r="EU385" s="87"/>
      <c r="EV385" s="87"/>
      <c r="EW385" s="87"/>
      <c r="EX385" s="87"/>
      <c r="EY385" s="87"/>
      <c r="EZ385" s="87"/>
      <c r="FA385" s="87"/>
      <c r="FB385" s="87"/>
      <c r="FC385" s="87"/>
      <c r="FD385" s="87"/>
      <c r="FE385" s="87"/>
      <c r="FF385" s="87"/>
      <c r="FG385" s="87"/>
      <c r="FH385" s="87"/>
      <c r="FI385" s="87"/>
      <c r="FJ385" s="87"/>
      <c r="FK385" s="87"/>
    </row>
    <row r="386" spans="1:167" hidden="1" outlineLevel="1">
      <c r="A386" s="31" t="str">
        <f t="shared" si="32"/>
        <v>modesg_out_empr_info_nfincca_trnvr_enblng_alignd</v>
      </c>
      <c r="B386" s="76" t="s">
        <v>28</v>
      </c>
      <c r="C386" s="77" t="s">
        <v>301</v>
      </c>
      <c r="D386" s="73" t="s">
        <v>40</v>
      </c>
      <c r="E386" s="75" t="s">
        <v>312</v>
      </c>
      <c r="F386" s="73" t="s">
        <v>238</v>
      </c>
      <c r="G386" s="73" t="str">
        <f>INDEX(Auxiliar!$B$16:$B$23,MATCH(Plano_V1!H386,Auxiliar!$C$16:$C$23,0),1)</f>
        <v>6. Em implementação (re-especificação)</v>
      </c>
      <c r="H386" s="73">
        <f>VLOOKUP(A386,'Aux - pivots1'!$A:$B,2,0)</f>
        <v>6</v>
      </c>
      <c r="I386" s="93">
        <f>SUMIFS(Table1[Estimação (horas)],Table1[Tabela],Plano_V1!E386,Table1[Campo],Plano_V1!F386)</f>
        <v>16.100000000000001</v>
      </c>
      <c r="J386" s="93">
        <f t="shared" si="33"/>
        <v>2.0125000000000002</v>
      </c>
      <c r="K386" s="96" t="s">
        <v>313</v>
      </c>
      <c r="L386" s="99">
        <f t="shared" si="31"/>
        <v>2.0125000000000002</v>
      </c>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100"/>
      <c r="AU386" s="87"/>
      <c r="AV386" s="87"/>
      <c r="AW386" s="87"/>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100"/>
      <c r="EJ386" s="100"/>
      <c r="EK386" s="100"/>
      <c r="EL386" s="100"/>
      <c r="EM386" s="100"/>
      <c r="EN386" s="100"/>
      <c r="EO386" s="100"/>
      <c r="EP386" s="87"/>
      <c r="EQ386" s="87"/>
      <c r="ER386" s="87"/>
      <c r="ES386" s="87"/>
      <c r="ET386" s="87"/>
      <c r="EU386" s="87"/>
      <c r="EV386" s="87"/>
      <c r="EW386" s="87"/>
      <c r="EX386" s="87"/>
      <c r="EY386" s="87"/>
      <c r="EZ386" s="87"/>
      <c r="FA386" s="87"/>
      <c r="FB386" s="87"/>
      <c r="FC386" s="87"/>
      <c r="FD386" s="87"/>
      <c r="FE386" s="87"/>
      <c r="FF386" s="87"/>
      <c r="FG386" s="87"/>
      <c r="FH386" s="87"/>
      <c r="FI386" s="87"/>
      <c r="FJ386" s="87"/>
      <c r="FK386" s="87"/>
    </row>
    <row r="387" spans="1:167" hidden="1" outlineLevel="1">
      <c r="A387" s="31" t="str">
        <f t="shared" si="32"/>
        <v>modesg_out_empr_info_nfincca_trnvr_ttl_elgbl</v>
      </c>
      <c r="B387" s="76" t="s">
        <v>28</v>
      </c>
      <c r="C387" s="77" t="s">
        <v>301</v>
      </c>
      <c r="D387" s="73" t="s">
        <v>40</v>
      </c>
      <c r="E387" s="75" t="s">
        <v>312</v>
      </c>
      <c r="F387" s="73" t="s">
        <v>237</v>
      </c>
      <c r="G387" s="73" t="str">
        <f>INDEX(Auxiliar!$B$16:$B$23,MATCH(Plano_V1!H387,Auxiliar!$C$16:$C$23,0),1)</f>
        <v>6. Em implementação (re-especificação)</v>
      </c>
      <c r="H387" s="73">
        <f>VLOOKUP(A387,'Aux - pivots1'!$A:$B,2,0)</f>
        <v>6</v>
      </c>
      <c r="I387" s="93">
        <f>SUMIFS(Table1[Estimação (horas)],Table1[Tabela],Plano_V1!E387,Table1[Campo],Plano_V1!F387)</f>
        <v>16.100000000000001</v>
      </c>
      <c r="J387" s="93">
        <f t="shared" si="33"/>
        <v>2.0125000000000002</v>
      </c>
      <c r="K387" s="96" t="s">
        <v>313</v>
      </c>
      <c r="L387" s="99">
        <f t="shared" si="31"/>
        <v>2.0125000000000002</v>
      </c>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100"/>
      <c r="AU387" s="87"/>
      <c r="AV387" s="87"/>
      <c r="AW387" s="87"/>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100"/>
      <c r="EJ387" s="100"/>
      <c r="EK387" s="100"/>
      <c r="EL387" s="100"/>
      <c r="EM387" s="100"/>
      <c r="EN387" s="100"/>
      <c r="EO387" s="100"/>
      <c r="EP387" s="87"/>
      <c r="EQ387" s="87"/>
      <c r="ER387" s="87"/>
      <c r="ES387" s="87"/>
      <c r="ET387" s="87"/>
      <c r="EU387" s="87"/>
      <c r="EV387" s="87"/>
      <c r="EW387" s="87"/>
      <c r="EX387" s="87"/>
      <c r="EY387" s="87"/>
      <c r="EZ387" s="87"/>
      <c r="FA387" s="87"/>
      <c r="FB387" s="87"/>
      <c r="FC387" s="87"/>
      <c r="FD387" s="87"/>
      <c r="FE387" s="87"/>
      <c r="FF387" s="87"/>
      <c r="FG387" s="87"/>
      <c r="FH387" s="87"/>
      <c r="FI387" s="87"/>
      <c r="FJ387" s="87"/>
      <c r="FK387" s="87"/>
    </row>
    <row r="388" spans="1:167" hidden="1" outlineLevel="1">
      <c r="A388" s="31" t="str">
        <f t="shared" si="32"/>
        <v>modesg_out_empr_info_nfincca_turnover_own_prfrmnce_algnd</v>
      </c>
      <c r="B388" s="76" t="s">
        <v>28</v>
      </c>
      <c r="C388" s="77" t="s">
        <v>301</v>
      </c>
      <c r="D388" s="73" t="s">
        <v>40</v>
      </c>
      <c r="E388" s="75" t="s">
        <v>312</v>
      </c>
      <c r="F388" s="73" t="s">
        <v>239</v>
      </c>
      <c r="G388" s="73" t="str">
        <f>INDEX(Auxiliar!$B$16:$B$23,MATCH(Plano_V1!H388,Auxiliar!$C$16:$C$23,0),1)</f>
        <v>6. Em implementação (re-especificação)</v>
      </c>
      <c r="H388" s="73">
        <f>VLOOKUP(A388,'Aux - pivots1'!$A:$B,2,0)</f>
        <v>6</v>
      </c>
      <c r="I388" s="93">
        <f>SUMIFS(Table1[Estimação (horas)],Table1[Tabela],Plano_V1!E388,Table1[Campo],Plano_V1!F388)</f>
        <v>16.100000000000001</v>
      </c>
      <c r="J388" s="93">
        <f t="shared" si="33"/>
        <v>2.0125000000000002</v>
      </c>
      <c r="K388" s="96" t="s">
        <v>313</v>
      </c>
      <c r="L388" s="99">
        <f t="shared" si="31"/>
        <v>2.0125000000000002</v>
      </c>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100"/>
      <c r="AU388" s="87"/>
      <c r="AV388" s="87"/>
      <c r="AW388" s="87"/>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100"/>
      <c r="EJ388" s="100"/>
      <c r="EK388" s="100"/>
      <c r="EL388" s="100"/>
      <c r="EM388" s="100"/>
      <c r="EN388" s="100"/>
      <c r="EO388" s="100"/>
      <c r="EP388" s="87"/>
      <c r="EQ388" s="87"/>
      <c r="ER388" s="87"/>
      <c r="ES388" s="87"/>
      <c r="ET388" s="87"/>
      <c r="EU388" s="87"/>
      <c r="EV388" s="87"/>
      <c r="EW388" s="87"/>
      <c r="EX388" s="87"/>
      <c r="EY388" s="87"/>
      <c r="EZ388" s="87"/>
      <c r="FA388" s="87"/>
      <c r="FB388" s="87"/>
      <c r="FC388" s="87"/>
      <c r="FD388" s="87"/>
      <c r="FE388" s="87"/>
      <c r="FF388" s="87"/>
      <c r="FG388" s="87"/>
      <c r="FH388" s="87"/>
      <c r="FI388" s="87"/>
      <c r="FJ388" s="87"/>
      <c r="FK388" s="87"/>
    </row>
    <row r="389" spans="1:167" hidden="1" outlineLevel="1">
      <c r="A389" s="31" t="str">
        <f t="shared" si="32"/>
        <v>modesg_out_empr_info_nfinccm_capex_enblng_algnd</v>
      </c>
      <c r="B389" s="76" t="s">
        <v>28</v>
      </c>
      <c r="C389" s="77" t="s">
        <v>301</v>
      </c>
      <c r="D389" s="73" t="s">
        <v>40</v>
      </c>
      <c r="E389" s="75" t="s">
        <v>312</v>
      </c>
      <c r="F389" s="73" t="s">
        <v>248</v>
      </c>
      <c r="G389" s="73" t="str">
        <f>INDEX(Auxiliar!$B$16:$B$23,MATCH(Plano_V1!H389,Auxiliar!$C$16:$C$23,0),1)</f>
        <v>6. Em implementação (re-especificação)</v>
      </c>
      <c r="H389" s="73">
        <f>VLOOKUP(A389,'Aux - pivots1'!$A:$B,2,0)</f>
        <v>6</v>
      </c>
      <c r="I389" s="93">
        <f>SUMIFS(Table1[Estimação (horas)],Table1[Tabela],Plano_V1!E389,Table1[Campo],Plano_V1!F389)</f>
        <v>16.100000000000001</v>
      </c>
      <c r="J389" s="93">
        <f t="shared" si="33"/>
        <v>2.0125000000000002</v>
      </c>
      <c r="K389" s="96" t="s">
        <v>313</v>
      </c>
      <c r="L389" s="99">
        <f t="shared" si="31"/>
        <v>2.0125000000000002</v>
      </c>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100"/>
      <c r="AU389" s="87"/>
      <c r="AV389" s="87"/>
      <c r="AW389" s="87"/>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100"/>
      <c r="EJ389" s="100"/>
      <c r="EK389" s="100"/>
      <c r="EL389" s="100"/>
      <c r="EM389" s="100"/>
      <c r="EN389" s="100"/>
      <c r="EO389" s="100"/>
      <c r="EP389" s="87"/>
      <c r="EQ389" s="87"/>
      <c r="ER389" s="87"/>
      <c r="ES389" s="87"/>
      <c r="ET389" s="87"/>
      <c r="EU389" s="87"/>
      <c r="EV389" s="87"/>
      <c r="EW389" s="87"/>
      <c r="EX389" s="87"/>
      <c r="EY389" s="87"/>
      <c r="EZ389" s="87"/>
      <c r="FA389" s="87"/>
      <c r="FB389" s="87"/>
      <c r="FC389" s="87"/>
      <c r="FD389" s="87"/>
      <c r="FE389" s="87"/>
      <c r="FF389" s="87"/>
      <c r="FG389" s="87"/>
      <c r="FH389" s="87"/>
      <c r="FI389" s="87"/>
      <c r="FJ389" s="87"/>
      <c r="FK389" s="87"/>
    </row>
    <row r="390" spans="1:167" hidden="1" outlineLevel="1">
      <c r="A390" s="31" t="str">
        <f t="shared" si="32"/>
        <v>modesg_out_empr_info_nfinccm_capex_own_prfrmnce_algnd</v>
      </c>
      <c r="B390" s="76" t="s">
        <v>28</v>
      </c>
      <c r="C390" s="77" t="s">
        <v>301</v>
      </c>
      <c r="D390" s="73" t="s">
        <v>40</v>
      </c>
      <c r="E390" s="75" t="s">
        <v>312</v>
      </c>
      <c r="F390" s="73" t="s">
        <v>250</v>
      </c>
      <c r="G390" s="73" t="str">
        <f>INDEX(Auxiliar!$B$16:$B$23,MATCH(Plano_V1!H390,Auxiliar!$C$16:$C$23,0),1)</f>
        <v>6. Em implementação (re-especificação)</v>
      </c>
      <c r="H390" s="73">
        <f>VLOOKUP(A390,'Aux - pivots1'!$A:$B,2,0)</f>
        <v>6</v>
      </c>
      <c r="I390" s="93">
        <f>SUMIFS(Table1[Estimação (horas)],Table1[Tabela],Plano_V1!E390,Table1[Campo],Plano_V1!F390)</f>
        <v>16.100000000000001</v>
      </c>
      <c r="J390" s="93">
        <f t="shared" si="33"/>
        <v>2.0125000000000002</v>
      </c>
      <c r="K390" s="96" t="s">
        <v>313</v>
      </c>
      <c r="L390" s="99">
        <f t="shared" si="31"/>
        <v>2.0125000000000002</v>
      </c>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100"/>
      <c r="AU390" s="87"/>
      <c r="AV390" s="87"/>
      <c r="AW390" s="87"/>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100"/>
      <c r="EJ390" s="100"/>
      <c r="EK390" s="100"/>
      <c r="EL390" s="100"/>
      <c r="EM390" s="100"/>
      <c r="EN390" s="100"/>
      <c r="EO390" s="100"/>
      <c r="EP390" s="87"/>
      <c r="EQ390" s="87"/>
      <c r="ER390" s="87"/>
      <c r="ES390" s="87"/>
      <c r="ET390" s="87"/>
      <c r="EU390" s="87"/>
      <c r="EV390" s="87"/>
      <c r="EW390" s="87"/>
      <c r="EX390" s="87"/>
      <c r="EY390" s="87"/>
      <c r="EZ390" s="87"/>
      <c r="FA390" s="87"/>
      <c r="FB390" s="87"/>
      <c r="FC390" s="87"/>
      <c r="FD390" s="87"/>
      <c r="FE390" s="87"/>
      <c r="FF390" s="87"/>
      <c r="FG390" s="87"/>
      <c r="FH390" s="87"/>
      <c r="FI390" s="87"/>
      <c r="FJ390" s="87"/>
      <c r="FK390" s="87"/>
    </row>
    <row r="391" spans="1:167" hidden="1" outlineLevel="1">
      <c r="A391" s="31" t="str">
        <f t="shared" si="32"/>
        <v>modesg_out_empr_info_nfinccm_capex_trnstn_algnd</v>
      </c>
      <c r="B391" s="76" t="s">
        <v>28</v>
      </c>
      <c r="C391" s="77" t="s">
        <v>301</v>
      </c>
      <c r="D391" s="73" t="s">
        <v>40</v>
      </c>
      <c r="E391" s="75" t="s">
        <v>312</v>
      </c>
      <c r="F391" s="73" t="s">
        <v>249</v>
      </c>
      <c r="G391" s="73" t="str">
        <f>INDEX(Auxiliar!$B$16:$B$23,MATCH(Plano_V1!H391,Auxiliar!$C$16:$C$23,0),1)</f>
        <v>6. Em implementação (re-especificação)</v>
      </c>
      <c r="H391" s="73">
        <f>VLOOKUP(A391,'Aux - pivots1'!$A:$B,2,0)</f>
        <v>6</v>
      </c>
      <c r="I391" s="93">
        <f>SUMIFS(Table1[Estimação (horas)],Table1[Tabela],Plano_V1!E391,Table1[Campo],Plano_V1!F391)</f>
        <v>16.100000000000001</v>
      </c>
      <c r="J391" s="93">
        <f t="shared" si="33"/>
        <v>2.0125000000000002</v>
      </c>
      <c r="K391" s="96" t="s">
        <v>313</v>
      </c>
      <c r="L391" s="99">
        <f t="shared" si="31"/>
        <v>2.0125000000000002</v>
      </c>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100"/>
      <c r="AU391" s="87"/>
      <c r="AV391" s="87"/>
      <c r="AW391" s="87"/>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100"/>
      <c r="EJ391" s="100"/>
      <c r="EK391" s="100"/>
      <c r="EL391" s="100"/>
      <c r="EM391" s="100"/>
      <c r="EN391" s="100"/>
      <c r="EO391" s="100"/>
      <c r="EP391" s="87"/>
      <c r="EQ391" s="87"/>
      <c r="ER391" s="87"/>
      <c r="ES391" s="87"/>
      <c r="ET391" s="87"/>
      <c r="EU391" s="87"/>
      <c r="EV391" s="87"/>
      <c r="EW391" s="87"/>
      <c r="EX391" s="87"/>
      <c r="EY391" s="87"/>
      <c r="EZ391" s="87"/>
      <c r="FA391" s="87"/>
      <c r="FB391" s="87"/>
      <c r="FC391" s="87"/>
      <c r="FD391" s="87"/>
      <c r="FE391" s="87"/>
      <c r="FF391" s="87"/>
      <c r="FG391" s="87"/>
      <c r="FH391" s="87"/>
      <c r="FI391" s="87"/>
      <c r="FJ391" s="87"/>
      <c r="FK391" s="87"/>
    </row>
    <row r="392" spans="1:167" hidden="1" outlineLevel="1">
      <c r="A392" s="31" t="str">
        <f t="shared" si="32"/>
        <v>modesg_out_empr_info_nfinccm_capex_ttl_elgbl</v>
      </c>
      <c r="B392" s="76" t="s">
        <v>28</v>
      </c>
      <c r="C392" s="77" t="s">
        <v>301</v>
      </c>
      <c r="D392" s="73" t="s">
        <v>40</v>
      </c>
      <c r="E392" s="75" t="s">
        <v>312</v>
      </c>
      <c r="F392" s="73" t="s">
        <v>247</v>
      </c>
      <c r="G392" s="73" t="str">
        <f>INDEX(Auxiliar!$B$16:$B$23,MATCH(Plano_V1!H392,Auxiliar!$C$16:$C$23,0),1)</f>
        <v>6. Em implementação (re-especificação)</v>
      </c>
      <c r="H392" s="73">
        <f>VLOOKUP(A392,'Aux - pivots1'!$A:$B,2,0)</f>
        <v>6</v>
      </c>
      <c r="I392" s="93">
        <f>SUMIFS(Table1[Estimação (horas)],Table1[Tabela],Plano_V1!E392,Table1[Campo],Plano_V1!F392)</f>
        <v>16.100000000000001</v>
      </c>
      <c r="J392" s="93">
        <f t="shared" si="33"/>
        <v>2.0125000000000002</v>
      </c>
      <c r="K392" s="96" t="s">
        <v>313</v>
      </c>
      <c r="L392" s="99">
        <f t="shared" si="31"/>
        <v>2.0125000000000002</v>
      </c>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100"/>
      <c r="AU392" s="87"/>
      <c r="AV392" s="87"/>
      <c r="AW392" s="87"/>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100"/>
      <c r="EJ392" s="100"/>
      <c r="EK392" s="100"/>
      <c r="EL392" s="100"/>
      <c r="EM392" s="100"/>
      <c r="EN392" s="100"/>
      <c r="EO392" s="100"/>
      <c r="EP392" s="87"/>
      <c r="EQ392" s="87"/>
      <c r="ER392" s="87"/>
      <c r="ES392" s="87"/>
      <c r="ET392" s="87"/>
      <c r="EU392" s="87"/>
      <c r="EV392" s="87"/>
      <c r="EW392" s="87"/>
      <c r="EX392" s="87"/>
      <c r="EY392" s="87"/>
      <c r="EZ392" s="87"/>
      <c r="FA392" s="87"/>
      <c r="FB392" s="87"/>
      <c r="FC392" s="87"/>
      <c r="FD392" s="87"/>
      <c r="FE392" s="87"/>
      <c r="FF392" s="87"/>
      <c r="FG392" s="87"/>
      <c r="FH392" s="87"/>
      <c r="FI392" s="87"/>
      <c r="FJ392" s="87"/>
      <c r="FK392" s="87"/>
    </row>
    <row r="393" spans="1:167" hidden="1" outlineLevel="1">
      <c r="A393" s="31" t="str">
        <f t="shared" si="32"/>
        <v>modesg_out_empr_info_nfinccm_trnvr_enblng_algnd</v>
      </c>
      <c r="B393" s="76" t="s">
        <v>28</v>
      </c>
      <c r="C393" s="77" t="s">
        <v>301</v>
      </c>
      <c r="D393" s="73" t="s">
        <v>40</v>
      </c>
      <c r="E393" s="75" t="s">
        <v>312</v>
      </c>
      <c r="F393" s="73" t="s">
        <v>244</v>
      </c>
      <c r="G393" s="73" t="str">
        <f>INDEX(Auxiliar!$B$16:$B$23,MATCH(Plano_V1!H393,Auxiliar!$C$16:$C$23,0),1)</f>
        <v>6. Em implementação (re-especificação)</v>
      </c>
      <c r="H393" s="73">
        <f>VLOOKUP(A393,'Aux - pivots1'!$A:$B,2,0)</f>
        <v>6</v>
      </c>
      <c r="I393" s="93">
        <f>SUMIFS(Table1[Estimação (horas)],Table1[Tabela],Plano_V1!E393,Table1[Campo],Plano_V1!F393)</f>
        <v>16.100000000000001</v>
      </c>
      <c r="J393" s="93">
        <f t="shared" si="33"/>
        <v>2.0125000000000002</v>
      </c>
      <c r="K393" s="96" t="s">
        <v>313</v>
      </c>
      <c r="L393" s="99">
        <f t="shared" si="31"/>
        <v>2.0125000000000002</v>
      </c>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100"/>
      <c r="AU393" s="87"/>
      <c r="AV393" s="87"/>
      <c r="AW393" s="87"/>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100"/>
      <c r="EJ393" s="100"/>
      <c r="EK393" s="100"/>
      <c r="EL393" s="100"/>
      <c r="EM393" s="100"/>
      <c r="EN393" s="100"/>
      <c r="EO393" s="100"/>
      <c r="EP393" s="87"/>
      <c r="EQ393" s="87"/>
      <c r="ER393" s="87"/>
      <c r="ES393" s="87"/>
      <c r="ET393" s="87"/>
      <c r="EU393" s="87"/>
      <c r="EV393" s="87"/>
      <c r="EW393" s="87"/>
      <c r="EX393" s="87"/>
      <c r="EY393" s="87"/>
      <c r="EZ393" s="87"/>
      <c r="FA393" s="87"/>
      <c r="FB393" s="87"/>
      <c r="FC393" s="87"/>
      <c r="FD393" s="87"/>
      <c r="FE393" s="87"/>
      <c r="FF393" s="87"/>
      <c r="FG393" s="87"/>
      <c r="FH393" s="87"/>
      <c r="FI393" s="87"/>
      <c r="FJ393" s="87"/>
      <c r="FK393" s="87"/>
    </row>
    <row r="394" spans="1:167" hidden="1" outlineLevel="1">
      <c r="A394" s="31" t="str">
        <f t="shared" si="32"/>
        <v>modesg_out_empr_info_nfinccm_trnvr_own_prfrmnce_algnd</v>
      </c>
      <c r="B394" s="76" t="s">
        <v>28</v>
      </c>
      <c r="C394" s="77" t="s">
        <v>301</v>
      </c>
      <c r="D394" s="73" t="s">
        <v>40</v>
      </c>
      <c r="E394" s="75" t="s">
        <v>312</v>
      </c>
      <c r="F394" s="73" t="s">
        <v>246</v>
      </c>
      <c r="G394" s="73" t="str">
        <f>INDEX(Auxiliar!$B$16:$B$23,MATCH(Plano_V1!H394,Auxiliar!$C$16:$C$23,0),1)</f>
        <v>6. Em implementação (re-especificação)</v>
      </c>
      <c r="H394" s="73">
        <f>VLOOKUP(A394,'Aux - pivots1'!$A:$B,2,0)</f>
        <v>6</v>
      </c>
      <c r="I394" s="93">
        <f>SUMIFS(Table1[Estimação (horas)],Table1[Tabela],Plano_V1!E394,Table1[Campo],Plano_V1!F394)</f>
        <v>16.100000000000001</v>
      </c>
      <c r="J394" s="93">
        <f t="shared" si="33"/>
        <v>2.0125000000000002</v>
      </c>
      <c r="K394" s="96" t="s">
        <v>313</v>
      </c>
      <c r="L394" s="99">
        <f t="shared" si="31"/>
        <v>2.0125000000000002</v>
      </c>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100"/>
      <c r="AU394" s="87"/>
      <c r="AV394" s="87"/>
      <c r="AW394" s="87"/>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100"/>
      <c r="EJ394" s="100"/>
      <c r="EK394" s="100"/>
      <c r="EL394" s="100"/>
      <c r="EM394" s="100"/>
      <c r="EN394" s="100"/>
      <c r="EO394" s="100"/>
      <c r="EP394" s="87"/>
      <c r="EQ394" s="87"/>
      <c r="ER394" s="87"/>
      <c r="ES394" s="87"/>
      <c r="ET394" s="87"/>
      <c r="EU394" s="87"/>
      <c r="EV394" s="87"/>
      <c r="EW394" s="87"/>
      <c r="EX394" s="87"/>
      <c r="EY394" s="87"/>
      <c r="EZ394" s="87"/>
      <c r="FA394" s="87"/>
      <c r="FB394" s="87"/>
      <c r="FC394" s="87"/>
      <c r="FD394" s="87"/>
      <c r="FE394" s="87"/>
      <c r="FF394" s="87"/>
      <c r="FG394" s="87"/>
      <c r="FH394" s="87"/>
      <c r="FI394" s="87"/>
      <c r="FJ394" s="87"/>
      <c r="FK394" s="87"/>
    </row>
    <row r="395" spans="1:167" hidden="1" outlineLevel="1">
      <c r="A395" s="31" t="str">
        <f t="shared" si="32"/>
        <v>modesg_out_empr_info_nfinccm_trnvr_trnstn_alignd</v>
      </c>
      <c r="B395" s="76" t="s">
        <v>28</v>
      </c>
      <c r="C395" s="77" t="s">
        <v>301</v>
      </c>
      <c r="D395" s="73" t="s">
        <v>40</v>
      </c>
      <c r="E395" s="75" t="s">
        <v>312</v>
      </c>
      <c r="F395" s="73" t="s">
        <v>245</v>
      </c>
      <c r="G395" s="73" t="str">
        <f>INDEX(Auxiliar!$B$16:$B$23,MATCH(Plano_V1!H395,Auxiliar!$C$16:$C$23,0),1)</f>
        <v>6. Em implementação (re-especificação)</v>
      </c>
      <c r="H395" s="73">
        <f>VLOOKUP(A395,'Aux - pivots1'!$A:$B,2,0)</f>
        <v>6</v>
      </c>
      <c r="I395" s="93">
        <f>SUMIFS(Table1[Estimação (horas)],Table1[Tabela],Plano_V1!E395,Table1[Campo],Plano_V1!F395)</f>
        <v>16.100000000000001</v>
      </c>
      <c r="J395" s="93">
        <f t="shared" si="33"/>
        <v>2.0125000000000002</v>
      </c>
      <c r="K395" s="96" t="s">
        <v>313</v>
      </c>
      <c r="L395" s="99">
        <f t="shared" si="31"/>
        <v>2.0125000000000002</v>
      </c>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100"/>
      <c r="AU395" s="87"/>
      <c r="AV395" s="87"/>
      <c r="AW395" s="87"/>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100"/>
      <c r="EJ395" s="100"/>
      <c r="EK395" s="100"/>
      <c r="EL395" s="100"/>
      <c r="EM395" s="100"/>
      <c r="EN395" s="100"/>
      <c r="EO395" s="100"/>
      <c r="EP395" s="87"/>
      <c r="EQ395" s="87"/>
      <c r="ER395" s="87"/>
      <c r="ES395" s="87"/>
      <c r="ET395" s="87"/>
      <c r="EU395" s="87"/>
      <c r="EV395" s="87"/>
      <c r="EW395" s="87"/>
      <c r="EX395" s="87"/>
      <c r="EY395" s="87"/>
      <c r="EZ395" s="87"/>
      <c r="FA395" s="87"/>
      <c r="FB395" s="87"/>
      <c r="FC395" s="87"/>
      <c r="FD395" s="87"/>
      <c r="FE395" s="87"/>
      <c r="FF395" s="87"/>
      <c r="FG395" s="87"/>
      <c r="FH395" s="87"/>
      <c r="FI395" s="87"/>
      <c r="FJ395" s="87"/>
      <c r="FK395" s="87"/>
    </row>
    <row r="396" spans="1:167" hidden="1" outlineLevel="1">
      <c r="A396" s="31" t="str">
        <f t="shared" si="32"/>
        <v>modesg_out_empr_info_nfinccm_trnvr_ttl_elgbl</v>
      </c>
      <c r="B396" s="76" t="s">
        <v>28</v>
      </c>
      <c r="C396" s="77" t="s">
        <v>301</v>
      </c>
      <c r="D396" s="73" t="s">
        <v>40</v>
      </c>
      <c r="E396" s="75" t="s">
        <v>312</v>
      </c>
      <c r="F396" s="73" t="s">
        <v>243</v>
      </c>
      <c r="G396" s="73" t="str">
        <f>INDEX(Auxiliar!$B$16:$B$23,MATCH(Plano_V1!H396,Auxiliar!$C$16:$C$23,0),1)</f>
        <v>6. Em implementação (re-especificação)</v>
      </c>
      <c r="H396" s="73">
        <f>VLOOKUP(A396,'Aux - pivots1'!$A:$B,2,0)</f>
        <v>6</v>
      </c>
      <c r="I396" s="93">
        <f>SUMIFS(Table1[Estimação (horas)],Table1[Tabela],Plano_V1!E396,Table1[Campo],Plano_V1!F396)</f>
        <v>16.100000000000001</v>
      </c>
      <c r="J396" s="93">
        <f t="shared" si="33"/>
        <v>2.0125000000000002</v>
      </c>
      <c r="K396" s="96" t="s">
        <v>313</v>
      </c>
      <c r="L396" s="99">
        <f t="shared" si="31"/>
        <v>2.0125000000000002</v>
      </c>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100"/>
      <c r="AU396" s="87"/>
      <c r="AV396" s="87"/>
      <c r="AW396" s="87"/>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100"/>
      <c r="EJ396" s="100"/>
      <c r="EK396" s="100"/>
      <c r="EL396" s="100"/>
      <c r="EM396" s="100"/>
      <c r="EN396" s="100"/>
      <c r="EO396" s="100"/>
      <c r="EP396" s="87"/>
      <c r="EQ396" s="87"/>
      <c r="ER396" s="87"/>
      <c r="ES396" s="87"/>
      <c r="ET396" s="87"/>
      <c r="EU396" s="87"/>
      <c r="EV396" s="87"/>
      <c r="EW396" s="87"/>
      <c r="EX396" s="87"/>
      <c r="EY396" s="87"/>
      <c r="EZ396" s="87"/>
      <c r="FA396" s="87"/>
      <c r="FB396" s="87"/>
      <c r="FC396" s="87"/>
      <c r="FD396" s="87"/>
      <c r="FE396" s="87"/>
      <c r="FF396" s="87"/>
      <c r="FG396" s="87"/>
      <c r="FH396" s="87"/>
      <c r="FI396" s="87"/>
      <c r="FJ396" s="87"/>
      <c r="FK396" s="87"/>
    </row>
    <row r="397" spans="1:167" hidden="1" outlineLevel="1">
      <c r="A397" s="31" t="str">
        <f t="shared" si="32"/>
        <v>modesg_out_empr_info_nfincod_nace_esg</v>
      </c>
      <c r="B397" s="76" t="s">
        <v>28</v>
      </c>
      <c r="C397" s="77" t="s">
        <v>301</v>
      </c>
      <c r="D397" s="73" t="s">
        <v>40</v>
      </c>
      <c r="E397" s="75" t="s">
        <v>312</v>
      </c>
      <c r="F397" s="73" t="s">
        <v>272</v>
      </c>
      <c r="G397" s="73" t="str">
        <f>INDEX(Auxiliar!$B$16:$B$23,MATCH(Plano_V1!H397,Auxiliar!$C$16:$C$23,0),1)</f>
        <v>6. Em implementação (re-especificação)</v>
      </c>
      <c r="H397" s="73">
        <f>VLOOKUP(A397,'Aux - pivots1'!$A:$B,2,0)</f>
        <v>6</v>
      </c>
      <c r="I397" s="93">
        <f>SUMIFS(Table1[Estimação (horas)],Table1[Tabela],Plano_V1!E397,Table1[Campo],Plano_V1!F397)</f>
        <v>16.100000000000001</v>
      </c>
      <c r="J397" s="93">
        <f t="shared" si="33"/>
        <v>2.0125000000000002</v>
      </c>
      <c r="K397" s="96" t="s">
        <v>313</v>
      </c>
      <c r="L397" s="99">
        <f t="shared" si="31"/>
        <v>2.0125000000000002</v>
      </c>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100"/>
      <c r="AU397" s="87"/>
      <c r="AV397" s="87"/>
      <c r="AW397" s="87"/>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100"/>
      <c r="EJ397" s="100"/>
      <c r="EK397" s="100"/>
      <c r="EL397" s="100"/>
      <c r="EM397" s="100"/>
      <c r="EN397" s="100"/>
      <c r="EO397" s="100"/>
      <c r="EP397" s="87"/>
      <c r="EQ397" s="87"/>
      <c r="ER397" s="87"/>
      <c r="ES397" s="87"/>
      <c r="ET397" s="87"/>
      <c r="EU397" s="87"/>
      <c r="EV397" s="87"/>
      <c r="EW397" s="87"/>
      <c r="EX397" s="87"/>
      <c r="EY397" s="87"/>
      <c r="EZ397" s="87"/>
      <c r="FA397" s="87"/>
      <c r="FB397" s="87"/>
      <c r="FC397" s="87"/>
      <c r="FD397" s="87"/>
      <c r="FE397" s="87"/>
      <c r="FF397" s="87"/>
      <c r="FG397" s="87"/>
      <c r="FH397" s="87"/>
      <c r="FI397" s="87"/>
      <c r="FJ397" s="87"/>
      <c r="FK397" s="87"/>
    </row>
    <row r="398" spans="1:167" hidden="1" outlineLevel="1">
      <c r="A398" s="31" t="str">
        <f t="shared" si="32"/>
        <v>modesg_out_empr_info_nfinflg_emprs_excl_paris</v>
      </c>
      <c r="B398" s="76" t="s">
        <v>28</v>
      </c>
      <c r="C398" s="77" t="s">
        <v>301</v>
      </c>
      <c r="D398" s="73" t="s">
        <v>40</v>
      </c>
      <c r="E398" s="75" t="s">
        <v>312</v>
      </c>
      <c r="F398" s="73" t="s">
        <v>314</v>
      </c>
      <c r="G398" s="73" t="str">
        <f>INDEX(Auxiliar!$B$16:$B$23,MATCH(Plano_V1!H398,Auxiliar!$C$16:$C$23,0),1)</f>
        <v>6. Em implementação (re-especificação)</v>
      </c>
      <c r="H398" s="73">
        <f>VLOOKUP(A398,'Aux - pivots1'!$A:$B,2,0)</f>
        <v>6</v>
      </c>
      <c r="I398" s="93">
        <f>SUMIFS(Table1[Estimação (horas)],Table1[Tabela],Plano_V1!E398,Table1[Campo],Plano_V1!F398)</f>
        <v>8.1</v>
      </c>
      <c r="J398" s="93">
        <f t="shared" si="33"/>
        <v>1.0125</v>
      </c>
      <c r="K398" s="96" t="s">
        <v>313</v>
      </c>
      <c r="L398" s="99">
        <f t="shared" si="31"/>
        <v>1.0125</v>
      </c>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100"/>
      <c r="AU398" s="87"/>
      <c r="AV398" s="87"/>
      <c r="AW398" s="87"/>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100"/>
      <c r="EJ398" s="100"/>
      <c r="EK398" s="100"/>
      <c r="EL398" s="100"/>
      <c r="EM398" s="100"/>
      <c r="EN398" s="100"/>
      <c r="EO398" s="100"/>
      <c r="EP398" s="87"/>
      <c r="EQ398" s="87"/>
      <c r="ER398" s="87"/>
      <c r="ES398" s="87"/>
      <c r="ET398" s="87"/>
      <c r="EU398" s="87"/>
      <c r="EV398" s="87"/>
      <c r="EW398" s="87"/>
      <c r="EX398" s="87"/>
      <c r="EY398" s="87"/>
      <c r="EZ398" s="87"/>
      <c r="FA398" s="87"/>
      <c r="FB398" s="87"/>
      <c r="FC398" s="87"/>
      <c r="FD398" s="87"/>
      <c r="FE398" s="87"/>
      <c r="FF398" s="87"/>
      <c r="FG398" s="87"/>
      <c r="FH398" s="87"/>
      <c r="FI398" s="87"/>
      <c r="FJ398" s="87"/>
      <c r="FK398" s="87"/>
    </row>
    <row r="399" spans="1:167" hidden="1" outlineLevel="1">
      <c r="A399" s="31" t="str">
        <f t="shared" si="32"/>
        <v>modesg_out_empr_info_nfinflg_nfrd</v>
      </c>
      <c r="B399" s="76" t="s">
        <v>28</v>
      </c>
      <c r="C399" s="77" t="s">
        <v>301</v>
      </c>
      <c r="D399" s="73" t="s">
        <v>40</v>
      </c>
      <c r="E399" s="75" t="s">
        <v>312</v>
      </c>
      <c r="F399" s="73" t="s">
        <v>236</v>
      </c>
      <c r="G399" s="73" t="str">
        <f>INDEX(Auxiliar!$B$16:$B$23,MATCH(Plano_V1!H399,Auxiliar!$C$16:$C$23,0),1)</f>
        <v>6. Em implementação (re-especificação)</v>
      </c>
      <c r="H399" s="73">
        <f>VLOOKUP(A399,'Aux - pivots1'!$A:$B,2,0)</f>
        <v>6</v>
      </c>
      <c r="I399" s="93">
        <f>SUMIFS(Table1[Estimação (horas)],Table1[Tabela],Plano_V1!E399,Table1[Campo],Plano_V1!F399)</f>
        <v>8.1</v>
      </c>
      <c r="J399" s="93">
        <f t="shared" si="33"/>
        <v>1.0125</v>
      </c>
      <c r="K399" s="96" t="s">
        <v>313</v>
      </c>
      <c r="L399" s="99">
        <f t="shared" si="31"/>
        <v>1.0125</v>
      </c>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100"/>
      <c r="AU399" s="87"/>
      <c r="AV399" s="87"/>
      <c r="AW399" s="87"/>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100"/>
      <c r="EJ399" s="100"/>
      <c r="EK399" s="100"/>
      <c r="EL399" s="100"/>
      <c r="EM399" s="100"/>
      <c r="EN399" s="100"/>
      <c r="EO399" s="100"/>
      <c r="EP399" s="87"/>
      <c r="EQ399" s="87"/>
      <c r="ER399" s="87"/>
      <c r="ES399" s="87"/>
      <c r="ET399" s="87"/>
      <c r="EU399" s="87"/>
      <c r="EV399" s="87"/>
      <c r="EW399" s="87"/>
      <c r="EX399" s="87"/>
      <c r="EY399" s="87"/>
      <c r="EZ399" s="87"/>
      <c r="FA399" s="87"/>
      <c r="FB399" s="87"/>
      <c r="FC399" s="87"/>
      <c r="FD399" s="87"/>
      <c r="FE399" s="87"/>
      <c r="FF399" s="87"/>
      <c r="FG399" s="87"/>
      <c r="FH399" s="87"/>
      <c r="FI399" s="87"/>
      <c r="FJ399" s="87"/>
      <c r="FK399" s="87"/>
    </row>
    <row r="400" spans="1:167" hidden="1" outlineLevel="1">
      <c r="A400" s="31" t="str">
        <f t="shared" si="32"/>
        <v>modesg_out_empr_info_nfinflg_rsc_fsc_agd</v>
      </c>
      <c r="B400" s="76" t="s">
        <v>28</v>
      </c>
      <c r="C400" s="77" t="s">
        <v>301</v>
      </c>
      <c r="D400" s="73" t="s">
        <v>40</v>
      </c>
      <c r="E400" s="75" t="s">
        <v>312</v>
      </c>
      <c r="F400" s="73" t="s">
        <v>273</v>
      </c>
      <c r="G400" s="73" t="str">
        <f>INDEX(Auxiliar!$B$16:$B$23,MATCH(Plano_V1!H400,Auxiliar!$C$16:$C$23,0),1)</f>
        <v>4. Validação EF</v>
      </c>
      <c r="H400" s="73">
        <f>VLOOKUP(A400,'Aux - pivots1'!$A:$B,2,0)</f>
        <v>4</v>
      </c>
      <c r="I400" s="93">
        <f>SUMIFS(Table1[Estimação (horas)],Table1[Tabela],Plano_V1!E400,Table1[Campo],Plano_V1!F400)</f>
        <v>16.100000000000001</v>
      </c>
      <c r="J400" s="93">
        <f t="shared" si="33"/>
        <v>2.0125000000000002</v>
      </c>
      <c r="K400" s="96" t="s">
        <v>313</v>
      </c>
      <c r="L400" s="99">
        <f t="shared" si="31"/>
        <v>2.0125000000000002</v>
      </c>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100"/>
      <c r="AU400" s="87"/>
      <c r="AV400" s="87"/>
      <c r="AW400" s="87"/>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100"/>
      <c r="EJ400" s="100"/>
      <c r="EK400" s="100"/>
      <c r="EL400" s="100"/>
      <c r="EM400" s="100"/>
      <c r="EN400" s="100"/>
      <c r="EO400" s="100"/>
      <c r="EP400" s="87"/>
      <c r="EQ400" s="87"/>
      <c r="ER400" s="87"/>
      <c r="ES400" s="87"/>
      <c r="ET400" s="87"/>
      <c r="EU400" s="87"/>
      <c r="EV400" s="87"/>
      <c r="EW400" s="87"/>
      <c r="EX400" s="87"/>
      <c r="EY400" s="87"/>
      <c r="EZ400" s="87"/>
      <c r="FA400" s="87"/>
      <c r="FB400" s="87"/>
      <c r="FC400" s="87"/>
      <c r="FD400" s="87"/>
      <c r="FE400" s="87"/>
      <c r="FF400" s="87"/>
      <c r="FG400" s="87"/>
      <c r="FH400" s="87"/>
      <c r="FI400" s="87"/>
      <c r="FJ400" s="87"/>
      <c r="FK400" s="87"/>
    </row>
    <row r="401" spans="1:167" hidden="1" outlineLevel="1">
      <c r="A401" s="31" t="str">
        <f t="shared" si="32"/>
        <v>modesg_out_empr_info_nfinflg_rsc_fsc_crnc</v>
      </c>
      <c r="B401" s="76" t="s">
        <v>28</v>
      </c>
      <c r="C401" s="77" t="s">
        <v>301</v>
      </c>
      <c r="D401" s="73" t="s">
        <v>40</v>
      </c>
      <c r="E401" s="75" t="s">
        <v>312</v>
      </c>
      <c r="F401" s="73" t="s">
        <v>274</v>
      </c>
      <c r="G401" s="73" t="str">
        <f>INDEX(Auxiliar!$B$16:$B$23,MATCH(Plano_V1!H401,Auxiliar!$C$16:$C$23,0),1)</f>
        <v>4. Validação EF</v>
      </c>
      <c r="H401" s="73">
        <f>VLOOKUP(A401,'Aux - pivots1'!$A:$B,2,0)</f>
        <v>4</v>
      </c>
      <c r="I401" s="93">
        <f>SUMIFS(Table1[Estimação (horas)],Table1[Tabela],Plano_V1!E401,Table1[Campo],Plano_V1!F401)</f>
        <v>16.100000000000001</v>
      </c>
      <c r="J401" s="93">
        <f t="shared" si="33"/>
        <v>2.0125000000000002</v>
      </c>
      <c r="K401" s="96" t="s">
        <v>313</v>
      </c>
      <c r="L401" s="99">
        <f t="shared" si="31"/>
        <v>2.0125000000000002</v>
      </c>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100"/>
      <c r="AU401" s="87"/>
      <c r="AV401" s="87"/>
      <c r="AW401" s="87"/>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100"/>
      <c r="EJ401" s="100"/>
      <c r="EK401" s="100"/>
      <c r="EL401" s="100"/>
      <c r="EM401" s="100"/>
      <c r="EN401" s="100"/>
      <c r="EO401" s="100"/>
      <c r="EP401" s="87"/>
      <c r="EQ401" s="87"/>
      <c r="ER401" s="87"/>
      <c r="ES401" s="87"/>
      <c r="ET401" s="87"/>
      <c r="EU401" s="87"/>
      <c r="EV401" s="87"/>
      <c r="EW401" s="87"/>
      <c r="EX401" s="87"/>
      <c r="EY401" s="87"/>
      <c r="EZ401" s="87"/>
      <c r="FA401" s="87"/>
      <c r="FB401" s="87"/>
      <c r="FC401" s="87"/>
      <c r="FD401" s="87"/>
      <c r="FE401" s="87"/>
      <c r="FF401" s="87"/>
      <c r="FG401" s="87"/>
      <c r="FH401" s="87"/>
      <c r="FI401" s="87"/>
      <c r="FJ401" s="87"/>
      <c r="FK401" s="87"/>
    </row>
    <row r="402" spans="1:167" hidden="1" outlineLevel="1">
      <c r="A402" s="31" t="str">
        <f t="shared" si="32"/>
        <v>modesg_out_empr_info_nfinorigem_alinhamentos</v>
      </c>
      <c r="B402" s="76" t="s">
        <v>28</v>
      </c>
      <c r="C402" s="77" t="s">
        <v>301</v>
      </c>
      <c r="D402" s="73" t="s">
        <v>40</v>
      </c>
      <c r="E402" s="75" t="s">
        <v>312</v>
      </c>
      <c r="F402" s="73" t="s">
        <v>315</v>
      </c>
      <c r="G402" s="73" t="str">
        <f>INDEX(Auxiliar!$B$16:$B$23,MATCH(Plano_V1!H402,Auxiliar!$C$16:$C$23,0),1)</f>
        <v>6. Em implementação (re-especificação)</v>
      </c>
      <c r="H402" s="73">
        <f>VLOOKUP(A402,'Aux - pivots1'!$A:$B,2,0)</f>
        <v>6</v>
      </c>
      <c r="I402" s="93">
        <f>SUMIFS(Table1[Estimação (horas)],Table1[Tabela],Plano_V1!E402,Table1[Campo],Plano_V1!F402)</f>
        <v>4.0999999999999996</v>
      </c>
      <c r="J402" s="93">
        <f t="shared" si="33"/>
        <v>0.51249999999999996</v>
      </c>
      <c r="K402" s="96" t="s">
        <v>313</v>
      </c>
      <c r="L402" s="99">
        <f t="shared" si="31"/>
        <v>0.51249999999999996</v>
      </c>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100"/>
      <c r="AU402" s="87"/>
      <c r="AV402" s="87"/>
      <c r="AW402" s="87"/>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100"/>
      <c r="EJ402" s="100"/>
      <c r="EK402" s="100"/>
      <c r="EL402" s="100"/>
      <c r="EM402" s="100"/>
      <c r="EN402" s="100"/>
      <c r="EO402" s="100"/>
      <c r="EP402" s="87"/>
      <c r="EQ402" s="87"/>
      <c r="ER402" s="87"/>
      <c r="ES402" s="87"/>
      <c r="ET402" s="87"/>
      <c r="EU402" s="87"/>
      <c r="EV402" s="87"/>
      <c r="EW402" s="87"/>
      <c r="EX402" s="87"/>
      <c r="EY402" s="87"/>
      <c r="EZ402" s="87"/>
      <c r="FA402" s="87"/>
      <c r="FB402" s="87"/>
      <c r="FC402" s="87"/>
      <c r="FD402" s="87"/>
      <c r="FE402" s="87"/>
      <c r="FF402" s="87"/>
      <c r="FG402" s="87"/>
      <c r="FH402" s="87"/>
      <c r="FI402" s="87"/>
      <c r="FJ402" s="87"/>
      <c r="FK402" s="87"/>
    </row>
    <row r="403" spans="1:167" hidden="1" outlineLevel="1">
      <c r="A403" s="31" t="str">
        <f t="shared" si="32"/>
        <v>modesg_out_empr_info_nfinorigem_flg_emprs_excl_paris</v>
      </c>
      <c r="B403" s="76" t="s">
        <v>28</v>
      </c>
      <c r="C403" s="77" t="s">
        <v>301</v>
      </c>
      <c r="D403" s="73" t="s">
        <v>40</v>
      </c>
      <c r="E403" s="75" t="s">
        <v>312</v>
      </c>
      <c r="F403" s="73" t="s">
        <v>316</v>
      </c>
      <c r="G403" s="73" t="str">
        <f>INDEX(Auxiliar!$B$16:$B$23,MATCH(Plano_V1!H403,Auxiliar!$C$16:$C$23,0),1)</f>
        <v>6. Em implementação (re-especificação)</v>
      </c>
      <c r="H403" s="73">
        <f>VLOOKUP(A403,'Aux - pivots1'!$A:$B,2,0)</f>
        <v>6</v>
      </c>
      <c r="I403" s="93">
        <f>SUMIFS(Table1[Estimação (horas)],Table1[Tabela],Plano_V1!E403,Table1[Campo],Plano_V1!F403)</f>
        <v>4.0999999999999996</v>
      </c>
      <c r="J403" s="93">
        <f t="shared" si="33"/>
        <v>0.51249999999999996</v>
      </c>
      <c r="K403" s="96" t="s">
        <v>313</v>
      </c>
      <c r="L403" s="99">
        <f t="shared" si="31"/>
        <v>0.51249999999999996</v>
      </c>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100"/>
      <c r="AU403" s="87"/>
      <c r="AV403" s="87"/>
      <c r="AW403" s="87"/>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100"/>
      <c r="EJ403" s="100"/>
      <c r="EK403" s="100"/>
      <c r="EL403" s="100"/>
      <c r="EM403" s="100"/>
      <c r="EN403" s="100"/>
      <c r="EO403" s="100"/>
      <c r="EP403" s="87"/>
      <c r="EQ403" s="87"/>
      <c r="ER403" s="87"/>
      <c r="ES403" s="87"/>
      <c r="ET403" s="87"/>
      <c r="EU403" s="87"/>
      <c r="EV403" s="87"/>
      <c r="EW403" s="87"/>
      <c r="EX403" s="87"/>
      <c r="EY403" s="87"/>
      <c r="EZ403" s="87"/>
      <c r="FA403" s="87"/>
      <c r="FB403" s="87"/>
      <c r="FC403" s="87"/>
      <c r="FD403" s="87"/>
      <c r="FE403" s="87"/>
      <c r="FF403" s="87"/>
      <c r="FG403" s="87"/>
      <c r="FH403" s="87"/>
      <c r="FI403" s="87"/>
      <c r="FJ403" s="87"/>
      <c r="FK403" s="87"/>
    </row>
    <row r="404" spans="1:167" hidden="1" outlineLevel="1">
      <c r="A404" s="31" t="str">
        <f t="shared" si="32"/>
        <v>modesg_out_empr_info_nfinorigem_flg_nfrd</v>
      </c>
      <c r="B404" s="76" t="s">
        <v>28</v>
      </c>
      <c r="C404" s="77" t="s">
        <v>301</v>
      </c>
      <c r="D404" s="73" t="s">
        <v>40</v>
      </c>
      <c r="E404" s="75" t="s">
        <v>312</v>
      </c>
      <c r="F404" s="73" t="s">
        <v>317</v>
      </c>
      <c r="G404" s="73" t="str">
        <f>INDEX(Auxiliar!$B$16:$B$23,MATCH(Plano_V1!H404,Auxiliar!$C$16:$C$23,0),1)</f>
        <v>6. Em implementação (re-especificação)</v>
      </c>
      <c r="H404" s="73">
        <f>VLOOKUP(A404,'Aux - pivots1'!$A:$B,2,0)</f>
        <v>6</v>
      </c>
      <c r="I404" s="93">
        <f>SUMIFS(Table1[Estimação (horas)],Table1[Tabela],Plano_V1!E404,Table1[Campo],Plano_V1!F404)</f>
        <v>4.0999999999999996</v>
      </c>
      <c r="J404" s="93">
        <f t="shared" si="33"/>
        <v>0.51249999999999996</v>
      </c>
      <c r="K404" s="96" t="s">
        <v>313</v>
      </c>
      <c r="L404" s="99">
        <f t="shared" si="31"/>
        <v>0.51249999999999996</v>
      </c>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100"/>
      <c r="AU404" s="87"/>
      <c r="AV404" s="87"/>
      <c r="AW404" s="87"/>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100"/>
      <c r="EJ404" s="100"/>
      <c r="EK404" s="100"/>
      <c r="EL404" s="100"/>
      <c r="EM404" s="100"/>
      <c r="EN404" s="100"/>
      <c r="EO404" s="100"/>
      <c r="EP404" s="87"/>
      <c r="EQ404" s="87"/>
      <c r="ER404" s="87"/>
      <c r="ES404" s="87"/>
      <c r="ET404" s="87"/>
      <c r="EU404" s="87"/>
      <c r="EV404" s="87"/>
      <c r="EW404" s="87"/>
      <c r="EX404" s="87"/>
      <c r="EY404" s="87"/>
      <c r="EZ404" s="87"/>
      <c r="FA404" s="87"/>
      <c r="FB404" s="87"/>
      <c r="FC404" s="87"/>
      <c r="FD404" s="87"/>
      <c r="FE404" s="87"/>
      <c r="FF404" s="87"/>
      <c r="FG404" s="87"/>
      <c r="FH404" s="87"/>
      <c r="FI404" s="87"/>
      <c r="FJ404" s="87"/>
      <c r="FK404" s="87"/>
    </row>
    <row r="405" spans="1:167" hidden="1" outlineLevel="1">
      <c r="A405" s="31" t="str">
        <f t="shared" si="32"/>
        <v>modesg_out_empr_info_nfinorigem_flg_rsc_fsc_agd</v>
      </c>
      <c r="B405" s="76" t="s">
        <v>28</v>
      </c>
      <c r="C405" s="77" t="s">
        <v>301</v>
      </c>
      <c r="D405" s="73" t="s">
        <v>40</v>
      </c>
      <c r="E405" s="75" t="s">
        <v>312</v>
      </c>
      <c r="F405" s="73" t="s">
        <v>304</v>
      </c>
      <c r="G405" s="73" t="str">
        <f>INDEX(Auxiliar!$B$16:$B$23,MATCH(Plano_V1!H405,Auxiliar!$C$16:$C$23,0),1)</f>
        <v>4. Validação EF</v>
      </c>
      <c r="H405" s="73">
        <f>VLOOKUP(A405,'Aux - pivots1'!$A:$B,2,0)</f>
        <v>4</v>
      </c>
      <c r="I405" s="93">
        <f>SUMIFS(Table1[Estimação (horas)],Table1[Tabela],Plano_V1!E405,Table1[Campo],Plano_V1!F405)</f>
        <v>4.0999999999999996</v>
      </c>
      <c r="J405" s="93">
        <f t="shared" si="33"/>
        <v>0.51249999999999996</v>
      </c>
      <c r="K405" s="96" t="s">
        <v>313</v>
      </c>
      <c r="L405" s="99">
        <f t="shared" si="31"/>
        <v>0.51249999999999996</v>
      </c>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100"/>
      <c r="AU405" s="87"/>
      <c r="AV405" s="87"/>
      <c r="AW405" s="87"/>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100"/>
      <c r="EJ405" s="100"/>
      <c r="EK405" s="100"/>
      <c r="EL405" s="100"/>
      <c r="EM405" s="100"/>
      <c r="EN405" s="100"/>
      <c r="EO405" s="100"/>
      <c r="EP405" s="87"/>
      <c r="EQ405" s="87"/>
      <c r="ER405" s="87"/>
      <c r="ES405" s="87"/>
      <c r="ET405" s="87"/>
      <c r="EU405" s="87"/>
      <c r="EV405" s="87"/>
      <c r="EW405" s="87"/>
      <c r="EX405" s="87"/>
      <c r="EY405" s="87"/>
      <c r="EZ405" s="87"/>
      <c r="FA405" s="87"/>
      <c r="FB405" s="87"/>
      <c r="FC405" s="87"/>
      <c r="FD405" s="87"/>
      <c r="FE405" s="87"/>
      <c r="FF405" s="87"/>
      <c r="FG405" s="87"/>
      <c r="FH405" s="87"/>
      <c r="FI405" s="87"/>
      <c r="FJ405" s="87"/>
      <c r="FK405" s="87"/>
    </row>
    <row r="406" spans="1:167" hidden="1" outlineLevel="1">
      <c r="A406" s="31" t="str">
        <f t="shared" si="32"/>
        <v>modesg_out_empr_info_nfinorigem_flg_rsc_fsc_crnc</v>
      </c>
      <c r="B406" s="76" t="s">
        <v>28</v>
      </c>
      <c r="C406" s="77" t="s">
        <v>301</v>
      </c>
      <c r="D406" s="73" t="s">
        <v>40</v>
      </c>
      <c r="E406" s="75" t="s">
        <v>312</v>
      </c>
      <c r="F406" s="73" t="s">
        <v>305</v>
      </c>
      <c r="G406" s="73" t="str">
        <f>INDEX(Auxiliar!$B$16:$B$23,MATCH(Plano_V1!H406,Auxiliar!$C$16:$C$23,0),1)</f>
        <v>4. Validação EF</v>
      </c>
      <c r="H406" s="73">
        <f>VLOOKUP(A406,'Aux - pivots1'!$A:$B,2,0)</f>
        <v>4</v>
      </c>
      <c r="I406" s="93">
        <f>SUMIFS(Table1[Estimação (horas)],Table1[Tabela],Plano_V1!E406,Table1[Campo],Plano_V1!F406)</f>
        <v>4.0999999999999996</v>
      </c>
      <c r="J406" s="93">
        <f t="shared" si="33"/>
        <v>0.51249999999999996</v>
      </c>
      <c r="K406" s="96" t="s">
        <v>313</v>
      </c>
      <c r="L406" s="99">
        <f t="shared" si="31"/>
        <v>0.51249999999999996</v>
      </c>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100"/>
      <c r="AU406" s="87"/>
      <c r="AV406" s="87"/>
      <c r="AW406" s="87"/>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100"/>
      <c r="EJ406" s="100"/>
      <c r="EK406" s="100"/>
      <c r="EL406" s="100"/>
      <c r="EM406" s="100"/>
      <c r="EN406" s="100"/>
      <c r="EO406" s="100"/>
      <c r="EP406" s="87"/>
      <c r="EQ406" s="87"/>
      <c r="ER406" s="87"/>
      <c r="ES406" s="87"/>
      <c r="ET406" s="87"/>
      <c r="EU406" s="87"/>
      <c r="EV406" s="87"/>
      <c r="EW406" s="87"/>
      <c r="EX406" s="87"/>
      <c r="EY406" s="87"/>
      <c r="EZ406" s="87"/>
      <c r="FA406" s="87"/>
      <c r="FB406" s="87"/>
      <c r="FC406" s="87"/>
      <c r="FD406" s="87"/>
      <c r="FE406" s="87"/>
      <c r="FF406" s="87"/>
      <c r="FG406" s="87"/>
      <c r="FH406" s="87"/>
      <c r="FI406" s="87"/>
      <c r="FJ406" s="87"/>
      <c r="FK406" s="87"/>
    </row>
    <row r="407" spans="1:167" hidden="1" outlineLevel="1">
      <c r="A407" s="31" t="str">
        <f t="shared" si="32"/>
        <v>modesg_out_empr_info_nfinorigem_scp1_emss</v>
      </c>
      <c r="B407" s="76" t="s">
        <v>28</v>
      </c>
      <c r="C407" s="77" t="s">
        <v>301</v>
      </c>
      <c r="D407" s="73" t="s">
        <v>40</v>
      </c>
      <c r="E407" s="75" t="s">
        <v>312</v>
      </c>
      <c r="F407" s="73" t="s">
        <v>306</v>
      </c>
      <c r="G407" s="73" t="str">
        <f>INDEX(Auxiliar!$B$16:$B$23,MATCH(Plano_V1!H407,Auxiliar!$C$16:$C$23,0),1)</f>
        <v>2. Em Teste</v>
      </c>
      <c r="H407" s="73">
        <f>VLOOKUP(A407,'Aux - pivots1'!$A:$B,2,0)</f>
        <v>2</v>
      </c>
      <c r="I407" s="93">
        <f>SUMIFS(Table1[Estimação (horas)],Table1[Tabela],Plano_V1!E407,Table1[Campo],Plano_V1!F407)</f>
        <v>4.0999999999999996</v>
      </c>
      <c r="J407" s="93">
        <f t="shared" si="33"/>
        <v>0.51249999999999996</v>
      </c>
      <c r="K407" s="96" t="s">
        <v>313</v>
      </c>
      <c r="L407" s="99">
        <f t="shared" si="31"/>
        <v>0.51249999999999996</v>
      </c>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100"/>
      <c r="AU407" s="87"/>
      <c r="AV407" s="87"/>
      <c r="AW407" s="87"/>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100"/>
      <c r="EJ407" s="100"/>
      <c r="EK407" s="100"/>
      <c r="EL407" s="100"/>
      <c r="EM407" s="100"/>
      <c r="EN407" s="100"/>
      <c r="EO407" s="100"/>
      <c r="EP407" s="87"/>
      <c r="EQ407" s="87"/>
      <c r="ER407" s="87"/>
      <c r="ES407" s="87"/>
      <c r="ET407" s="87"/>
      <c r="EU407" s="87"/>
      <c r="EV407" s="87"/>
      <c r="EW407" s="87"/>
      <c r="EX407" s="87"/>
      <c r="EY407" s="87"/>
      <c r="EZ407" s="87"/>
      <c r="FA407" s="87"/>
      <c r="FB407" s="87"/>
      <c r="FC407" s="87"/>
      <c r="FD407" s="87"/>
      <c r="FE407" s="87"/>
      <c r="FF407" s="87"/>
      <c r="FG407" s="87"/>
      <c r="FH407" s="87"/>
      <c r="FI407" s="87"/>
      <c r="FJ407" s="87"/>
      <c r="FK407" s="87"/>
    </row>
    <row r="408" spans="1:167" hidden="1" outlineLevel="1">
      <c r="A408" s="31" t="str">
        <f t="shared" si="32"/>
        <v>modesg_out_empr_info_nfinorigem_scp2_emss</v>
      </c>
      <c r="B408" s="76" t="s">
        <v>28</v>
      </c>
      <c r="C408" s="77" t="s">
        <v>301</v>
      </c>
      <c r="D408" s="73" t="s">
        <v>40</v>
      </c>
      <c r="E408" s="75" t="s">
        <v>312</v>
      </c>
      <c r="F408" s="73" t="s">
        <v>307</v>
      </c>
      <c r="G408" s="73" t="str">
        <f>INDEX(Auxiliar!$B$16:$B$23,MATCH(Plano_V1!H408,Auxiliar!$C$16:$C$23,0),1)</f>
        <v>2. Em Teste</v>
      </c>
      <c r="H408" s="73">
        <f>VLOOKUP(A408,'Aux - pivots1'!$A:$B,2,0)</f>
        <v>2</v>
      </c>
      <c r="I408" s="93">
        <f>SUMIFS(Table1[Estimação (horas)],Table1[Tabela],Plano_V1!E408,Table1[Campo],Plano_V1!F408)</f>
        <v>4.0999999999999996</v>
      </c>
      <c r="J408" s="93">
        <f t="shared" si="33"/>
        <v>0.51249999999999996</v>
      </c>
      <c r="K408" s="96" t="s">
        <v>313</v>
      </c>
      <c r="L408" s="99">
        <f t="shared" si="31"/>
        <v>0.51249999999999996</v>
      </c>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100"/>
      <c r="AU408" s="87"/>
      <c r="AV408" s="87"/>
      <c r="AW408" s="87"/>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100"/>
      <c r="EJ408" s="100"/>
      <c r="EK408" s="100"/>
      <c r="EL408" s="100"/>
      <c r="EM408" s="100"/>
      <c r="EN408" s="100"/>
      <c r="EO408" s="100"/>
      <c r="EP408" s="87"/>
      <c r="EQ408" s="87"/>
      <c r="ER408" s="87"/>
      <c r="ES408" s="87"/>
      <c r="ET408" s="87"/>
      <c r="EU408" s="87"/>
      <c r="EV408" s="87"/>
      <c r="EW408" s="87"/>
      <c r="EX408" s="87"/>
      <c r="EY408" s="87"/>
      <c r="EZ408" s="87"/>
      <c r="FA408" s="87"/>
      <c r="FB408" s="87"/>
      <c r="FC408" s="87"/>
      <c r="FD408" s="87"/>
      <c r="FE408" s="87"/>
      <c r="FF408" s="87"/>
      <c r="FG408" s="87"/>
      <c r="FH408" s="87"/>
      <c r="FI408" s="87"/>
      <c r="FJ408" s="87"/>
      <c r="FK408" s="87"/>
    </row>
    <row r="409" spans="1:167" hidden="1" outlineLevel="1">
      <c r="A409" s="31" t="str">
        <f t="shared" si="32"/>
        <v>modesg_out_empr_info_nfinorigem_scp3_emss</v>
      </c>
      <c r="B409" s="76" t="s">
        <v>28</v>
      </c>
      <c r="C409" s="77" t="s">
        <v>301</v>
      </c>
      <c r="D409" s="73" t="s">
        <v>40</v>
      </c>
      <c r="E409" s="75" t="s">
        <v>312</v>
      </c>
      <c r="F409" s="73" t="s">
        <v>308</v>
      </c>
      <c r="G409" s="73" t="str">
        <f>INDEX(Auxiliar!$B$16:$B$23,MATCH(Plano_V1!H409,Auxiliar!$C$16:$C$23,0),1)</f>
        <v>2. Em Teste</v>
      </c>
      <c r="H409" s="73">
        <f>VLOOKUP(A409,'Aux - pivots1'!$A:$B,2,0)</f>
        <v>2</v>
      </c>
      <c r="I409" s="93">
        <f>SUMIFS(Table1[Estimação (horas)],Table1[Tabela],Plano_V1!E409,Table1[Campo],Plano_V1!F409)</f>
        <v>4.0999999999999996</v>
      </c>
      <c r="J409" s="93">
        <f t="shared" si="33"/>
        <v>0.51249999999999996</v>
      </c>
      <c r="K409" s="96" t="s">
        <v>313</v>
      </c>
      <c r="L409" s="99">
        <f t="shared" si="31"/>
        <v>0.51249999999999996</v>
      </c>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100"/>
      <c r="AU409" s="87"/>
      <c r="AV409" s="87"/>
      <c r="AW409" s="87"/>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100"/>
      <c r="EJ409" s="100"/>
      <c r="EK409" s="100"/>
      <c r="EL409" s="100"/>
      <c r="EM409" s="100"/>
      <c r="EN409" s="100"/>
      <c r="EO409" s="100"/>
      <c r="EP409" s="87"/>
      <c r="EQ409" s="87"/>
      <c r="ER409" s="87"/>
      <c r="ES409" s="87"/>
      <c r="ET409" s="87"/>
      <c r="EU409" s="87"/>
      <c r="EV409" s="87"/>
      <c r="EW409" s="87"/>
      <c r="EX409" s="87"/>
      <c r="EY409" s="87"/>
      <c r="EZ409" s="87"/>
      <c r="FA409" s="87"/>
      <c r="FB409" s="87"/>
      <c r="FC409" s="87"/>
      <c r="FD409" s="87"/>
      <c r="FE409" s="87"/>
      <c r="FF409" s="87"/>
      <c r="FG409" s="87"/>
      <c r="FH409" s="87"/>
      <c r="FI409" s="87"/>
      <c r="FJ409" s="87"/>
      <c r="FK409" s="87"/>
    </row>
    <row r="410" spans="1:167" hidden="1" outlineLevel="1">
      <c r="A410" s="31" t="str">
        <f t="shared" si="32"/>
        <v>modesg_out_empr_info_nfinref_date</v>
      </c>
      <c r="B410" s="76" t="s">
        <v>28</v>
      </c>
      <c r="C410" s="77" t="s">
        <v>301</v>
      </c>
      <c r="D410" s="73" t="s">
        <v>40</v>
      </c>
      <c r="E410" s="75" t="s">
        <v>312</v>
      </c>
      <c r="F410" s="73" t="s">
        <v>73</v>
      </c>
      <c r="G410" s="73" t="str">
        <f>INDEX(Auxiliar!$B$16:$B$23,MATCH(Plano_V1!H410,Auxiliar!$C$16:$C$23,0),1)</f>
        <v>1. Concluído</v>
      </c>
      <c r="H410" s="73">
        <f>VLOOKUP(A410,'Aux - pivots1'!$A:$B,2,0)</f>
        <v>1</v>
      </c>
      <c r="I410" s="93">
        <f>SUMIFS(Table1[Estimação (horas)],Table1[Tabela],Plano_V1!E410,Table1[Campo],Plano_V1!F410)</f>
        <v>4.0999999999999996</v>
      </c>
      <c r="J410" s="93">
        <f t="shared" si="33"/>
        <v>0.51249999999999996</v>
      </c>
      <c r="K410" s="96" t="s">
        <v>313</v>
      </c>
      <c r="L410" s="99">
        <f t="shared" ref="L410:L447" si="34">J410-SUM(M410:FK410)</f>
        <v>0.51249999999999996</v>
      </c>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100"/>
      <c r="AU410" s="87"/>
      <c r="AV410" s="87"/>
      <c r="AW410" s="87"/>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100"/>
      <c r="EJ410" s="100"/>
      <c r="EK410" s="100"/>
      <c r="EL410" s="100"/>
      <c r="EM410" s="100"/>
      <c r="EN410" s="100"/>
      <c r="EO410" s="100"/>
      <c r="EP410" s="87"/>
      <c r="EQ410" s="87"/>
      <c r="ER410" s="87"/>
      <c r="ES410" s="87"/>
      <c r="ET410" s="87"/>
      <c r="EU410" s="87"/>
      <c r="EV410" s="87"/>
      <c r="EW410" s="87"/>
      <c r="EX410" s="87"/>
      <c r="EY410" s="87"/>
      <c r="EZ410" s="87"/>
      <c r="FA410" s="87"/>
      <c r="FB410" s="87"/>
      <c r="FC410" s="87"/>
      <c r="FD410" s="87"/>
      <c r="FE410" s="87"/>
      <c r="FF410" s="87"/>
      <c r="FG410" s="87"/>
      <c r="FH410" s="87"/>
      <c r="FI410" s="87"/>
      <c r="FJ410" s="87"/>
      <c r="FK410" s="87"/>
    </row>
    <row r="411" spans="1:167" hidden="1" outlineLevel="1">
      <c r="A411" s="31" t="str">
        <f t="shared" si="32"/>
        <v>modesg_out_empr_info_nfinscp1_emss</v>
      </c>
      <c r="B411" s="76" t="s">
        <v>28</v>
      </c>
      <c r="C411" s="77" t="s">
        <v>301</v>
      </c>
      <c r="D411" s="73" t="s">
        <v>40</v>
      </c>
      <c r="E411" s="75" t="s">
        <v>312</v>
      </c>
      <c r="F411" s="73" t="s">
        <v>276</v>
      </c>
      <c r="G411" s="73" t="str">
        <f>INDEX(Auxiliar!$B$16:$B$23,MATCH(Plano_V1!H411,Auxiliar!$C$16:$C$23,0),1)</f>
        <v>2. Em Teste</v>
      </c>
      <c r="H411" s="73">
        <f>VLOOKUP(A411,'Aux - pivots1'!$A:$B,2,0)</f>
        <v>2</v>
      </c>
      <c r="I411" s="93">
        <f>SUMIFS(Table1[Estimação (horas)],Table1[Tabela],Plano_V1!E411,Table1[Campo],Plano_V1!F411)</f>
        <v>8.1</v>
      </c>
      <c r="J411" s="93">
        <f t="shared" si="33"/>
        <v>1.0125</v>
      </c>
      <c r="K411" s="96" t="s">
        <v>313</v>
      </c>
      <c r="L411" s="99">
        <f t="shared" si="34"/>
        <v>1.0125</v>
      </c>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100"/>
      <c r="AU411" s="87"/>
      <c r="AV411" s="87"/>
      <c r="AW411" s="87"/>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100"/>
      <c r="EJ411" s="100"/>
      <c r="EK411" s="100"/>
      <c r="EL411" s="100"/>
      <c r="EM411" s="100"/>
      <c r="EN411" s="100"/>
      <c r="EO411" s="100"/>
      <c r="EP411" s="87"/>
      <c r="EQ411" s="87"/>
      <c r="ER411" s="87"/>
      <c r="ES411" s="87"/>
      <c r="ET411" s="87"/>
      <c r="EU411" s="87"/>
      <c r="EV411" s="87"/>
      <c r="EW411" s="87"/>
      <c r="EX411" s="87"/>
      <c r="EY411" s="87"/>
      <c r="EZ411" s="87"/>
      <c r="FA411" s="87"/>
      <c r="FB411" s="87"/>
      <c r="FC411" s="87"/>
      <c r="FD411" s="87"/>
      <c r="FE411" s="87"/>
      <c r="FF411" s="87"/>
      <c r="FG411" s="87"/>
      <c r="FH411" s="87"/>
      <c r="FI411" s="87"/>
      <c r="FJ411" s="87"/>
      <c r="FK411" s="87"/>
    </row>
    <row r="412" spans="1:167" hidden="1" outlineLevel="1">
      <c r="A412" s="31" t="str">
        <f t="shared" si="32"/>
        <v>modesg_out_empr_info_nfinscp2_emss</v>
      </c>
      <c r="B412" s="76" t="s">
        <v>28</v>
      </c>
      <c r="C412" s="77" t="s">
        <v>301</v>
      </c>
      <c r="D412" s="73" t="s">
        <v>40</v>
      </c>
      <c r="E412" s="75" t="s">
        <v>312</v>
      </c>
      <c r="F412" s="73" t="s">
        <v>277</v>
      </c>
      <c r="G412" s="73" t="str">
        <f>INDEX(Auxiliar!$B$16:$B$23,MATCH(Plano_V1!H412,Auxiliar!$C$16:$C$23,0),1)</f>
        <v>2. Em Teste</v>
      </c>
      <c r="H412" s="73">
        <f>VLOOKUP(A412,'Aux - pivots1'!$A:$B,2,0)</f>
        <v>2</v>
      </c>
      <c r="I412" s="93">
        <f>SUMIFS(Table1[Estimação (horas)],Table1[Tabela],Plano_V1!E412,Table1[Campo],Plano_V1!F412)</f>
        <v>8.1</v>
      </c>
      <c r="J412" s="93">
        <f t="shared" si="33"/>
        <v>1.0125</v>
      </c>
      <c r="K412" s="96" t="s">
        <v>313</v>
      </c>
      <c r="L412" s="99">
        <f t="shared" si="34"/>
        <v>1.0125</v>
      </c>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100"/>
      <c r="AU412" s="87"/>
      <c r="AV412" s="87"/>
      <c r="AW412" s="87"/>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100"/>
      <c r="EJ412" s="100"/>
      <c r="EK412" s="100"/>
      <c r="EL412" s="100"/>
      <c r="EM412" s="100"/>
      <c r="EN412" s="100"/>
      <c r="EO412" s="100"/>
      <c r="EP412" s="87"/>
      <c r="EQ412" s="87"/>
      <c r="ER412" s="87"/>
      <c r="ES412" s="87"/>
      <c r="ET412" s="87"/>
      <c r="EU412" s="87"/>
      <c r="EV412" s="87"/>
      <c r="EW412" s="87"/>
      <c r="EX412" s="87"/>
      <c r="EY412" s="87"/>
      <c r="EZ412" s="87"/>
      <c r="FA412" s="87"/>
      <c r="FB412" s="87"/>
      <c r="FC412" s="87"/>
      <c r="FD412" s="87"/>
      <c r="FE412" s="87"/>
      <c r="FF412" s="87"/>
      <c r="FG412" s="87"/>
      <c r="FH412" s="87"/>
      <c r="FI412" s="87"/>
      <c r="FJ412" s="87"/>
      <c r="FK412" s="87"/>
    </row>
    <row r="413" spans="1:167" hidden="1" outlineLevel="1">
      <c r="A413" s="31" t="str">
        <f t="shared" ref="A413:A476" si="35">E413&amp;F413</f>
        <v>modesg_out_empr_info_nfinscp3_emss</v>
      </c>
      <c r="B413" s="76" t="s">
        <v>28</v>
      </c>
      <c r="C413" s="77" t="s">
        <v>301</v>
      </c>
      <c r="D413" s="73" t="s">
        <v>40</v>
      </c>
      <c r="E413" s="75" t="s">
        <v>312</v>
      </c>
      <c r="F413" s="73" t="s">
        <v>278</v>
      </c>
      <c r="G413" s="73" t="str">
        <f>INDEX(Auxiliar!$B$16:$B$23,MATCH(Plano_V1!H413,Auxiliar!$C$16:$C$23,0),1)</f>
        <v>2. Em Teste</v>
      </c>
      <c r="H413" s="73">
        <f>VLOOKUP(A413,'Aux - pivots1'!$A:$B,2,0)</f>
        <v>2</v>
      </c>
      <c r="I413" s="93">
        <f>SUMIFS(Table1[Estimação (horas)],Table1[Tabela],Plano_V1!E413,Table1[Campo],Plano_V1!F413)</f>
        <v>8.1</v>
      </c>
      <c r="J413" s="93">
        <f t="shared" si="33"/>
        <v>1.0125</v>
      </c>
      <c r="K413" s="96" t="s">
        <v>313</v>
      </c>
      <c r="L413" s="99">
        <f t="shared" si="34"/>
        <v>1.0125</v>
      </c>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100"/>
      <c r="AU413" s="87"/>
      <c r="AV413" s="87"/>
      <c r="AW413" s="87"/>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100"/>
      <c r="EJ413" s="100"/>
      <c r="EK413" s="100"/>
      <c r="EL413" s="100"/>
      <c r="EM413" s="100"/>
      <c r="EN413" s="100"/>
      <c r="EO413" s="100"/>
      <c r="EP413" s="87"/>
      <c r="EQ413" s="87"/>
      <c r="ER413" s="87"/>
      <c r="ES413" s="87"/>
      <c r="ET413" s="87"/>
      <c r="EU413" s="87"/>
      <c r="EV413" s="87"/>
      <c r="EW413" s="87"/>
      <c r="EX413" s="87"/>
      <c r="EY413" s="87"/>
      <c r="EZ413" s="87"/>
      <c r="FA413" s="87"/>
      <c r="FB413" s="87"/>
      <c r="FC413" s="87"/>
      <c r="FD413" s="87"/>
      <c r="FE413" s="87"/>
      <c r="FF413" s="87"/>
      <c r="FG413" s="87"/>
      <c r="FH413" s="87"/>
      <c r="FI413" s="87"/>
      <c r="FJ413" s="87"/>
      <c r="FK413" s="87"/>
    </row>
    <row r="414" spans="1:167" hidden="1" outlineLevel="1">
      <c r="A414" s="31" t="str">
        <f t="shared" si="35"/>
        <v>modesg_out_empr_info_nfinzcliente</v>
      </c>
      <c r="B414" s="76" t="s">
        <v>28</v>
      </c>
      <c r="C414" s="77" t="s">
        <v>301</v>
      </c>
      <c r="D414" s="73" t="s">
        <v>40</v>
      </c>
      <c r="E414" s="75" t="s">
        <v>312</v>
      </c>
      <c r="F414" s="73" t="s">
        <v>203</v>
      </c>
      <c r="G414" s="73" t="str">
        <f>INDEX(Auxiliar!$B$16:$B$23,MATCH(Plano_V1!H414,Auxiliar!$C$16:$C$23,0),1)</f>
        <v>1. Concluído</v>
      </c>
      <c r="H414" s="73">
        <f>VLOOKUP(A414,'Aux - pivots1'!$A:$B,2,0)</f>
        <v>1</v>
      </c>
      <c r="I414" s="93">
        <f>SUMIFS(Table1[Estimação (horas)],Table1[Tabela],Plano_V1!E414,Table1[Campo],Plano_V1!F414)</f>
        <v>4.0999999999999996</v>
      </c>
      <c r="J414" s="93">
        <f t="shared" si="33"/>
        <v>0.51249999999999996</v>
      </c>
      <c r="K414" s="96" t="s">
        <v>313</v>
      </c>
      <c r="L414" s="99">
        <f t="shared" si="34"/>
        <v>0.51249999999999996</v>
      </c>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100"/>
      <c r="AU414" s="87"/>
      <c r="AV414" s="87"/>
      <c r="AW414" s="87"/>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100"/>
      <c r="EJ414" s="100"/>
      <c r="EK414" s="100"/>
      <c r="EL414" s="100"/>
      <c r="EM414" s="100"/>
      <c r="EN414" s="100"/>
      <c r="EO414" s="100"/>
      <c r="EP414" s="87"/>
      <c r="EQ414" s="87"/>
      <c r="ER414" s="87"/>
      <c r="ES414" s="87"/>
      <c r="ET414" s="87"/>
      <c r="EU414" s="87"/>
      <c r="EV414" s="87"/>
      <c r="EW414" s="87"/>
      <c r="EX414" s="87"/>
      <c r="EY414" s="87"/>
      <c r="EZ414" s="87"/>
      <c r="FA414" s="87"/>
      <c r="FB414" s="87"/>
      <c r="FC414" s="87"/>
      <c r="FD414" s="87"/>
      <c r="FE414" s="87"/>
      <c r="FF414" s="87"/>
      <c r="FG414" s="87"/>
      <c r="FH414" s="87"/>
      <c r="FI414" s="87"/>
      <c r="FJ414" s="87"/>
      <c r="FK414" s="87"/>
    </row>
    <row r="415" spans="1:167" hidden="1" outlineLevel="1">
      <c r="A415" s="31" t="str">
        <f t="shared" si="35"/>
        <v>modesg_out_emss_vclsn.a.</v>
      </c>
      <c r="B415" s="76" t="s">
        <v>28</v>
      </c>
      <c r="C415" s="77" t="s">
        <v>301</v>
      </c>
      <c r="D415" s="73" t="s">
        <v>36</v>
      </c>
      <c r="E415" s="75" t="s">
        <v>318</v>
      </c>
      <c r="F415" s="73" t="s">
        <v>38</v>
      </c>
      <c r="G415" s="73" t="str">
        <f>INDEX(Auxiliar!$B$16:$B$23,MATCH(Plano_V1!H415,Auxiliar!$C$16:$C$23,0),1)</f>
        <v>6. Em implementação (re-especificação)</v>
      </c>
      <c r="H415" s="73">
        <f>VLOOKUP(A415,'Aux - pivots1'!$A:$B,2,0)</f>
        <v>6</v>
      </c>
      <c r="I415" s="93">
        <f>SUMIFS(Table1[Estimação (horas)],Table1[Tabela],Plano_V1!E415,Table1[Campo],Plano_V1!F415)</f>
        <v>8</v>
      </c>
      <c r="J415" s="93">
        <f t="shared" si="33"/>
        <v>1</v>
      </c>
      <c r="K415" s="96" t="s">
        <v>319</v>
      </c>
      <c r="L415" s="99">
        <f t="shared" si="34"/>
        <v>1</v>
      </c>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100"/>
      <c r="AU415" s="87"/>
      <c r="AV415" s="87"/>
      <c r="AW415" s="87"/>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100"/>
      <c r="EJ415" s="100"/>
      <c r="EK415" s="100"/>
      <c r="EL415" s="100"/>
      <c r="EM415" s="100"/>
      <c r="EN415" s="100"/>
      <c r="EO415" s="100"/>
      <c r="EP415" s="87"/>
      <c r="EQ415" s="87"/>
      <c r="ER415" s="87"/>
      <c r="ES415" s="87"/>
      <c r="ET415" s="87"/>
      <c r="EU415" s="87"/>
      <c r="EV415" s="87"/>
      <c r="EW415" s="87"/>
      <c r="EX415" s="87"/>
      <c r="EY415" s="87"/>
      <c r="EZ415" s="87"/>
      <c r="FA415" s="87"/>
      <c r="FB415" s="87"/>
      <c r="FC415" s="87"/>
      <c r="FD415" s="87"/>
      <c r="FE415" s="87"/>
      <c r="FF415" s="87"/>
      <c r="FG415" s="87"/>
      <c r="FH415" s="87"/>
      <c r="FI415" s="87"/>
      <c r="FJ415" s="87"/>
      <c r="FK415" s="87"/>
    </row>
    <row r="416" spans="1:167" hidden="1" outlineLevel="1">
      <c r="A416" s="31" t="str">
        <f t="shared" si="35"/>
        <v>modesg_out_emss_vclscempbem</v>
      </c>
      <c r="B416" s="76" t="s">
        <v>28</v>
      </c>
      <c r="C416" s="77" t="s">
        <v>301</v>
      </c>
      <c r="D416" s="73" t="s">
        <v>40</v>
      </c>
      <c r="E416" s="75" t="s">
        <v>318</v>
      </c>
      <c r="F416" s="73" t="s">
        <v>41</v>
      </c>
      <c r="G416" s="73" t="str">
        <f>INDEX(Auxiliar!$B$16:$B$23,MATCH(Plano_V1!H416,Auxiliar!$C$16:$C$23,0),1)</f>
        <v>1. Concluído</v>
      </c>
      <c r="H416" s="73">
        <f>VLOOKUP(A416,'Aux - pivots1'!$A:$B,2,0)</f>
        <v>1</v>
      </c>
      <c r="I416" s="93">
        <f>SUMIFS(Table1[Estimação (horas)],Table1[Tabela],Plano_V1!E416,Table1[Campo],Plano_V1!F416)</f>
        <v>4.0999999999999996</v>
      </c>
      <c r="J416" s="93">
        <f t="shared" si="33"/>
        <v>0.51249999999999996</v>
      </c>
      <c r="K416" s="96" t="s">
        <v>319</v>
      </c>
      <c r="L416" s="99">
        <f t="shared" si="34"/>
        <v>0.51249999999999996</v>
      </c>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100"/>
      <c r="AU416" s="87"/>
      <c r="AV416" s="87"/>
      <c r="AW416" s="87"/>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100"/>
      <c r="EJ416" s="100"/>
      <c r="EK416" s="100"/>
      <c r="EL416" s="100"/>
      <c r="EM416" s="100"/>
      <c r="EN416" s="100"/>
      <c r="EO416" s="100"/>
      <c r="EP416" s="87"/>
      <c r="EQ416" s="87"/>
      <c r="ER416" s="87"/>
      <c r="ES416" s="87"/>
      <c r="ET416" s="87"/>
      <c r="EU416" s="87"/>
      <c r="EV416" s="87"/>
      <c r="EW416" s="87"/>
      <c r="EX416" s="87"/>
      <c r="EY416" s="87"/>
      <c r="EZ416" s="87"/>
      <c r="FA416" s="87"/>
      <c r="FB416" s="87"/>
      <c r="FC416" s="87"/>
      <c r="FD416" s="87"/>
      <c r="FE416" s="87"/>
      <c r="FF416" s="87"/>
      <c r="FG416" s="87"/>
      <c r="FH416" s="87"/>
      <c r="FI416" s="87"/>
      <c r="FJ416" s="87"/>
      <c r="FK416" s="87"/>
    </row>
    <row r="417" spans="1:167" hidden="1" outlineLevel="1">
      <c r="A417" s="31" t="str">
        <f t="shared" si="35"/>
        <v>modesg_out_emss_vclsckbalbem</v>
      </c>
      <c r="B417" s="76" t="s">
        <v>28</v>
      </c>
      <c r="C417" s="77" t="s">
        <v>301</v>
      </c>
      <c r="D417" s="73" t="s">
        <v>40</v>
      </c>
      <c r="E417" s="75" t="s">
        <v>318</v>
      </c>
      <c r="F417" s="73" t="s">
        <v>43</v>
      </c>
      <c r="G417" s="73" t="str">
        <f>INDEX(Auxiliar!$B$16:$B$23,MATCH(Plano_V1!H417,Auxiliar!$C$16:$C$23,0),1)</f>
        <v>1. Concluído</v>
      </c>
      <c r="H417" s="73">
        <f>VLOOKUP(A417,'Aux - pivots1'!$A:$B,2,0)</f>
        <v>1</v>
      </c>
      <c r="I417" s="93">
        <f>SUMIFS(Table1[Estimação (horas)],Table1[Tabela],Plano_V1!E417,Table1[Campo],Plano_V1!F417)</f>
        <v>4.0999999999999996</v>
      </c>
      <c r="J417" s="93">
        <f t="shared" si="33"/>
        <v>0.51249999999999996</v>
      </c>
      <c r="K417" s="96" t="s">
        <v>319</v>
      </c>
      <c r="L417" s="99">
        <f t="shared" si="34"/>
        <v>0.51249999999999996</v>
      </c>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100"/>
      <c r="AU417" s="87"/>
      <c r="AV417" s="87"/>
      <c r="AW417" s="87"/>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100"/>
      <c r="EJ417" s="100"/>
      <c r="EK417" s="100"/>
      <c r="EL417" s="100"/>
      <c r="EM417" s="100"/>
      <c r="EN417" s="100"/>
      <c r="EO417" s="100"/>
      <c r="EP417" s="87"/>
      <c r="EQ417" s="87"/>
      <c r="ER417" s="87"/>
      <c r="ES417" s="87"/>
      <c r="ET417" s="87"/>
      <c r="EU417" s="87"/>
      <c r="EV417" s="87"/>
      <c r="EW417" s="87"/>
      <c r="EX417" s="87"/>
      <c r="EY417" s="87"/>
      <c r="EZ417" s="87"/>
      <c r="FA417" s="87"/>
      <c r="FB417" s="87"/>
      <c r="FC417" s="87"/>
      <c r="FD417" s="87"/>
      <c r="FE417" s="87"/>
      <c r="FF417" s="87"/>
      <c r="FG417" s="87"/>
      <c r="FH417" s="87"/>
      <c r="FI417" s="87"/>
      <c r="FJ417" s="87"/>
      <c r="FK417" s="87"/>
    </row>
    <row r="418" spans="1:167" hidden="1" outlineLevel="1">
      <c r="A418" s="31" t="str">
        <f t="shared" si="35"/>
        <v>modesg_out_emss_vclsckctabem</v>
      </c>
      <c r="B418" s="76" t="s">
        <v>28</v>
      </c>
      <c r="C418" s="77" t="s">
        <v>301</v>
      </c>
      <c r="D418" s="73" t="s">
        <v>40</v>
      </c>
      <c r="E418" s="75" t="s">
        <v>318</v>
      </c>
      <c r="F418" s="73" t="s">
        <v>44</v>
      </c>
      <c r="G418" s="73" t="str">
        <f>INDEX(Auxiliar!$B$16:$B$23,MATCH(Plano_V1!H418,Auxiliar!$C$16:$C$23,0),1)</f>
        <v>1. Concluído</v>
      </c>
      <c r="H418" s="73">
        <f>VLOOKUP(A418,'Aux - pivots1'!$A:$B,2,0)</f>
        <v>1</v>
      </c>
      <c r="I418" s="93">
        <f>SUMIFS(Table1[Estimação (horas)],Table1[Tabela],Plano_V1!E418,Table1[Campo],Plano_V1!F418)</f>
        <v>4.0999999999999996</v>
      </c>
      <c r="J418" s="93">
        <f t="shared" si="33"/>
        <v>0.51249999999999996</v>
      </c>
      <c r="K418" s="96" t="s">
        <v>319</v>
      </c>
      <c r="L418" s="99">
        <f t="shared" si="34"/>
        <v>0.51249999999999996</v>
      </c>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100"/>
      <c r="AU418" s="87"/>
      <c r="AV418" s="87"/>
      <c r="AW418" s="87"/>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100"/>
      <c r="EJ418" s="100"/>
      <c r="EK418" s="100"/>
      <c r="EL418" s="100"/>
      <c r="EM418" s="100"/>
      <c r="EN418" s="100"/>
      <c r="EO418" s="100"/>
      <c r="EP418" s="87"/>
      <c r="EQ418" s="87"/>
      <c r="ER418" s="87"/>
      <c r="ES418" s="87"/>
      <c r="ET418" s="87"/>
      <c r="EU418" s="87"/>
      <c r="EV418" s="87"/>
      <c r="EW418" s="87"/>
      <c r="EX418" s="87"/>
      <c r="EY418" s="87"/>
      <c r="EZ418" s="87"/>
      <c r="FA418" s="87"/>
      <c r="FB418" s="87"/>
      <c r="FC418" s="87"/>
      <c r="FD418" s="87"/>
      <c r="FE418" s="87"/>
      <c r="FF418" s="87"/>
      <c r="FG418" s="87"/>
      <c r="FH418" s="87"/>
      <c r="FI418" s="87"/>
      <c r="FJ418" s="87"/>
      <c r="FK418" s="87"/>
    </row>
    <row r="419" spans="1:167" hidden="1" outlineLevel="1">
      <c r="A419" s="31" t="str">
        <f t="shared" si="35"/>
        <v>modesg_out_emss_vclsckrefbem</v>
      </c>
      <c r="B419" s="76" t="s">
        <v>28</v>
      </c>
      <c r="C419" s="77" t="s">
        <v>301</v>
      </c>
      <c r="D419" s="73" t="s">
        <v>40</v>
      </c>
      <c r="E419" s="75" t="s">
        <v>318</v>
      </c>
      <c r="F419" s="73" t="s">
        <v>45</v>
      </c>
      <c r="G419" s="73" t="str">
        <f>INDEX(Auxiliar!$B$16:$B$23,MATCH(Plano_V1!H419,Auxiliar!$C$16:$C$23,0),1)</f>
        <v>1. Concluído</v>
      </c>
      <c r="H419" s="73">
        <f>VLOOKUP(A419,'Aux - pivots1'!$A:$B,2,0)</f>
        <v>1</v>
      </c>
      <c r="I419" s="93">
        <f>SUMIFS(Table1[Estimação (horas)],Table1[Tabela],Plano_V1!E419,Table1[Campo],Plano_V1!F419)</f>
        <v>4.0999999999999996</v>
      </c>
      <c r="J419" s="93">
        <f t="shared" si="33"/>
        <v>0.51249999999999996</v>
      </c>
      <c r="K419" s="96" t="s">
        <v>319</v>
      </c>
      <c r="L419" s="99">
        <f t="shared" si="34"/>
        <v>0.51249999999999996</v>
      </c>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100"/>
      <c r="AU419" s="87"/>
      <c r="AV419" s="87"/>
      <c r="AW419" s="87"/>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100"/>
      <c r="EJ419" s="100"/>
      <c r="EK419" s="100"/>
      <c r="EL419" s="100"/>
      <c r="EM419" s="100"/>
      <c r="EN419" s="100"/>
      <c r="EO419" s="100"/>
      <c r="EP419" s="87"/>
      <c r="EQ419" s="87"/>
      <c r="ER419" s="87"/>
      <c r="ES419" s="87"/>
      <c r="ET419" s="87"/>
      <c r="EU419" s="87"/>
      <c r="EV419" s="87"/>
      <c r="EW419" s="87"/>
      <c r="EX419" s="87"/>
      <c r="EY419" s="87"/>
      <c r="EZ419" s="87"/>
      <c r="FA419" s="87"/>
      <c r="FB419" s="87"/>
      <c r="FC419" s="87"/>
      <c r="FD419" s="87"/>
      <c r="FE419" s="87"/>
      <c r="FF419" s="87"/>
      <c r="FG419" s="87"/>
      <c r="FH419" s="87"/>
      <c r="FI419" s="87"/>
      <c r="FJ419" s="87"/>
      <c r="FK419" s="87"/>
    </row>
    <row r="420" spans="1:167" hidden="1" outlineLevel="1">
      <c r="A420" s="31" t="str">
        <f t="shared" si="35"/>
        <v>modesg_out_emss_vclscnsm_co2</v>
      </c>
      <c r="B420" s="76" t="s">
        <v>28</v>
      </c>
      <c r="C420" s="77" t="s">
        <v>301</v>
      </c>
      <c r="D420" s="73" t="s">
        <v>40</v>
      </c>
      <c r="E420" s="75" t="s">
        <v>318</v>
      </c>
      <c r="F420" s="73" t="s">
        <v>184</v>
      </c>
      <c r="G420" s="73" t="str">
        <f>INDEX(Auxiliar!$B$16:$B$23,MATCH(Plano_V1!H420,Auxiliar!$C$16:$C$23,0),1)</f>
        <v>6. Em implementação (re-especificação)</v>
      </c>
      <c r="H420" s="73">
        <f>VLOOKUP(A420,'Aux - pivots1'!$A:$B,2,0)</f>
        <v>6</v>
      </c>
      <c r="I420" s="93">
        <f>SUMIFS(Table1[Estimação (horas)],Table1[Tabela],Plano_V1!E420,Table1[Campo],Plano_V1!F420)</f>
        <v>8.1</v>
      </c>
      <c r="J420" s="93">
        <f t="shared" si="33"/>
        <v>1.0125</v>
      </c>
      <c r="K420" s="96" t="s">
        <v>319</v>
      </c>
      <c r="L420" s="99">
        <f t="shared" si="34"/>
        <v>1.0125</v>
      </c>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100"/>
      <c r="AU420" s="87"/>
      <c r="AV420" s="87"/>
      <c r="AW420" s="87"/>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100"/>
      <c r="EJ420" s="100"/>
      <c r="EK420" s="100"/>
      <c r="EL420" s="100"/>
      <c r="EM420" s="100"/>
      <c r="EN420" s="100"/>
      <c r="EO420" s="100"/>
      <c r="EP420" s="87"/>
      <c r="EQ420" s="87"/>
      <c r="ER420" s="87"/>
      <c r="ES420" s="87"/>
      <c r="ET420" s="87"/>
      <c r="EU420" s="87"/>
      <c r="EV420" s="87"/>
      <c r="EW420" s="87"/>
      <c r="EX420" s="87"/>
      <c r="EY420" s="87"/>
      <c r="EZ420" s="87"/>
      <c r="FA420" s="87"/>
      <c r="FB420" s="87"/>
      <c r="FC420" s="87"/>
      <c r="FD420" s="87"/>
      <c r="FE420" s="87"/>
      <c r="FF420" s="87"/>
      <c r="FG420" s="87"/>
      <c r="FH420" s="87"/>
      <c r="FI420" s="87"/>
      <c r="FJ420" s="87"/>
      <c r="FK420" s="87"/>
    </row>
    <row r="421" spans="1:167" hidden="1" outlineLevel="1">
      <c r="A421" s="31" t="str">
        <f t="shared" si="35"/>
        <v>modesg_out_emss_vclsorigem_scp1_emss</v>
      </c>
      <c r="B421" s="76" t="s">
        <v>28</v>
      </c>
      <c r="C421" s="77" t="s">
        <v>301</v>
      </c>
      <c r="D421" s="73" t="s">
        <v>40</v>
      </c>
      <c r="E421" s="75" t="s">
        <v>318</v>
      </c>
      <c r="F421" s="73" t="s">
        <v>306</v>
      </c>
      <c r="G421" s="73" t="str">
        <f>INDEX(Auxiliar!$B$16:$B$23,MATCH(Plano_V1!H421,Auxiliar!$C$16:$C$23,0),1)</f>
        <v>2. Em Teste</v>
      </c>
      <c r="H421" s="73">
        <f>VLOOKUP(A421,'Aux - pivots1'!$A:$B,2,0)</f>
        <v>2</v>
      </c>
      <c r="I421" s="93">
        <f>SUMIFS(Table1[Estimação (horas)],Table1[Tabela],Plano_V1!E421,Table1[Campo],Plano_V1!F421)</f>
        <v>8.1</v>
      </c>
      <c r="J421" s="93">
        <f t="shared" si="33"/>
        <v>1.0125</v>
      </c>
      <c r="K421" s="96" t="s">
        <v>319</v>
      </c>
      <c r="L421" s="99">
        <f t="shared" si="34"/>
        <v>1.0125</v>
      </c>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100"/>
      <c r="AU421" s="87"/>
      <c r="AV421" s="87"/>
      <c r="AW421" s="87"/>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100"/>
      <c r="EJ421" s="100"/>
      <c r="EK421" s="100"/>
      <c r="EL421" s="100"/>
      <c r="EM421" s="100"/>
      <c r="EN421" s="100"/>
      <c r="EO421" s="100"/>
      <c r="EP421" s="87"/>
      <c r="EQ421" s="87"/>
      <c r="ER421" s="87"/>
      <c r="ES421" s="87"/>
      <c r="ET421" s="87"/>
      <c r="EU421" s="87"/>
      <c r="EV421" s="87"/>
      <c r="EW421" s="87"/>
      <c r="EX421" s="87"/>
      <c r="EY421" s="87"/>
      <c r="EZ421" s="87"/>
      <c r="FA421" s="87"/>
      <c r="FB421" s="87"/>
      <c r="FC421" s="87"/>
      <c r="FD421" s="87"/>
      <c r="FE421" s="87"/>
      <c r="FF421" s="87"/>
      <c r="FG421" s="87"/>
      <c r="FH421" s="87"/>
      <c r="FI421" s="87"/>
      <c r="FJ421" s="87"/>
      <c r="FK421" s="87"/>
    </row>
    <row r="422" spans="1:167" hidden="1" outlineLevel="1">
      <c r="A422" s="31" t="str">
        <f t="shared" si="35"/>
        <v>modesg_out_emss_vclsorigem_scp2_emss</v>
      </c>
      <c r="B422" s="76" t="s">
        <v>28</v>
      </c>
      <c r="C422" s="77" t="s">
        <v>301</v>
      </c>
      <c r="D422" s="73" t="s">
        <v>40</v>
      </c>
      <c r="E422" s="75" t="s">
        <v>318</v>
      </c>
      <c r="F422" s="73" t="s">
        <v>307</v>
      </c>
      <c r="G422" s="73" t="str">
        <f>INDEX(Auxiliar!$B$16:$B$23,MATCH(Plano_V1!H422,Auxiliar!$C$16:$C$23,0),1)</f>
        <v>2. Em Teste</v>
      </c>
      <c r="H422" s="73">
        <f>VLOOKUP(A422,'Aux - pivots1'!$A:$B,2,0)</f>
        <v>2</v>
      </c>
      <c r="I422" s="93">
        <f>SUMIFS(Table1[Estimação (horas)],Table1[Tabela],Plano_V1!E422,Table1[Campo],Plano_V1!F422)</f>
        <v>8.1</v>
      </c>
      <c r="J422" s="93">
        <f t="shared" si="33"/>
        <v>1.0125</v>
      </c>
      <c r="K422" s="96" t="s">
        <v>319</v>
      </c>
      <c r="L422" s="99">
        <f t="shared" si="34"/>
        <v>1.0125</v>
      </c>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100"/>
      <c r="AU422" s="87"/>
      <c r="AV422" s="87"/>
      <c r="AW422" s="87"/>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100"/>
      <c r="EJ422" s="100"/>
      <c r="EK422" s="100"/>
      <c r="EL422" s="100"/>
      <c r="EM422" s="100"/>
      <c r="EN422" s="100"/>
      <c r="EO422" s="100"/>
      <c r="EP422" s="87"/>
      <c r="EQ422" s="87"/>
      <c r="ER422" s="87"/>
      <c r="ES422" s="87"/>
      <c r="ET422" s="87"/>
      <c r="EU422" s="87"/>
      <c r="EV422" s="87"/>
      <c r="EW422" s="87"/>
      <c r="EX422" s="87"/>
      <c r="EY422" s="87"/>
      <c r="EZ422" s="87"/>
      <c r="FA422" s="87"/>
      <c r="FB422" s="87"/>
      <c r="FC422" s="87"/>
      <c r="FD422" s="87"/>
      <c r="FE422" s="87"/>
      <c r="FF422" s="87"/>
      <c r="FG422" s="87"/>
      <c r="FH422" s="87"/>
      <c r="FI422" s="87"/>
      <c r="FJ422" s="87"/>
      <c r="FK422" s="87"/>
    </row>
    <row r="423" spans="1:167" hidden="1" outlineLevel="1">
      <c r="A423" s="31" t="str">
        <f t="shared" si="35"/>
        <v>modesg_out_emss_vclsorigem_scp3_emss</v>
      </c>
      <c r="B423" s="76" t="s">
        <v>28</v>
      </c>
      <c r="C423" s="77" t="s">
        <v>301</v>
      </c>
      <c r="D423" s="73" t="s">
        <v>40</v>
      </c>
      <c r="E423" s="75" t="s">
        <v>318</v>
      </c>
      <c r="F423" s="73" t="s">
        <v>308</v>
      </c>
      <c r="G423" s="73" t="str">
        <f>INDEX(Auxiliar!$B$16:$B$23,MATCH(Plano_V1!H423,Auxiliar!$C$16:$C$23,0),1)</f>
        <v>2. Em Teste</v>
      </c>
      <c r="H423" s="73">
        <f>VLOOKUP(A423,'Aux - pivots1'!$A:$B,2,0)</f>
        <v>2</v>
      </c>
      <c r="I423" s="93">
        <f>SUMIFS(Table1[Estimação (horas)],Table1[Tabela],Plano_V1!E423,Table1[Campo],Plano_V1!F423)</f>
        <v>8.1</v>
      </c>
      <c r="J423" s="93">
        <f t="shared" si="33"/>
        <v>1.0125</v>
      </c>
      <c r="K423" s="96" t="s">
        <v>319</v>
      </c>
      <c r="L423" s="99">
        <f t="shared" si="34"/>
        <v>1.0125</v>
      </c>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100"/>
      <c r="AU423" s="87"/>
      <c r="AV423" s="87"/>
      <c r="AW423" s="87"/>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100"/>
      <c r="EJ423" s="100"/>
      <c r="EK423" s="100"/>
      <c r="EL423" s="100"/>
      <c r="EM423" s="100"/>
      <c r="EN423" s="100"/>
      <c r="EO423" s="100"/>
      <c r="EP423" s="87"/>
      <c r="EQ423" s="87"/>
      <c r="ER423" s="87"/>
      <c r="ES423" s="87"/>
      <c r="ET423" s="87"/>
      <c r="EU423" s="87"/>
      <c r="EV423" s="87"/>
      <c r="EW423" s="87"/>
      <c r="EX423" s="87"/>
      <c r="EY423" s="87"/>
      <c r="EZ423" s="87"/>
      <c r="FA423" s="87"/>
      <c r="FB423" s="87"/>
      <c r="FC423" s="87"/>
      <c r="FD423" s="87"/>
      <c r="FE423" s="87"/>
      <c r="FF423" s="87"/>
      <c r="FG423" s="87"/>
      <c r="FH423" s="87"/>
      <c r="FI423" s="87"/>
      <c r="FJ423" s="87"/>
      <c r="FK423" s="87"/>
    </row>
    <row r="424" spans="1:167" hidden="1" outlineLevel="1">
      <c r="A424" s="31" t="str">
        <f t="shared" si="35"/>
        <v>modesg_out_emss_vclsref_date</v>
      </c>
      <c r="B424" s="76" t="s">
        <v>28</v>
      </c>
      <c r="C424" s="77" t="s">
        <v>301</v>
      </c>
      <c r="D424" s="73" t="s">
        <v>40</v>
      </c>
      <c r="E424" s="75" t="s">
        <v>318</v>
      </c>
      <c r="F424" s="73" t="s">
        <v>73</v>
      </c>
      <c r="G424" s="73" t="str">
        <f>INDEX(Auxiliar!$B$16:$B$23,MATCH(Plano_V1!H424,Auxiliar!$C$16:$C$23,0),1)</f>
        <v>1. Concluído</v>
      </c>
      <c r="H424" s="73">
        <f>VLOOKUP(A424,'Aux - pivots1'!$A:$B,2,0)</f>
        <v>1</v>
      </c>
      <c r="I424" s="93">
        <f>SUMIFS(Table1[Estimação (horas)],Table1[Tabela],Plano_V1!E424,Table1[Campo],Plano_V1!F424)</f>
        <v>4.0999999999999996</v>
      </c>
      <c r="J424" s="93">
        <f t="shared" si="33"/>
        <v>0.51249999999999996</v>
      </c>
      <c r="K424" s="96" t="s">
        <v>319</v>
      </c>
      <c r="L424" s="99">
        <f t="shared" si="34"/>
        <v>0.51249999999999996</v>
      </c>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100"/>
      <c r="AU424" s="87"/>
      <c r="AV424" s="87"/>
      <c r="AW424" s="87"/>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100"/>
      <c r="EJ424" s="100"/>
      <c r="EK424" s="100"/>
      <c r="EL424" s="100"/>
      <c r="EM424" s="100"/>
      <c r="EN424" s="100"/>
      <c r="EO424" s="100"/>
      <c r="EP424" s="87"/>
      <c r="EQ424" s="87"/>
      <c r="ER424" s="87"/>
      <c r="ES424" s="87"/>
      <c r="ET424" s="87"/>
      <c r="EU424" s="87"/>
      <c r="EV424" s="87"/>
      <c r="EW424" s="87"/>
      <c r="EX424" s="87"/>
      <c r="EY424" s="87"/>
      <c r="EZ424" s="87"/>
      <c r="FA424" s="87"/>
      <c r="FB424" s="87"/>
      <c r="FC424" s="87"/>
      <c r="FD424" s="87"/>
      <c r="FE424" s="87"/>
      <c r="FF424" s="87"/>
      <c r="FG424" s="87"/>
      <c r="FH424" s="87"/>
      <c r="FI424" s="87"/>
      <c r="FJ424" s="87"/>
      <c r="FK424" s="87"/>
    </row>
    <row r="425" spans="1:167" hidden="1" outlineLevel="1">
      <c r="A425" s="31" t="str">
        <f t="shared" si="35"/>
        <v>modesg_out_emss_vclsscp1_emss</v>
      </c>
      <c r="B425" s="76" t="s">
        <v>28</v>
      </c>
      <c r="C425" s="77" t="s">
        <v>301</v>
      </c>
      <c r="D425" s="73" t="s">
        <v>40</v>
      </c>
      <c r="E425" s="75" t="s">
        <v>318</v>
      </c>
      <c r="F425" s="73" t="s">
        <v>276</v>
      </c>
      <c r="G425" s="73" t="str">
        <f>INDEX(Auxiliar!$B$16:$B$23,MATCH(Plano_V1!H425,Auxiliar!$C$16:$C$23,0),1)</f>
        <v>2. Em Teste</v>
      </c>
      <c r="H425" s="73">
        <f>VLOOKUP(A425,'Aux - pivots1'!$A:$B,2,0)</f>
        <v>2</v>
      </c>
      <c r="I425" s="93">
        <f>SUMIFS(Table1[Estimação (horas)],Table1[Tabela],Plano_V1!E425,Table1[Campo],Plano_V1!F425)</f>
        <v>16.100000000000001</v>
      </c>
      <c r="J425" s="93">
        <f t="shared" si="33"/>
        <v>2.0125000000000002</v>
      </c>
      <c r="K425" s="96" t="s">
        <v>319</v>
      </c>
      <c r="L425" s="99">
        <f t="shared" si="34"/>
        <v>2.0125000000000002</v>
      </c>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100"/>
      <c r="AU425" s="87"/>
      <c r="AV425" s="87"/>
      <c r="AW425" s="87"/>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100"/>
      <c r="EJ425" s="100"/>
      <c r="EK425" s="100"/>
      <c r="EL425" s="100"/>
      <c r="EM425" s="100"/>
      <c r="EN425" s="100"/>
      <c r="EO425" s="100"/>
      <c r="EP425" s="87"/>
      <c r="EQ425" s="87"/>
      <c r="ER425" s="87"/>
      <c r="ES425" s="87"/>
      <c r="ET425" s="87"/>
      <c r="EU425" s="87"/>
      <c r="EV425" s="87"/>
      <c r="EW425" s="87"/>
      <c r="EX425" s="87"/>
      <c r="EY425" s="87"/>
      <c r="EZ425" s="87"/>
      <c r="FA425" s="87"/>
      <c r="FB425" s="87"/>
      <c r="FC425" s="87"/>
      <c r="FD425" s="87"/>
      <c r="FE425" s="87"/>
      <c r="FF425" s="87"/>
      <c r="FG425" s="87"/>
      <c r="FH425" s="87"/>
      <c r="FI425" s="87"/>
      <c r="FJ425" s="87"/>
      <c r="FK425" s="87"/>
    </row>
    <row r="426" spans="1:167" hidden="1" outlineLevel="1">
      <c r="A426" s="31" t="str">
        <f t="shared" si="35"/>
        <v>modesg_out_emss_vclsscp2_emss</v>
      </c>
      <c r="B426" s="76" t="s">
        <v>28</v>
      </c>
      <c r="C426" s="77" t="s">
        <v>301</v>
      </c>
      <c r="D426" s="73" t="s">
        <v>40</v>
      </c>
      <c r="E426" s="75" t="s">
        <v>318</v>
      </c>
      <c r="F426" s="73" t="s">
        <v>277</v>
      </c>
      <c r="G426" s="73" t="str">
        <f>INDEX(Auxiliar!$B$16:$B$23,MATCH(Plano_V1!H426,Auxiliar!$C$16:$C$23,0),1)</f>
        <v>2. Em Teste</v>
      </c>
      <c r="H426" s="73">
        <f>VLOOKUP(A426,'Aux - pivots1'!$A:$B,2,0)</f>
        <v>2</v>
      </c>
      <c r="I426" s="93">
        <f>SUMIFS(Table1[Estimação (horas)],Table1[Tabela],Plano_V1!E426,Table1[Campo],Plano_V1!F426)</f>
        <v>16.100000000000001</v>
      </c>
      <c r="J426" s="93">
        <f t="shared" si="33"/>
        <v>2.0125000000000002</v>
      </c>
      <c r="K426" s="96" t="s">
        <v>319</v>
      </c>
      <c r="L426" s="99">
        <f t="shared" si="34"/>
        <v>2.0125000000000002</v>
      </c>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100"/>
      <c r="AU426" s="87"/>
      <c r="AV426" s="87"/>
      <c r="AW426" s="87"/>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100"/>
      <c r="EJ426" s="100"/>
      <c r="EK426" s="100"/>
      <c r="EL426" s="100"/>
      <c r="EM426" s="100"/>
      <c r="EN426" s="100"/>
      <c r="EO426" s="100"/>
      <c r="EP426" s="87"/>
      <c r="EQ426" s="87"/>
      <c r="ER426" s="87"/>
      <c r="ES426" s="87"/>
      <c r="ET426" s="87"/>
      <c r="EU426" s="87"/>
      <c r="EV426" s="87"/>
      <c r="EW426" s="87"/>
      <c r="EX426" s="87"/>
      <c r="EY426" s="87"/>
      <c r="EZ426" s="87"/>
      <c r="FA426" s="87"/>
      <c r="FB426" s="87"/>
      <c r="FC426" s="87"/>
      <c r="FD426" s="87"/>
      <c r="FE426" s="87"/>
      <c r="FF426" s="87"/>
      <c r="FG426" s="87"/>
      <c r="FH426" s="87"/>
      <c r="FI426" s="87"/>
      <c r="FJ426" s="87"/>
      <c r="FK426" s="87"/>
    </row>
    <row r="427" spans="1:167" hidden="1" outlineLevel="1">
      <c r="A427" s="31" t="str">
        <f t="shared" si="35"/>
        <v>modesg_out_emss_vclsscp3_emss</v>
      </c>
      <c r="B427" s="76" t="s">
        <v>28</v>
      </c>
      <c r="C427" s="77" t="s">
        <v>301</v>
      </c>
      <c r="D427" s="73" t="s">
        <v>40</v>
      </c>
      <c r="E427" s="75" t="s">
        <v>318</v>
      </c>
      <c r="F427" s="73" t="s">
        <v>278</v>
      </c>
      <c r="G427" s="73" t="str">
        <f>INDEX(Auxiliar!$B$16:$B$23,MATCH(Plano_V1!H427,Auxiliar!$C$16:$C$23,0),1)</f>
        <v>2. Em Teste</v>
      </c>
      <c r="H427" s="73">
        <f>VLOOKUP(A427,'Aux - pivots1'!$A:$B,2,0)</f>
        <v>2</v>
      </c>
      <c r="I427" s="93">
        <f>SUMIFS(Table1[Estimação (horas)],Table1[Tabela],Plano_V1!E427,Table1[Campo],Plano_V1!F427)</f>
        <v>16.100000000000001</v>
      </c>
      <c r="J427" s="93">
        <f t="shared" ref="J427:J445" si="36">I427/8</f>
        <v>2.0125000000000002</v>
      </c>
      <c r="K427" s="96" t="s">
        <v>319</v>
      </c>
      <c r="L427" s="99">
        <f t="shared" si="34"/>
        <v>2.0125000000000002</v>
      </c>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100"/>
      <c r="AU427" s="87"/>
      <c r="AV427" s="87"/>
      <c r="AW427" s="87"/>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100"/>
      <c r="EJ427" s="100"/>
      <c r="EK427" s="100"/>
      <c r="EL427" s="100"/>
      <c r="EM427" s="100"/>
      <c r="EN427" s="100"/>
      <c r="EO427" s="100"/>
      <c r="EP427" s="87"/>
      <c r="EQ427" s="87"/>
      <c r="ER427" s="87"/>
      <c r="ES427" s="87"/>
      <c r="ET427" s="87"/>
      <c r="EU427" s="87"/>
      <c r="EV427" s="87"/>
      <c r="EW427" s="87"/>
      <c r="EX427" s="87"/>
      <c r="EY427" s="87"/>
      <c r="EZ427" s="87"/>
      <c r="FA427" s="87"/>
      <c r="FB427" s="87"/>
      <c r="FC427" s="87"/>
      <c r="FD427" s="87"/>
      <c r="FE427" s="87"/>
      <c r="FF427" s="87"/>
      <c r="FG427" s="87"/>
      <c r="FH427" s="87"/>
      <c r="FI427" s="87"/>
      <c r="FJ427" s="87"/>
      <c r="FK427" s="87"/>
    </row>
    <row r="428" spans="1:167" hidden="1" outlineLevel="1">
      <c r="A428" s="31" t="str">
        <f t="shared" si="35"/>
        <v>modesg_out_emss_vclsunidade_funcional_scp1_emss</v>
      </c>
      <c r="B428" s="76" t="s">
        <v>28</v>
      </c>
      <c r="C428" s="77" t="s">
        <v>301</v>
      </c>
      <c r="D428" s="73" t="s">
        <v>40</v>
      </c>
      <c r="E428" s="75" t="s">
        <v>318</v>
      </c>
      <c r="F428" s="73" t="s">
        <v>309</v>
      </c>
      <c r="G428" s="73" t="str">
        <f>INDEX(Auxiliar!$B$16:$B$23,MATCH(Plano_V1!H428,Auxiliar!$C$16:$C$23,0),1)</f>
        <v>1. Concluído</v>
      </c>
      <c r="H428" s="73">
        <f>VLOOKUP(A428,'Aux - pivots1'!$A:$B,2,0)</f>
        <v>1</v>
      </c>
      <c r="I428" s="93">
        <f>SUMIFS(Table1[Estimação (horas)],Table1[Tabela],Plano_V1!E428,Table1[Campo],Plano_V1!F428)</f>
        <v>4.0999999999999996</v>
      </c>
      <c r="J428" s="93">
        <f t="shared" si="36"/>
        <v>0.51249999999999996</v>
      </c>
      <c r="K428" s="96" t="s">
        <v>319</v>
      </c>
      <c r="L428" s="99">
        <f t="shared" si="34"/>
        <v>0.51249999999999996</v>
      </c>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100"/>
      <c r="AU428" s="87"/>
      <c r="AV428" s="87"/>
      <c r="AW428" s="87"/>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100"/>
      <c r="EJ428" s="100"/>
      <c r="EK428" s="100"/>
      <c r="EL428" s="100"/>
      <c r="EM428" s="100"/>
      <c r="EN428" s="100"/>
      <c r="EO428" s="100"/>
      <c r="EP428" s="87"/>
      <c r="EQ428" s="87"/>
      <c r="ER428" s="87"/>
      <c r="ES428" s="87"/>
      <c r="ET428" s="87"/>
      <c r="EU428" s="87"/>
      <c r="EV428" s="87"/>
      <c r="EW428" s="87"/>
      <c r="EX428" s="87"/>
      <c r="EY428" s="87"/>
      <c r="EZ428" s="87"/>
      <c r="FA428" s="87"/>
      <c r="FB428" s="87"/>
      <c r="FC428" s="87"/>
      <c r="FD428" s="87"/>
      <c r="FE428" s="87"/>
      <c r="FF428" s="87"/>
      <c r="FG428" s="87"/>
      <c r="FH428" s="87"/>
      <c r="FI428" s="87"/>
      <c r="FJ428" s="87"/>
      <c r="FK428" s="87"/>
    </row>
    <row r="429" spans="1:167" hidden="1" outlineLevel="1">
      <c r="A429" s="31" t="str">
        <f t="shared" si="35"/>
        <v>modesg_out_emss_vclsunidade_funcional_scp2_emss</v>
      </c>
      <c r="B429" s="76" t="s">
        <v>28</v>
      </c>
      <c r="C429" s="77" t="s">
        <v>301</v>
      </c>
      <c r="D429" s="73" t="s">
        <v>40</v>
      </c>
      <c r="E429" s="75" t="s">
        <v>318</v>
      </c>
      <c r="F429" s="73" t="s">
        <v>310</v>
      </c>
      <c r="G429" s="73" t="str">
        <f>INDEX(Auxiliar!$B$16:$B$23,MATCH(Plano_V1!H429,Auxiliar!$C$16:$C$23,0),1)</f>
        <v>1. Concluído</v>
      </c>
      <c r="H429" s="73">
        <f>VLOOKUP(A429,'Aux - pivots1'!$A:$B,2,0)</f>
        <v>1</v>
      </c>
      <c r="I429" s="93">
        <f>SUMIFS(Table1[Estimação (horas)],Table1[Tabela],Plano_V1!E429,Table1[Campo],Plano_V1!F429)</f>
        <v>4.0999999999999996</v>
      </c>
      <c r="J429" s="93">
        <f t="shared" si="36"/>
        <v>0.51249999999999996</v>
      </c>
      <c r="K429" s="96" t="s">
        <v>319</v>
      </c>
      <c r="L429" s="99">
        <f t="shared" si="34"/>
        <v>0.51249999999999996</v>
      </c>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100"/>
      <c r="AU429" s="87"/>
      <c r="AV429" s="87"/>
      <c r="AW429" s="87"/>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100"/>
      <c r="EJ429" s="100"/>
      <c r="EK429" s="100"/>
      <c r="EL429" s="100"/>
      <c r="EM429" s="100"/>
      <c r="EN429" s="100"/>
      <c r="EO429" s="100"/>
      <c r="EP429" s="87"/>
      <c r="EQ429" s="87"/>
      <c r="ER429" s="87"/>
      <c r="ES429" s="87"/>
      <c r="ET429" s="87"/>
      <c r="EU429" s="87"/>
      <c r="EV429" s="87"/>
      <c r="EW429" s="87"/>
      <c r="EX429" s="87"/>
      <c r="EY429" s="87"/>
      <c r="EZ429" s="87"/>
      <c r="FA429" s="87"/>
      <c r="FB429" s="87"/>
      <c r="FC429" s="87"/>
      <c r="FD429" s="87"/>
      <c r="FE429" s="87"/>
      <c r="FF429" s="87"/>
      <c r="FG429" s="87"/>
      <c r="FH429" s="87"/>
      <c r="FI429" s="87"/>
      <c r="FJ429" s="87"/>
      <c r="FK429" s="87"/>
    </row>
    <row r="430" spans="1:167" hidden="1" outlineLevel="1">
      <c r="A430" s="31" t="str">
        <f t="shared" si="35"/>
        <v>modesg_out_emss_vclsunidade_funcional_scp3_emss</v>
      </c>
      <c r="B430" s="76" t="s">
        <v>28</v>
      </c>
      <c r="C430" s="77" t="s">
        <v>301</v>
      </c>
      <c r="D430" s="73" t="s">
        <v>40</v>
      </c>
      <c r="E430" s="75" t="s">
        <v>318</v>
      </c>
      <c r="F430" s="73" t="s">
        <v>311</v>
      </c>
      <c r="G430" s="73" t="str">
        <f>INDEX(Auxiliar!$B$16:$B$23,MATCH(Plano_V1!H430,Auxiliar!$C$16:$C$23,0),1)</f>
        <v>1. Concluído</v>
      </c>
      <c r="H430" s="73">
        <f>VLOOKUP(A430,'Aux - pivots1'!$A:$B,2,0)</f>
        <v>1</v>
      </c>
      <c r="I430" s="93">
        <f>SUMIFS(Table1[Estimação (horas)],Table1[Tabela],Plano_V1!E430,Table1[Campo],Plano_V1!F430)</f>
        <v>4.0999999999999996</v>
      </c>
      <c r="J430" s="93">
        <f t="shared" si="36"/>
        <v>0.51249999999999996</v>
      </c>
      <c r="K430" s="96" t="s">
        <v>319</v>
      </c>
      <c r="L430" s="99">
        <f t="shared" si="34"/>
        <v>0.51249999999999996</v>
      </c>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100"/>
      <c r="AU430" s="87"/>
      <c r="AV430" s="87"/>
      <c r="AW430" s="87"/>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100"/>
      <c r="EJ430" s="100"/>
      <c r="EK430" s="100"/>
      <c r="EL430" s="100"/>
      <c r="EM430" s="100"/>
      <c r="EN430" s="100"/>
      <c r="EO430" s="100"/>
      <c r="EP430" s="87"/>
      <c r="EQ430" s="87"/>
      <c r="ER430" s="87"/>
      <c r="ES430" s="87"/>
      <c r="ET430" s="87"/>
      <c r="EU430" s="87"/>
      <c r="EV430" s="87"/>
      <c r="EW430" s="87"/>
      <c r="EX430" s="87"/>
      <c r="EY430" s="87"/>
      <c r="EZ430" s="87"/>
      <c r="FA430" s="87"/>
      <c r="FB430" s="87"/>
      <c r="FC430" s="87"/>
      <c r="FD430" s="87"/>
      <c r="FE430" s="87"/>
      <c r="FF430" s="87"/>
      <c r="FG430" s="87"/>
      <c r="FH430" s="87"/>
      <c r="FI430" s="87"/>
      <c r="FJ430" s="87"/>
      <c r="FK430" s="87"/>
    </row>
    <row r="431" spans="1:167" hidden="1" outlineLevel="1">
      <c r="A431" s="31" t="str">
        <f t="shared" si="35"/>
        <v>modesg_out_sfcs_taxon_europeian.a.</v>
      </c>
      <c r="B431" s="76" t="s">
        <v>28</v>
      </c>
      <c r="C431" s="77" t="s">
        <v>301</v>
      </c>
      <c r="D431" s="73" t="s">
        <v>36</v>
      </c>
      <c r="E431" s="75" t="s">
        <v>320</v>
      </c>
      <c r="F431" s="73" t="s">
        <v>38</v>
      </c>
      <c r="G431" s="73" t="str">
        <f>INDEX(Auxiliar!$B$16:$B$23,MATCH(Plano_V1!H431,Auxiliar!$C$16:$C$23,0),1)</f>
        <v>6. Em implementação (re-especificação)</v>
      </c>
      <c r="H431" s="73">
        <f>VLOOKUP(A431,'Aux - pivots1'!$A:$B,2,0)</f>
        <v>6</v>
      </c>
      <c r="I431" s="93">
        <f>SUMIFS(Table1[Estimação (horas)],Table1[Tabela],Plano_V1!E431,Table1[Campo],Plano_V1!F431)</f>
        <v>8</v>
      </c>
      <c r="J431" s="93">
        <f t="shared" si="36"/>
        <v>1</v>
      </c>
      <c r="K431" s="96" t="s">
        <v>321</v>
      </c>
      <c r="L431" s="99">
        <f t="shared" si="34"/>
        <v>1</v>
      </c>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100"/>
      <c r="AU431" s="87"/>
      <c r="AV431" s="87"/>
      <c r="AW431" s="87"/>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100"/>
      <c r="EJ431" s="100"/>
      <c r="EK431" s="100"/>
      <c r="EL431" s="100"/>
      <c r="EM431" s="100"/>
      <c r="EN431" s="100"/>
      <c r="EO431" s="100"/>
      <c r="EP431" s="87"/>
      <c r="EQ431" s="87"/>
      <c r="ER431" s="87"/>
      <c r="ES431" s="87"/>
      <c r="ET431" s="87"/>
      <c r="EU431" s="87"/>
      <c r="EV431" s="87"/>
      <c r="EW431" s="87"/>
      <c r="EX431" s="87"/>
      <c r="EY431" s="87"/>
      <c r="EZ431" s="87"/>
      <c r="FA431" s="87"/>
      <c r="FB431" s="87"/>
      <c r="FC431" s="87"/>
      <c r="FD431" s="87"/>
      <c r="FE431" s="87"/>
      <c r="FF431" s="87"/>
      <c r="FG431" s="87"/>
      <c r="FH431" s="87"/>
      <c r="FI431" s="87"/>
      <c r="FJ431" s="87"/>
      <c r="FK431" s="87"/>
    </row>
    <row r="432" spans="1:167" hidden="1" outlineLevel="1">
      <c r="A432" s="31" t="str">
        <f t="shared" si="35"/>
        <v>modesg_out_sfcs_taxon_europeiacbalcao</v>
      </c>
      <c r="B432" s="76" t="s">
        <v>28</v>
      </c>
      <c r="C432" s="77" t="s">
        <v>301</v>
      </c>
      <c r="D432" s="73" t="s">
        <v>40</v>
      </c>
      <c r="E432" s="75" t="s">
        <v>320</v>
      </c>
      <c r="F432" s="73" t="s">
        <v>180</v>
      </c>
      <c r="G432" s="73" t="str">
        <f>INDEX(Auxiliar!$B$16:$B$23,MATCH(Plano_V1!H432,Auxiliar!$C$16:$C$23,0),1)</f>
        <v>6. Em implementação (re-especificação)</v>
      </c>
      <c r="H432" s="73">
        <f>VLOOKUP(A432,'Aux - pivots1'!$A:$B,2,0)</f>
        <v>6</v>
      </c>
      <c r="I432" s="93">
        <f>SUMIFS(Table1[Estimação (horas)],Table1[Tabela],Plano_V1!E432,Table1[Campo],Plano_V1!F432)</f>
        <v>4.0999999999999996</v>
      </c>
      <c r="J432" s="93">
        <f t="shared" si="36"/>
        <v>0.51249999999999996</v>
      </c>
      <c r="K432" s="96" t="s">
        <v>321</v>
      </c>
      <c r="L432" s="99">
        <f t="shared" si="34"/>
        <v>0.51249999999999996</v>
      </c>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100"/>
      <c r="AU432" s="87"/>
      <c r="AV432" s="87"/>
      <c r="AW432" s="87"/>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100"/>
      <c r="EJ432" s="100"/>
      <c r="EK432" s="100"/>
      <c r="EL432" s="100"/>
      <c r="EM432" s="100"/>
      <c r="EN432" s="100"/>
      <c r="EO432" s="100"/>
      <c r="EP432" s="87"/>
      <c r="EQ432" s="87"/>
      <c r="ER432" s="87"/>
      <c r="ES432" s="87"/>
      <c r="ET432" s="87"/>
      <c r="EU432" s="87"/>
      <c r="EV432" s="87"/>
      <c r="EW432" s="87"/>
      <c r="EX432" s="87"/>
      <c r="EY432" s="87"/>
      <c r="EZ432" s="87"/>
      <c r="FA432" s="87"/>
      <c r="FB432" s="87"/>
      <c r="FC432" s="87"/>
      <c r="FD432" s="87"/>
      <c r="FE432" s="87"/>
      <c r="FF432" s="87"/>
      <c r="FG432" s="87"/>
      <c r="FH432" s="87"/>
      <c r="FI432" s="87"/>
      <c r="FJ432" s="87"/>
      <c r="FK432" s="87"/>
    </row>
    <row r="433" spans="1:167" hidden="1" outlineLevel="1">
      <c r="A433" s="31" t="str">
        <f t="shared" si="35"/>
        <v>modesg_out_sfcs_taxon_europeiacempresa</v>
      </c>
      <c r="B433" s="76" t="s">
        <v>28</v>
      </c>
      <c r="C433" s="77" t="s">
        <v>301</v>
      </c>
      <c r="D433" s="73" t="s">
        <v>40</v>
      </c>
      <c r="E433" s="75" t="s">
        <v>320</v>
      </c>
      <c r="F433" s="73" t="s">
        <v>57</v>
      </c>
      <c r="G433" s="73" t="str">
        <f>INDEX(Auxiliar!$B$16:$B$23,MATCH(Plano_V1!H433,Auxiliar!$C$16:$C$23,0),1)</f>
        <v>6. Em implementação (re-especificação)</v>
      </c>
      <c r="H433" s="73">
        <f>VLOOKUP(A433,'Aux - pivots1'!$A:$B,2,0)</f>
        <v>6</v>
      </c>
      <c r="I433" s="93">
        <f>SUMIFS(Table1[Estimação (horas)],Table1[Tabela],Plano_V1!E433,Table1[Campo],Plano_V1!F433)</f>
        <v>4.0999999999999996</v>
      </c>
      <c r="J433" s="93">
        <f t="shared" si="36"/>
        <v>0.51249999999999996</v>
      </c>
      <c r="K433" s="96" t="s">
        <v>321</v>
      </c>
      <c r="L433" s="99">
        <f t="shared" si="34"/>
        <v>0.51249999999999996</v>
      </c>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100"/>
      <c r="AU433" s="87"/>
      <c r="AV433" s="87"/>
      <c r="AW433" s="87"/>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100"/>
      <c r="EJ433" s="100"/>
      <c r="EK433" s="100"/>
      <c r="EL433" s="100"/>
      <c r="EM433" s="100"/>
      <c r="EN433" s="100"/>
      <c r="EO433" s="100"/>
      <c r="EP433" s="87"/>
      <c r="EQ433" s="87"/>
      <c r="ER433" s="87"/>
      <c r="ES433" s="87"/>
      <c r="ET433" s="87"/>
      <c r="EU433" s="87"/>
      <c r="EV433" s="87"/>
      <c r="EW433" s="87"/>
      <c r="EX433" s="87"/>
      <c r="EY433" s="87"/>
      <c r="EZ433" s="87"/>
      <c r="FA433" s="87"/>
      <c r="FB433" s="87"/>
      <c r="FC433" s="87"/>
      <c r="FD433" s="87"/>
      <c r="FE433" s="87"/>
      <c r="FF433" s="87"/>
      <c r="FG433" s="87"/>
      <c r="FH433" s="87"/>
      <c r="FI433" s="87"/>
      <c r="FJ433" s="87"/>
      <c r="FK433" s="87"/>
    </row>
    <row r="434" spans="1:167" hidden="1" outlineLevel="1">
      <c r="A434" s="31" t="str">
        <f t="shared" si="35"/>
        <v>modesg_out_sfcs_taxon_europeiacnumecta</v>
      </c>
      <c r="B434" s="76" t="s">
        <v>28</v>
      </c>
      <c r="C434" s="77" t="s">
        <v>301</v>
      </c>
      <c r="D434" s="73" t="s">
        <v>40</v>
      </c>
      <c r="E434" s="75" t="s">
        <v>320</v>
      </c>
      <c r="F434" s="73" t="s">
        <v>185</v>
      </c>
      <c r="G434" s="73" t="str">
        <f>INDEX(Auxiliar!$B$16:$B$23,MATCH(Plano_V1!H434,Auxiliar!$C$16:$C$23,0),1)</f>
        <v>6. Em implementação (re-especificação)</v>
      </c>
      <c r="H434" s="73">
        <f>VLOOKUP(A434,'Aux - pivots1'!$A:$B,2,0)</f>
        <v>6</v>
      </c>
      <c r="I434" s="93">
        <f>SUMIFS(Table1[Estimação (horas)],Table1[Tabela],Plano_V1!E434,Table1[Campo],Plano_V1!F434)</f>
        <v>4.0999999999999996</v>
      </c>
      <c r="J434" s="93">
        <f t="shared" si="36"/>
        <v>0.51249999999999996</v>
      </c>
      <c r="K434" s="96" t="s">
        <v>321</v>
      </c>
      <c r="L434" s="99">
        <f t="shared" si="34"/>
        <v>0.51249999999999996</v>
      </c>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100"/>
      <c r="AU434" s="87"/>
      <c r="AV434" s="87"/>
      <c r="AW434" s="87"/>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100"/>
      <c r="EJ434" s="100"/>
      <c r="EK434" s="100"/>
      <c r="EL434" s="100"/>
      <c r="EM434" s="100"/>
      <c r="EN434" s="100"/>
      <c r="EO434" s="100"/>
      <c r="EP434" s="87"/>
      <c r="EQ434" s="87"/>
      <c r="ER434" s="87"/>
      <c r="ES434" s="87"/>
      <c r="ET434" s="87"/>
      <c r="EU434" s="87"/>
      <c r="EV434" s="87"/>
      <c r="EW434" s="87"/>
      <c r="EX434" s="87"/>
      <c r="EY434" s="87"/>
      <c r="EZ434" s="87"/>
      <c r="FA434" s="87"/>
      <c r="FB434" s="87"/>
      <c r="FC434" s="87"/>
      <c r="FD434" s="87"/>
      <c r="FE434" s="87"/>
      <c r="FF434" s="87"/>
      <c r="FG434" s="87"/>
      <c r="FH434" s="87"/>
      <c r="FI434" s="87"/>
      <c r="FJ434" s="87"/>
      <c r="FK434" s="87"/>
    </row>
    <row r="435" spans="1:167" hidden="1" outlineLevel="1">
      <c r="A435" s="31" t="str">
        <f t="shared" si="35"/>
        <v>modesg_out_sfcs_taxon_europeiacod_regra</v>
      </c>
      <c r="B435" s="76" t="s">
        <v>28</v>
      </c>
      <c r="C435" s="77" t="s">
        <v>301</v>
      </c>
      <c r="D435" s="73" t="s">
        <v>40</v>
      </c>
      <c r="E435" s="75" t="s">
        <v>320</v>
      </c>
      <c r="F435" s="73" t="s">
        <v>187</v>
      </c>
      <c r="G435" s="73" t="str">
        <f>INDEX(Auxiliar!$B$16:$B$23,MATCH(Plano_V1!H435,Auxiliar!$C$16:$C$23,0),1)</f>
        <v>6. Em implementação (re-especificação)</v>
      </c>
      <c r="H435" s="73">
        <f>VLOOKUP(A435,'Aux - pivots1'!$A:$B,2,0)</f>
        <v>6</v>
      </c>
      <c r="I435" s="93">
        <f>SUMIFS(Table1[Estimação (horas)],Table1[Tabela],Plano_V1!E435,Table1[Campo],Plano_V1!F435)</f>
        <v>4.0999999999999996</v>
      </c>
      <c r="J435" s="93">
        <f t="shared" si="36"/>
        <v>0.51249999999999996</v>
      </c>
      <c r="K435" s="96" t="s">
        <v>321</v>
      </c>
      <c r="L435" s="99">
        <f t="shared" si="34"/>
        <v>0.51249999999999996</v>
      </c>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100"/>
      <c r="AU435" s="87"/>
      <c r="AV435" s="87"/>
      <c r="AW435" s="87"/>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100"/>
      <c r="EJ435" s="100"/>
      <c r="EK435" s="100"/>
      <c r="EL435" s="100"/>
      <c r="EM435" s="100"/>
      <c r="EN435" s="100"/>
      <c r="EO435" s="100"/>
      <c r="EP435" s="87"/>
      <c r="EQ435" s="87"/>
      <c r="ER435" s="87"/>
      <c r="ES435" s="87"/>
      <c r="ET435" s="87"/>
      <c r="EU435" s="87"/>
      <c r="EV435" s="87"/>
      <c r="EW435" s="87"/>
      <c r="EX435" s="87"/>
      <c r="EY435" s="87"/>
      <c r="EZ435" s="87"/>
      <c r="FA435" s="87"/>
      <c r="FB435" s="87"/>
      <c r="FC435" s="87"/>
      <c r="FD435" s="87"/>
      <c r="FE435" s="87"/>
      <c r="FF435" s="87"/>
      <c r="FG435" s="87"/>
      <c r="FH435" s="87"/>
      <c r="FI435" s="87"/>
      <c r="FJ435" s="87"/>
      <c r="FK435" s="87"/>
    </row>
    <row r="436" spans="1:167" hidden="1" outlineLevel="1">
      <c r="A436" s="31" t="str">
        <f t="shared" si="35"/>
        <v>modesg_out_sfcs_taxon_europeiaordem</v>
      </c>
      <c r="B436" s="76" t="s">
        <v>28</v>
      </c>
      <c r="C436" s="77" t="s">
        <v>301</v>
      </c>
      <c r="D436" s="73" t="s">
        <v>40</v>
      </c>
      <c r="E436" s="75" t="s">
        <v>320</v>
      </c>
      <c r="F436" s="73" t="s">
        <v>322</v>
      </c>
      <c r="G436" s="73" t="str">
        <f>INDEX(Auxiliar!$B$16:$B$23,MATCH(Plano_V1!H436,Auxiliar!$C$16:$C$23,0),1)</f>
        <v>0. Cancelado</v>
      </c>
      <c r="H436" s="73">
        <f>VLOOKUP(A436,'Aux - pivots1'!$A:$B,2,0)</f>
        <v>0</v>
      </c>
      <c r="I436" s="93">
        <f>SUMIFS(Table1[Estimação (horas)],Table1[Tabela],Plano_V1!E436,Table1[Campo],Plano_V1!F436)</f>
        <v>4.0999999999999996</v>
      </c>
      <c r="J436" s="93">
        <f t="shared" si="36"/>
        <v>0.51249999999999996</v>
      </c>
      <c r="K436" s="96" t="s">
        <v>321</v>
      </c>
      <c r="L436" s="99">
        <f t="shared" si="34"/>
        <v>0.51249999999999996</v>
      </c>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100"/>
      <c r="AU436" s="87"/>
      <c r="AV436" s="87"/>
      <c r="AW436" s="87"/>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100"/>
      <c r="EJ436" s="100"/>
      <c r="EK436" s="100"/>
      <c r="EL436" s="100"/>
      <c r="EM436" s="100"/>
      <c r="EN436" s="100"/>
      <c r="EO436" s="100"/>
      <c r="EP436" s="87"/>
      <c r="EQ436" s="87"/>
      <c r="ER436" s="87"/>
      <c r="ES436" s="87"/>
      <c r="ET436" s="87"/>
      <c r="EU436" s="87"/>
      <c r="EV436" s="87"/>
      <c r="EW436" s="87"/>
      <c r="EX436" s="87"/>
      <c r="EY436" s="87"/>
      <c r="EZ436" s="87"/>
      <c r="FA436" s="87"/>
      <c r="FB436" s="87"/>
      <c r="FC436" s="87"/>
      <c r="FD436" s="87"/>
      <c r="FE436" s="87"/>
      <c r="FF436" s="87"/>
      <c r="FG436" s="87"/>
      <c r="FH436" s="87"/>
      <c r="FI436" s="87"/>
      <c r="FJ436" s="87"/>
      <c r="FK436" s="87"/>
    </row>
    <row r="437" spans="1:167" hidden="1" outlineLevel="1">
      <c r="A437" s="31" t="str">
        <f t="shared" si="35"/>
        <v>modesg_out_sfcs_taxon_europeiamontante_pndrc</v>
      </c>
      <c r="B437" s="76" t="s">
        <v>28</v>
      </c>
      <c r="C437" s="77" t="s">
        <v>301</v>
      </c>
      <c r="D437" s="73" t="s">
        <v>40</v>
      </c>
      <c r="E437" s="75" t="s">
        <v>320</v>
      </c>
      <c r="F437" s="73" t="s">
        <v>197</v>
      </c>
      <c r="G437" s="73" t="str">
        <f>INDEX(Auxiliar!$B$16:$B$23,MATCH(Plano_V1!H437,Auxiliar!$C$16:$C$23,0),1)</f>
        <v>6. Em implementação (re-especificação)</v>
      </c>
      <c r="H437" s="73">
        <f>VLOOKUP(A437,'Aux - pivots1'!$A:$B,2,0)</f>
        <v>6</v>
      </c>
      <c r="I437" s="93">
        <f>SUMIFS(Table1[Estimação (horas)],Table1[Tabela],Plano_V1!E437,Table1[Campo],Plano_V1!F437)</f>
        <v>16.100000000000001</v>
      </c>
      <c r="J437" s="93">
        <f t="shared" si="36"/>
        <v>2.0125000000000002</v>
      </c>
      <c r="K437" s="96" t="s">
        <v>321</v>
      </c>
      <c r="L437" s="99">
        <f t="shared" si="34"/>
        <v>2.0125000000000002</v>
      </c>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100"/>
      <c r="AU437" s="87"/>
      <c r="AV437" s="87"/>
      <c r="AW437" s="87"/>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100"/>
      <c r="EJ437" s="100"/>
      <c r="EK437" s="100"/>
      <c r="EL437" s="100"/>
      <c r="EM437" s="100"/>
      <c r="EN437" s="100"/>
      <c r="EO437" s="100"/>
      <c r="EP437" s="87"/>
      <c r="EQ437" s="87"/>
      <c r="ER437" s="87"/>
      <c r="ES437" s="87"/>
      <c r="ET437" s="87"/>
      <c r="EU437" s="87"/>
      <c r="EV437" s="87"/>
      <c r="EW437" s="87"/>
      <c r="EX437" s="87"/>
      <c r="EY437" s="87"/>
      <c r="EZ437" s="87"/>
      <c r="FA437" s="87"/>
      <c r="FB437" s="87"/>
      <c r="FC437" s="87"/>
      <c r="FD437" s="87"/>
      <c r="FE437" s="87"/>
      <c r="FF437" s="87"/>
      <c r="FG437" s="87"/>
      <c r="FH437" s="87"/>
      <c r="FI437" s="87"/>
      <c r="FJ437" s="87"/>
      <c r="FK437" s="87"/>
    </row>
    <row r="438" spans="1:167" hidden="1" outlineLevel="1">
      <c r="A438" s="31" t="str">
        <f t="shared" si="35"/>
        <v>modesg_out_sfcs_taxon_europeianome_ctgr_sfcs</v>
      </c>
      <c r="B438" s="76" t="s">
        <v>28</v>
      </c>
      <c r="C438" s="77" t="s">
        <v>301</v>
      </c>
      <c r="D438" s="73" t="s">
        <v>40</v>
      </c>
      <c r="E438" s="75" t="s">
        <v>320</v>
      </c>
      <c r="F438" s="73" t="s">
        <v>198</v>
      </c>
      <c r="G438" s="73" t="str">
        <f>INDEX(Auxiliar!$B$16:$B$23,MATCH(Plano_V1!H438,Auxiliar!$C$16:$C$23,0),1)</f>
        <v>4. Validação EF</v>
      </c>
      <c r="H438" s="73">
        <f>VLOOKUP(A438,'Aux - pivots1'!$A:$B,2,0)</f>
        <v>4</v>
      </c>
      <c r="I438" s="93">
        <f>SUMIFS(Table1[Estimação (horas)],Table1[Tabela],Plano_V1!E438,Table1[Campo],Plano_V1!F438)</f>
        <v>16.100000000000001</v>
      </c>
      <c r="J438" s="93">
        <f t="shared" si="36"/>
        <v>2.0125000000000002</v>
      </c>
      <c r="K438" s="96" t="s">
        <v>321</v>
      </c>
      <c r="L438" s="99">
        <f t="shared" si="34"/>
        <v>2.0125000000000002</v>
      </c>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100"/>
      <c r="AU438" s="87"/>
      <c r="AV438" s="87"/>
      <c r="AW438" s="87"/>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100"/>
      <c r="EJ438" s="100"/>
      <c r="EK438" s="100"/>
      <c r="EL438" s="100"/>
      <c r="EM438" s="100"/>
      <c r="EN438" s="100"/>
      <c r="EO438" s="100"/>
      <c r="EP438" s="87"/>
      <c r="EQ438" s="87"/>
      <c r="ER438" s="87"/>
      <c r="ES438" s="87"/>
      <c r="ET438" s="87"/>
      <c r="EU438" s="87"/>
      <c r="EV438" s="87"/>
      <c r="EW438" s="87"/>
      <c r="EX438" s="87"/>
      <c r="EY438" s="87"/>
      <c r="EZ438" s="87"/>
      <c r="FA438" s="87"/>
      <c r="FB438" s="87"/>
      <c r="FC438" s="87"/>
      <c r="FD438" s="87"/>
      <c r="FE438" s="87"/>
      <c r="FF438" s="87"/>
      <c r="FG438" s="87"/>
      <c r="FH438" s="87"/>
      <c r="FI438" s="87"/>
      <c r="FJ438" s="87"/>
      <c r="FK438" s="87"/>
    </row>
    <row r="439" spans="1:167" hidden="1" outlineLevel="1">
      <c r="A439" s="31" t="str">
        <f t="shared" si="35"/>
        <v>modesg_out_sfcs_taxon_europeianome_general_specific_purpose</v>
      </c>
      <c r="B439" s="76" t="s">
        <v>28</v>
      </c>
      <c r="C439" s="77" t="s">
        <v>301</v>
      </c>
      <c r="D439" s="73" t="s">
        <v>40</v>
      </c>
      <c r="E439" s="75" t="s">
        <v>320</v>
      </c>
      <c r="F439" s="73" t="s">
        <v>199</v>
      </c>
      <c r="G439" s="73" t="str">
        <f>INDEX(Auxiliar!$B$16:$B$23,MATCH(Plano_V1!H439,Auxiliar!$C$16:$C$23,0),1)</f>
        <v>6. Em implementação (re-especificação)</v>
      </c>
      <c r="H439" s="73">
        <f>VLOOKUP(A439,'Aux - pivots1'!$A:$B,2,0)</f>
        <v>6</v>
      </c>
      <c r="I439" s="93">
        <f>SUMIFS(Table1[Estimação (horas)],Table1[Tabela],Plano_V1!E439,Table1[Campo],Plano_V1!F439)</f>
        <v>8.1</v>
      </c>
      <c r="J439" s="93">
        <f t="shared" si="36"/>
        <v>1.0125</v>
      </c>
      <c r="K439" s="96" t="s">
        <v>321</v>
      </c>
      <c r="L439" s="99">
        <f t="shared" si="34"/>
        <v>1.0125</v>
      </c>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100"/>
      <c r="AU439" s="87"/>
      <c r="AV439" s="87"/>
      <c r="AW439" s="87"/>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100"/>
      <c r="EJ439" s="100"/>
      <c r="EK439" s="100"/>
      <c r="EL439" s="100"/>
      <c r="EM439" s="100"/>
      <c r="EN439" s="100"/>
      <c r="EO439" s="100"/>
      <c r="EP439" s="87"/>
      <c r="EQ439" s="87"/>
      <c r="ER439" s="87"/>
      <c r="ES439" s="87"/>
      <c r="ET439" s="87"/>
      <c r="EU439" s="87"/>
      <c r="EV439" s="87"/>
      <c r="EW439" s="87"/>
      <c r="EX439" s="87"/>
      <c r="EY439" s="87"/>
      <c r="EZ439" s="87"/>
      <c r="FA439" s="87"/>
      <c r="FB439" s="87"/>
      <c r="FC439" s="87"/>
      <c r="FD439" s="87"/>
      <c r="FE439" s="87"/>
      <c r="FF439" s="87"/>
      <c r="FG439" s="87"/>
      <c r="FH439" s="87"/>
      <c r="FI439" s="87"/>
      <c r="FJ439" s="87"/>
      <c r="FK439" s="87"/>
    </row>
    <row r="440" spans="1:167" hidden="1" outlineLevel="1">
      <c r="A440" s="31" t="str">
        <f t="shared" si="35"/>
        <v>modesg_out_sfcs_taxon_europeianome_purpose_esg</v>
      </c>
      <c r="B440" s="76" t="s">
        <v>28</v>
      </c>
      <c r="C440" s="77" t="s">
        <v>301</v>
      </c>
      <c r="D440" s="73" t="s">
        <v>40</v>
      </c>
      <c r="E440" s="75" t="s">
        <v>320</v>
      </c>
      <c r="F440" s="73" t="s">
        <v>200</v>
      </c>
      <c r="G440" s="73" t="str">
        <f>INDEX(Auxiliar!$B$16:$B$23,MATCH(Plano_V1!H440,Auxiliar!$C$16:$C$23,0),1)</f>
        <v>6. Em implementação (re-especificação)</v>
      </c>
      <c r="H440" s="73">
        <f>VLOOKUP(A440,'Aux - pivots1'!$A:$B,2,0)</f>
        <v>6</v>
      </c>
      <c r="I440" s="93">
        <f>SUMIFS(Table1[Estimação (horas)],Table1[Tabela],Plano_V1!E440,Table1[Campo],Plano_V1!F440)</f>
        <v>8.1</v>
      </c>
      <c r="J440" s="93">
        <f t="shared" si="36"/>
        <v>1.0125</v>
      </c>
      <c r="K440" s="96" t="s">
        <v>321</v>
      </c>
      <c r="L440" s="99">
        <f t="shared" si="34"/>
        <v>1.0125</v>
      </c>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100"/>
      <c r="AU440" s="87"/>
      <c r="AV440" s="87"/>
      <c r="AW440" s="87"/>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100"/>
      <c r="EJ440" s="100"/>
      <c r="EK440" s="100"/>
      <c r="EL440" s="100"/>
      <c r="EM440" s="100"/>
      <c r="EN440" s="100"/>
      <c r="EO440" s="100"/>
      <c r="EP440" s="87"/>
      <c r="EQ440" s="87"/>
      <c r="ER440" s="87"/>
      <c r="ES440" s="87"/>
      <c r="ET440" s="87"/>
      <c r="EU440" s="87"/>
      <c r="EV440" s="87"/>
      <c r="EW440" s="87"/>
      <c r="EX440" s="87"/>
      <c r="EY440" s="87"/>
      <c r="EZ440" s="87"/>
      <c r="FA440" s="87"/>
      <c r="FB440" s="87"/>
      <c r="FC440" s="87"/>
      <c r="FD440" s="87"/>
      <c r="FE440" s="87"/>
      <c r="FF440" s="87"/>
      <c r="FG440" s="87"/>
      <c r="FH440" s="87"/>
      <c r="FI440" s="87"/>
      <c r="FJ440" s="87"/>
      <c r="FK440" s="87"/>
    </row>
    <row r="441" spans="1:167" hidden="1" outlineLevel="1">
      <c r="A441" s="31" t="str">
        <f t="shared" si="35"/>
        <v>modesg_out_sfcs_taxon_europeianome_specific_eligible</v>
      </c>
      <c r="B441" s="76" t="s">
        <v>28</v>
      </c>
      <c r="C441" s="77" t="s">
        <v>301</v>
      </c>
      <c r="D441" s="73" t="s">
        <v>40</v>
      </c>
      <c r="E441" s="75" t="s">
        <v>320</v>
      </c>
      <c r="F441" s="73" t="s">
        <v>201</v>
      </c>
      <c r="G441" s="73" t="str">
        <f>INDEX(Auxiliar!$B$16:$B$23,MATCH(Plano_V1!H441,Auxiliar!$C$16:$C$23,0),1)</f>
        <v>6. Em implementação (re-especificação)</v>
      </c>
      <c r="H441" s="73">
        <f>VLOOKUP(A441,'Aux - pivots1'!$A:$B,2,0)</f>
        <v>6</v>
      </c>
      <c r="I441" s="93">
        <f>SUMIFS(Table1[Estimação (horas)],Table1[Tabela],Plano_V1!E441,Table1[Campo],Plano_V1!F441)</f>
        <v>8.1</v>
      </c>
      <c r="J441" s="93">
        <f t="shared" si="36"/>
        <v>1.0125</v>
      </c>
      <c r="K441" s="96" t="s">
        <v>321</v>
      </c>
      <c r="L441" s="99">
        <f t="shared" si="34"/>
        <v>1.0125</v>
      </c>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100"/>
      <c r="AU441" s="87"/>
      <c r="AV441" s="87"/>
      <c r="AW441" s="87"/>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100"/>
      <c r="EJ441" s="100"/>
      <c r="EK441" s="100"/>
      <c r="EL441" s="100"/>
      <c r="EM441" s="100"/>
      <c r="EN441" s="100"/>
      <c r="EO441" s="100"/>
      <c r="EP441" s="87"/>
      <c r="EQ441" s="87"/>
      <c r="ER441" s="87"/>
      <c r="ES441" s="87"/>
      <c r="ET441" s="87"/>
      <c r="EU441" s="87"/>
      <c r="EV441" s="87"/>
      <c r="EW441" s="87"/>
      <c r="EX441" s="87"/>
      <c r="EY441" s="87"/>
      <c r="EZ441" s="87"/>
      <c r="FA441" s="87"/>
      <c r="FB441" s="87"/>
      <c r="FC441" s="87"/>
      <c r="FD441" s="87"/>
      <c r="FE441" s="87"/>
      <c r="FF441" s="87"/>
      <c r="FG441" s="87"/>
      <c r="FH441" s="87"/>
      <c r="FI441" s="87"/>
      <c r="FJ441" s="87"/>
      <c r="FK441" s="87"/>
    </row>
    <row r="442" spans="1:167" hidden="1" outlineLevel="1">
      <c r="A442" s="31" t="str">
        <f t="shared" si="35"/>
        <v>modesg_out_sfcs_taxon_europeianome_specific_sustainable</v>
      </c>
      <c r="B442" s="76" t="s">
        <v>28</v>
      </c>
      <c r="C442" s="77" t="s">
        <v>301</v>
      </c>
      <c r="D442" s="73" t="s">
        <v>40</v>
      </c>
      <c r="E442" s="75" t="s">
        <v>320</v>
      </c>
      <c r="F442" s="73" t="s">
        <v>202</v>
      </c>
      <c r="G442" s="73" t="str">
        <f>INDEX(Auxiliar!$B$16:$B$23,MATCH(Plano_V1!H442,Auxiliar!$C$16:$C$23,0),1)</f>
        <v>6. Em implementação (re-especificação)</v>
      </c>
      <c r="H442" s="73">
        <f>VLOOKUP(A442,'Aux - pivots1'!$A:$B,2,0)</f>
        <v>6</v>
      </c>
      <c r="I442" s="93">
        <f>SUMIFS(Table1[Estimação (horas)],Table1[Tabela],Plano_V1!E442,Table1[Campo],Plano_V1!F442)</f>
        <v>8.1</v>
      </c>
      <c r="J442" s="93">
        <f t="shared" si="36"/>
        <v>1.0125</v>
      </c>
      <c r="K442" s="96" t="s">
        <v>321</v>
      </c>
      <c r="L442" s="99">
        <f t="shared" si="34"/>
        <v>1.0125</v>
      </c>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100"/>
      <c r="AU442" s="87"/>
      <c r="AV442" s="87"/>
      <c r="AW442" s="87"/>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100"/>
      <c r="EJ442" s="100"/>
      <c r="EK442" s="100"/>
      <c r="EL442" s="100"/>
      <c r="EM442" s="100"/>
      <c r="EN442" s="100"/>
      <c r="EO442" s="100"/>
      <c r="EP442" s="87"/>
      <c r="EQ442" s="87"/>
      <c r="ER442" s="87"/>
      <c r="ES442" s="87"/>
      <c r="ET442" s="87"/>
      <c r="EU442" s="87"/>
      <c r="EV442" s="87"/>
      <c r="EW442" s="87"/>
      <c r="EX442" s="87"/>
      <c r="EY442" s="87"/>
      <c r="EZ442" s="87"/>
      <c r="FA442" s="87"/>
      <c r="FB442" s="87"/>
      <c r="FC442" s="87"/>
      <c r="FD442" s="87"/>
      <c r="FE442" s="87"/>
      <c r="FF442" s="87"/>
      <c r="FG442" s="87"/>
      <c r="FH442" s="87"/>
      <c r="FI442" s="87"/>
      <c r="FJ442" s="87"/>
      <c r="FK442" s="87"/>
    </row>
    <row r="443" spans="1:167" hidden="1" outlineLevel="1">
      <c r="A443" s="31" t="str">
        <f t="shared" si="35"/>
        <v>modesg_out_sfcs_taxon_europeiaorigem</v>
      </c>
      <c r="B443" s="76" t="s">
        <v>28</v>
      </c>
      <c r="C443" s="77" t="s">
        <v>301</v>
      </c>
      <c r="D443" s="73" t="s">
        <v>40</v>
      </c>
      <c r="E443" s="75" t="s">
        <v>320</v>
      </c>
      <c r="F443" s="73" t="s">
        <v>72</v>
      </c>
      <c r="G443" s="73" t="str">
        <f>INDEX(Auxiliar!$B$16:$B$23,MATCH(Plano_V1!H443,Auxiliar!$C$16:$C$23,0),1)</f>
        <v>1. Concluído</v>
      </c>
      <c r="H443" s="73">
        <f>VLOOKUP(A443,'Aux - pivots1'!$A:$B,2,0)</f>
        <v>1</v>
      </c>
      <c r="I443" s="93">
        <f>SUMIFS(Table1[Estimação (horas)],Table1[Tabela],Plano_V1!E443,Table1[Campo],Plano_V1!F443)</f>
        <v>4.0999999999999996</v>
      </c>
      <c r="J443" s="93">
        <f t="shared" si="36"/>
        <v>0.51249999999999996</v>
      </c>
      <c r="K443" s="96" t="s">
        <v>321</v>
      </c>
      <c r="L443" s="99">
        <f t="shared" si="34"/>
        <v>0.51249999999999996</v>
      </c>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100"/>
      <c r="AU443" s="87"/>
      <c r="AV443" s="87"/>
      <c r="AW443" s="87"/>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100"/>
      <c r="EJ443" s="100"/>
      <c r="EK443" s="100"/>
      <c r="EL443" s="100"/>
      <c r="EM443" s="100"/>
      <c r="EN443" s="100"/>
      <c r="EO443" s="100"/>
      <c r="EP443" s="87"/>
      <c r="EQ443" s="87"/>
      <c r="ER443" s="87"/>
      <c r="ES443" s="87"/>
      <c r="ET443" s="87"/>
      <c r="EU443" s="87"/>
      <c r="EV443" s="87"/>
      <c r="EW443" s="87"/>
      <c r="EX443" s="87"/>
      <c r="EY443" s="87"/>
      <c r="EZ443" s="87"/>
      <c r="FA443" s="87"/>
      <c r="FB443" s="87"/>
      <c r="FC443" s="87"/>
      <c r="FD443" s="87"/>
      <c r="FE443" s="87"/>
      <c r="FF443" s="87"/>
      <c r="FG443" s="87"/>
      <c r="FH443" s="87"/>
      <c r="FI443" s="87"/>
      <c r="FJ443" s="87"/>
      <c r="FK443" s="87"/>
    </row>
    <row r="444" spans="1:167" hidden="1" outlineLevel="1">
      <c r="A444" s="31" t="str">
        <f t="shared" si="35"/>
        <v>modesg_out_sfcs_taxon_europeiaref_date</v>
      </c>
      <c r="B444" s="76" t="s">
        <v>28</v>
      </c>
      <c r="C444" s="77" t="s">
        <v>301</v>
      </c>
      <c r="D444" s="73" t="s">
        <v>40</v>
      </c>
      <c r="E444" s="75" t="s">
        <v>320</v>
      </c>
      <c r="F444" s="73" t="s">
        <v>73</v>
      </c>
      <c r="G444" s="73" t="str">
        <f>INDEX(Auxiliar!$B$16:$B$23,MATCH(Plano_V1!H444,Auxiliar!$C$16:$C$23,0),1)</f>
        <v>6. Em implementação (re-especificação)</v>
      </c>
      <c r="H444" s="73">
        <f>VLOOKUP(A444,'Aux - pivots1'!$A:$B,2,0)</f>
        <v>6</v>
      </c>
      <c r="I444" s="93">
        <f>SUMIFS(Table1[Estimação (horas)],Table1[Tabela],Plano_V1!E444,Table1[Campo],Plano_V1!F444)</f>
        <v>4.0999999999999996</v>
      </c>
      <c r="J444" s="93">
        <f t="shared" si="36"/>
        <v>0.51249999999999996</v>
      </c>
      <c r="K444" s="96" t="s">
        <v>321</v>
      </c>
      <c r="L444" s="99">
        <f t="shared" si="34"/>
        <v>0.51249999999999996</v>
      </c>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100"/>
      <c r="AU444" s="87"/>
      <c r="AV444" s="87"/>
      <c r="AW444" s="87"/>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100"/>
      <c r="EJ444" s="100"/>
      <c r="EK444" s="100"/>
      <c r="EL444" s="100"/>
      <c r="EM444" s="100"/>
      <c r="EN444" s="100"/>
      <c r="EO444" s="100"/>
      <c r="EP444" s="87"/>
      <c r="EQ444" s="87"/>
      <c r="ER444" s="87"/>
      <c r="ES444" s="87"/>
      <c r="ET444" s="87"/>
      <c r="EU444" s="87"/>
      <c r="EV444" s="87"/>
      <c r="EW444" s="87"/>
      <c r="EX444" s="87"/>
      <c r="EY444" s="87"/>
      <c r="EZ444" s="87"/>
      <c r="FA444" s="87"/>
      <c r="FB444" s="87"/>
      <c r="FC444" s="87"/>
      <c r="FD444" s="87"/>
      <c r="FE444" s="87"/>
      <c r="FF444" s="87"/>
      <c r="FG444" s="87"/>
      <c r="FH444" s="87"/>
      <c r="FI444" s="87"/>
      <c r="FJ444" s="87"/>
      <c r="FK444" s="87"/>
    </row>
    <row r="445" spans="1:167" hidden="1" outlineLevel="1">
      <c r="A445" s="31" t="str">
        <f t="shared" si="35"/>
        <v>modesg_out_sfcs_taxon_europeiazdeposit</v>
      </c>
      <c r="B445" s="76" t="s">
        <v>28</v>
      </c>
      <c r="C445" s="77" t="s">
        <v>301</v>
      </c>
      <c r="D445" s="73" t="s">
        <v>40</v>
      </c>
      <c r="E445" s="75" t="s">
        <v>320</v>
      </c>
      <c r="F445" s="73" t="s">
        <v>204</v>
      </c>
      <c r="G445" s="73" t="str">
        <f>INDEX(Auxiliar!$B$16:$B$23,MATCH(Plano_V1!H445,Auxiliar!$C$16:$C$23,0),1)</f>
        <v>6. Em implementação (re-especificação)</v>
      </c>
      <c r="H445" s="73">
        <f>VLOOKUP(A445,'Aux - pivots1'!$A:$B,2,0)</f>
        <v>6</v>
      </c>
      <c r="I445" s="93">
        <f>SUMIFS(Table1[Estimação (horas)],Table1[Tabela],Plano_V1!E445,Table1[Campo],Plano_V1!F445)</f>
        <v>8.1</v>
      </c>
      <c r="J445" s="93">
        <f t="shared" si="36"/>
        <v>1.0125</v>
      </c>
      <c r="K445" s="96" t="s">
        <v>321</v>
      </c>
      <c r="L445" s="99">
        <f t="shared" si="34"/>
        <v>1.0125</v>
      </c>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100"/>
      <c r="AU445" s="87"/>
      <c r="AV445" s="87"/>
      <c r="AW445" s="87"/>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100"/>
      <c r="EJ445" s="100"/>
      <c r="EK445" s="100"/>
      <c r="EL445" s="100"/>
      <c r="EM445" s="100"/>
      <c r="EN445" s="100"/>
      <c r="EO445" s="100"/>
      <c r="EP445" s="87"/>
      <c r="EQ445" s="87"/>
      <c r="ER445" s="87"/>
      <c r="ES445" s="87"/>
      <c r="ET445" s="87"/>
      <c r="EU445" s="87"/>
      <c r="EV445" s="87"/>
      <c r="EW445" s="87"/>
      <c r="EX445" s="87"/>
      <c r="EY445" s="87"/>
      <c r="EZ445" s="87"/>
      <c r="FA445" s="87"/>
      <c r="FB445" s="87"/>
      <c r="FC445" s="87"/>
      <c r="FD445" s="87"/>
      <c r="FE445" s="87"/>
      <c r="FF445" s="87"/>
      <c r="FG445" s="87"/>
      <c r="FH445" s="87"/>
      <c r="FI445" s="87"/>
      <c r="FJ445" s="87"/>
      <c r="FK445" s="87"/>
    </row>
    <row r="446" spans="1:167" hidden="1" outlineLevel="1">
      <c r="A446" s="31" t="str">
        <f t="shared" si="35"/>
        <v>Re-testesn.a.</v>
      </c>
      <c r="B446" s="76" t="s">
        <v>28</v>
      </c>
      <c r="C446" s="77" t="s">
        <v>301</v>
      </c>
      <c r="D446" s="73" t="s">
        <v>40</v>
      </c>
      <c r="E446" s="75" t="s">
        <v>53</v>
      </c>
      <c r="F446" s="73" t="s">
        <v>38</v>
      </c>
      <c r="G446" s="73" t="s">
        <v>177</v>
      </c>
      <c r="H446" s="73"/>
      <c r="I446" s="93">
        <f>SUM(I363:I445)*D7</f>
        <v>88.487500000000139</v>
      </c>
      <c r="J446" s="93">
        <f>I446/8</f>
        <v>11.060937500000017</v>
      </c>
      <c r="K446" s="96"/>
      <c r="L446" s="99">
        <f t="shared" si="34"/>
        <v>11.060937500000017</v>
      </c>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100"/>
      <c r="AU446" s="87"/>
      <c r="AV446" s="87"/>
      <c r="AW446" s="87"/>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100"/>
      <c r="EJ446" s="100"/>
      <c r="EK446" s="100"/>
      <c r="EL446" s="100"/>
      <c r="EM446" s="100"/>
      <c r="EN446" s="100"/>
      <c r="EO446" s="100"/>
      <c r="EP446" s="87"/>
      <c r="EQ446" s="87"/>
      <c r="ER446" s="87"/>
      <c r="ES446" s="87"/>
      <c r="ET446" s="87"/>
      <c r="EU446" s="87"/>
      <c r="EV446" s="87"/>
      <c r="EW446" s="87"/>
      <c r="EX446" s="87"/>
      <c r="EY446" s="87"/>
      <c r="EZ446" s="87"/>
      <c r="FA446" s="87"/>
      <c r="FB446" s="87"/>
      <c r="FC446" s="87"/>
      <c r="FD446" s="87"/>
      <c r="FE446" s="87"/>
      <c r="FF446" s="87"/>
      <c r="FG446" s="87"/>
      <c r="FH446" s="87"/>
      <c r="FI446" s="87"/>
      <c r="FJ446" s="87"/>
      <c r="FK446" s="87"/>
    </row>
    <row r="447" spans="1:167" collapsed="1">
      <c r="A447" s="31" t="str">
        <f t="shared" si="35"/>
        <v/>
      </c>
      <c r="B447" s="110" t="s">
        <v>28</v>
      </c>
      <c r="C447" s="111" t="s">
        <v>28</v>
      </c>
      <c r="D447" s="105"/>
      <c r="E447" s="112"/>
      <c r="F447" s="105"/>
      <c r="G447" s="105"/>
      <c r="H447" s="105"/>
      <c r="I447" s="108">
        <f>SUM(I448:I574)</f>
        <v>338.17500000000138</v>
      </c>
      <c r="J447" s="108">
        <f>ROUNDUP(I447/8,0)</f>
        <v>43</v>
      </c>
      <c r="K447" s="96"/>
      <c r="L447" s="99">
        <f t="shared" si="34"/>
        <v>6</v>
      </c>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100"/>
      <c r="AU447" s="87"/>
      <c r="AV447" s="87"/>
      <c r="AW447" s="87"/>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v>1</v>
      </c>
      <c r="DT447" s="87">
        <v>1</v>
      </c>
      <c r="DU447" s="87">
        <v>1</v>
      </c>
      <c r="DV447" s="87">
        <v>1</v>
      </c>
      <c r="DW447" s="87">
        <v>0.5</v>
      </c>
      <c r="DX447" s="87">
        <v>3</v>
      </c>
      <c r="DY447" s="87">
        <v>3</v>
      </c>
      <c r="DZ447" s="87">
        <v>3</v>
      </c>
      <c r="EA447" s="87">
        <v>3</v>
      </c>
      <c r="EB447" s="87">
        <v>2.5</v>
      </c>
      <c r="EC447" s="87">
        <v>3</v>
      </c>
      <c r="ED447" s="87">
        <v>3</v>
      </c>
      <c r="EE447" s="87">
        <v>3</v>
      </c>
      <c r="EF447" s="87">
        <v>3</v>
      </c>
      <c r="EG447" s="87">
        <v>3</v>
      </c>
      <c r="EH447" s="87">
        <v>3</v>
      </c>
      <c r="EI447" s="100"/>
      <c r="EJ447" s="100"/>
      <c r="EK447" s="100"/>
      <c r="EL447" s="100"/>
      <c r="EM447" s="100"/>
      <c r="EN447" s="100"/>
      <c r="EO447" s="100"/>
      <c r="EP447" s="87"/>
      <c r="EQ447" s="87"/>
      <c r="ER447" s="87"/>
      <c r="ES447" s="87"/>
      <c r="ET447" s="87"/>
      <c r="EU447" s="87"/>
      <c r="EV447" s="87"/>
      <c r="EW447" s="87"/>
      <c r="EX447" s="87"/>
      <c r="EY447" s="87"/>
      <c r="EZ447" s="87"/>
      <c r="FA447" s="87"/>
      <c r="FB447" s="87"/>
      <c r="FC447" s="87"/>
      <c r="FD447" s="87"/>
      <c r="FE447" s="87"/>
      <c r="FF447" s="87"/>
      <c r="FG447" s="87"/>
      <c r="FH447" s="87"/>
      <c r="FI447" s="87"/>
      <c r="FJ447" s="87"/>
      <c r="FK447" s="87"/>
    </row>
    <row r="448" spans="1:167" hidden="1" outlineLevel="1">
      <c r="A448" s="31" t="str">
        <f t="shared" si="35"/>
        <v>lt003_entitynace_esg</v>
      </c>
      <c r="B448" s="76" t="s">
        <v>28</v>
      </c>
      <c r="C448" s="77" t="s">
        <v>28</v>
      </c>
      <c r="D448" s="73" t="s">
        <v>40</v>
      </c>
      <c r="E448" s="79" t="s">
        <v>323</v>
      </c>
      <c r="F448" s="80" t="s">
        <v>324</v>
      </c>
      <c r="G448" s="73" t="str">
        <f>INDEX(Auxiliar!$B$16:$B$23,MATCH(Plano_V1!H448,Auxiliar!$C$16:$C$23,0),1)</f>
        <v>7. Por iniciar</v>
      </c>
      <c r="H448" s="73">
        <f>VLOOKUP(A448,'Aux - pivots1'!$A:$B,2,0)</f>
        <v>7</v>
      </c>
      <c r="I448" s="93">
        <f>SUMIFS(Table1[Estimação (horas)],Table1[Tabela],Plano_V1!E448,Table1[Campo],Plano_V1!F448)</f>
        <v>4.0999999999999996</v>
      </c>
      <c r="J448" s="93">
        <f t="shared" ref="J448:J511" si="37">I448/8</f>
        <v>0.51249999999999996</v>
      </c>
      <c r="K448" s="96" t="s">
        <v>325</v>
      </c>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100"/>
      <c r="AU448" s="87"/>
      <c r="AV448" s="87"/>
      <c r="AW448" s="87"/>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100"/>
      <c r="EJ448" s="100"/>
      <c r="EK448" s="100"/>
      <c r="EL448" s="100"/>
      <c r="EM448" s="100"/>
      <c r="EN448" s="100"/>
      <c r="EO448" s="100"/>
      <c r="EP448" s="87"/>
      <c r="EQ448" s="87"/>
      <c r="ER448" s="87"/>
      <c r="ES448" s="87"/>
      <c r="ET448" s="87"/>
      <c r="EU448" s="87"/>
      <c r="EV448" s="87"/>
      <c r="EW448" s="87"/>
      <c r="EX448" s="87"/>
      <c r="EY448" s="87"/>
      <c r="EZ448" s="87"/>
      <c r="FA448" s="87"/>
      <c r="FB448" s="87"/>
      <c r="FC448" s="87"/>
      <c r="FD448" s="87"/>
      <c r="FE448" s="87"/>
      <c r="FF448" s="87"/>
      <c r="FG448" s="87"/>
      <c r="FH448" s="87"/>
      <c r="FI448" s="87"/>
      <c r="FJ448" s="87"/>
      <c r="FK448" s="87"/>
    </row>
    <row r="449" spans="1:167" hidden="1" outlineLevel="1">
      <c r="A449" s="31" t="str">
        <f t="shared" si="35"/>
        <v>lt003_entitytxnmy_elgbl_capex_ccm</v>
      </c>
      <c r="B449" s="76" t="s">
        <v>28</v>
      </c>
      <c r="C449" s="77" t="s">
        <v>28</v>
      </c>
      <c r="D449" s="73" t="s">
        <v>40</v>
      </c>
      <c r="E449" s="79" t="s">
        <v>323</v>
      </c>
      <c r="F449" s="80" t="s">
        <v>326</v>
      </c>
      <c r="G449" s="73" t="str">
        <f>INDEX(Auxiliar!$B$16:$B$23,MATCH(Plano_V1!H449,Auxiliar!$C$16:$C$23,0),1)</f>
        <v>7. Por iniciar</v>
      </c>
      <c r="H449" s="73">
        <f>VLOOKUP(A449,'Aux - pivots1'!$A:$B,2,0)</f>
        <v>7</v>
      </c>
      <c r="I449" s="93">
        <f>SUMIFS(Table1[Estimação (horas)],Table1[Tabela],Plano_V1!E449,Table1[Campo],Plano_V1!F449)</f>
        <v>4.0999999999999996</v>
      </c>
      <c r="J449" s="93">
        <f t="shared" si="37"/>
        <v>0.51249999999999996</v>
      </c>
      <c r="K449" s="96" t="s">
        <v>325</v>
      </c>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100"/>
      <c r="AU449" s="87"/>
      <c r="AV449" s="87"/>
      <c r="AW449" s="87"/>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100"/>
      <c r="EJ449" s="100"/>
      <c r="EK449" s="100"/>
      <c r="EL449" s="100"/>
      <c r="EM449" s="100"/>
      <c r="EN449" s="100"/>
      <c r="EO449" s="100"/>
      <c r="EP449" s="87"/>
      <c r="EQ449" s="87"/>
      <c r="ER449" s="87"/>
      <c r="ES449" s="87"/>
      <c r="ET449" s="87"/>
      <c r="EU449" s="87"/>
      <c r="EV449" s="87"/>
      <c r="EW449" s="87"/>
      <c r="EX449" s="87"/>
      <c r="EY449" s="87"/>
      <c r="EZ449" s="87"/>
      <c r="FA449" s="87"/>
      <c r="FB449" s="87"/>
      <c r="FC449" s="87"/>
      <c r="FD449" s="87"/>
      <c r="FE449" s="87"/>
      <c r="FF449" s="87"/>
      <c r="FG449" s="87"/>
      <c r="FH449" s="87"/>
      <c r="FI449" s="87"/>
      <c r="FJ449" s="87"/>
      <c r="FK449" s="87"/>
    </row>
    <row r="450" spans="1:167" hidden="1" outlineLevel="1">
      <c r="A450" s="31" t="str">
        <f t="shared" si="35"/>
        <v>lt003_entitytxnmy_elgbl_trnvr_ccm</v>
      </c>
      <c r="B450" s="76" t="s">
        <v>28</v>
      </c>
      <c r="C450" s="77" t="s">
        <v>28</v>
      </c>
      <c r="D450" s="73" t="s">
        <v>40</v>
      </c>
      <c r="E450" s="79" t="s">
        <v>323</v>
      </c>
      <c r="F450" s="80" t="s">
        <v>327</v>
      </c>
      <c r="G450" s="73" t="str">
        <f>INDEX(Auxiliar!$B$16:$B$23,MATCH(Plano_V1!H450,Auxiliar!$C$16:$C$23,0),1)</f>
        <v>7. Por iniciar</v>
      </c>
      <c r="H450" s="73">
        <f>VLOOKUP(A450,'Aux - pivots1'!$A:$B,2,0)</f>
        <v>7</v>
      </c>
      <c r="I450" s="93">
        <f>SUMIFS(Table1[Estimação (horas)],Table1[Tabela],Plano_V1!E450,Table1[Campo],Plano_V1!F450)</f>
        <v>4.0999999999999996</v>
      </c>
      <c r="J450" s="93">
        <f t="shared" si="37"/>
        <v>0.51249999999999996</v>
      </c>
      <c r="K450" s="96" t="s">
        <v>325</v>
      </c>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100"/>
      <c r="AU450" s="87"/>
      <c r="AV450" s="87"/>
      <c r="AW450" s="87"/>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100"/>
      <c r="EJ450" s="100"/>
      <c r="EK450" s="100"/>
      <c r="EL450" s="100"/>
      <c r="EM450" s="100"/>
      <c r="EN450" s="100"/>
      <c r="EO450" s="100"/>
      <c r="EP450" s="87"/>
      <c r="EQ450" s="87"/>
      <c r="ER450" s="87"/>
      <c r="ES450" s="87"/>
      <c r="ET450" s="87"/>
      <c r="EU450" s="87"/>
      <c r="EV450" s="87"/>
      <c r="EW450" s="87"/>
      <c r="EX450" s="87"/>
      <c r="EY450" s="87"/>
      <c r="EZ450" s="87"/>
      <c r="FA450" s="87"/>
      <c r="FB450" s="87"/>
      <c r="FC450" s="87"/>
      <c r="FD450" s="87"/>
      <c r="FE450" s="87"/>
      <c r="FF450" s="87"/>
      <c r="FG450" s="87"/>
      <c r="FH450" s="87"/>
      <c r="FI450" s="87"/>
      <c r="FJ450" s="87"/>
      <c r="FK450" s="87"/>
    </row>
    <row r="451" spans="1:167" hidden="1" outlineLevel="1">
      <c r="A451" s="31" t="str">
        <f t="shared" si="35"/>
        <v>lt003_entitytxnmy_elgbl_capex_cca</v>
      </c>
      <c r="B451" s="76" t="s">
        <v>28</v>
      </c>
      <c r="C451" s="77" t="s">
        <v>28</v>
      </c>
      <c r="D451" s="73" t="s">
        <v>40</v>
      </c>
      <c r="E451" s="79" t="s">
        <v>323</v>
      </c>
      <c r="F451" s="80" t="s">
        <v>328</v>
      </c>
      <c r="G451" s="73" t="str">
        <f>INDEX(Auxiliar!$B$16:$B$23,MATCH(Plano_V1!H451,Auxiliar!$C$16:$C$23,0),1)</f>
        <v>7. Por iniciar</v>
      </c>
      <c r="H451" s="73">
        <f>VLOOKUP(A451,'Aux - pivots1'!$A:$B,2,0)</f>
        <v>7</v>
      </c>
      <c r="I451" s="93">
        <f>SUMIFS(Table1[Estimação (horas)],Table1[Tabela],Plano_V1!E451,Table1[Campo],Plano_V1!F451)</f>
        <v>4.0999999999999996</v>
      </c>
      <c r="J451" s="93">
        <f t="shared" si="37"/>
        <v>0.51249999999999996</v>
      </c>
      <c r="K451" s="96" t="s">
        <v>325</v>
      </c>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100"/>
      <c r="AU451" s="87"/>
      <c r="AV451" s="87"/>
      <c r="AW451" s="87"/>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100"/>
      <c r="EJ451" s="100"/>
      <c r="EK451" s="100"/>
      <c r="EL451" s="100"/>
      <c r="EM451" s="100"/>
      <c r="EN451" s="100"/>
      <c r="EO451" s="100"/>
      <c r="EP451" s="87"/>
      <c r="EQ451" s="87"/>
      <c r="ER451" s="87"/>
      <c r="ES451" s="87"/>
      <c r="ET451" s="87"/>
      <c r="EU451" s="87"/>
      <c r="EV451" s="87"/>
      <c r="EW451" s="87"/>
      <c r="EX451" s="87"/>
      <c r="EY451" s="87"/>
      <c r="EZ451" s="87"/>
      <c r="FA451" s="87"/>
      <c r="FB451" s="87"/>
      <c r="FC451" s="87"/>
      <c r="FD451" s="87"/>
      <c r="FE451" s="87"/>
      <c r="FF451" s="87"/>
      <c r="FG451" s="87"/>
      <c r="FH451" s="87"/>
      <c r="FI451" s="87"/>
      <c r="FJ451" s="87"/>
      <c r="FK451" s="87"/>
    </row>
    <row r="452" spans="1:167" hidden="1" outlineLevel="1">
      <c r="A452" s="31" t="str">
        <f t="shared" si="35"/>
        <v>lt003_entitytxnmy_elgbl_trnvr_cca</v>
      </c>
      <c r="B452" s="76" t="s">
        <v>28</v>
      </c>
      <c r="C452" s="77" t="s">
        <v>28</v>
      </c>
      <c r="D452" s="73" t="s">
        <v>40</v>
      </c>
      <c r="E452" s="79" t="s">
        <v>323</v>
      </c>
      <c r="F452" s="80" t="s">
        <v>329</v>
      </c>
      <c r="G452" s="73" t="str">
        <f>INDEX(Auxiliar!$B$16:$B$23,MATCH(Plano_V1!H452,Auxiliar!$C$16:$C$23,0),1)</f>
        <v>7. Por iniciar</v>
      </c>
      <c r="H452" s="73">
        <f>VLOOKUP(A452,'Aux - pivots1'!$A:$B,2,0)</f>
        <v>7</v>
      </c>
      <c r="I452" s="93">
        <f>SUMIFS(Table1[Estimação (horas)],Table1[Tabela],Plano_V1!E452,Table1[Campo],Plano_V1!F452)</f>
        <v>4.0999999999999996</v>
      </c>
      <c r="J452" s="93">
        <f t="shared" si="37"/>
        <v>0.51249999999999996</v>
      </c>
      <c r="K452" s="96" t="s">
        <v>325</v>
      </c>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100"/>
      <c r="AU452" s="87"/>
      <c r="AV452" s="87"/>
      <c r="AW452" s="87"/>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100"/>
      <c r="EJ452" s="100"/>
      <c r="EK452" s="100"/>
      <c r="EL452" s="100"/>
      <c r="EM452" s="100"/>
      <c r="EN452" s="100"/>
      <c r="EO452" s="100"/>
      <c r="EP452" s="87"/>
      <c r="EQ452" s="87"/>
      <c r="ER452" s="87"/>
      <c r="ES452" s="87"/>
      <c r="ET452" s="87"/>
      <c r="EU452" s="87"/>
      <c r="EV452" s="87"/>
      <c r="EW452" s="87"/>
      <c r="EX452" s="87"/>
      <c r="EY452" s="87"/>
      <c r="EZ452" s="87"/>
      <c r="FA452" s="87"/>
      <c r="FB452" s="87"/>
      <c r="FC452" s="87"/>
      <c r="FD452" s="87"/>
      <c r="FE452" s="87"/>
      <c r="FF452" s="87"/>
      <c r="FG452" s="87"/>
      <c r="FH452" s="87"/>
      <c r="FI452" s="87"/>
      <c r="FJ452" s="87"/>
      <c r="FK452" s="87"/>
    </row>
    <row r="453" spans="1:167" hidden="1" outlineLevel="1">
      <c r="A453" s="31" t="str">
        <f t="shared" si="35"/>
        <v>lt003_entityenblng_capex_ccm</v>
      </c>
      <c r="B453" s="76" t="s">
        <v>28</v>
      </c>
      <c r="C453" s="77" t="s">
        <v>28</v>
      </c>
      <c r="D453" s="73" t="s">
        <v>40</v>
      </c>
      <c r="E453" s="79" t="s">
        <v>323</v>
      </c>
      <c r="F453" s="80" t="s">
        <v>330</v>
      </c>
      <c r="G453" s="73" t="str">
        <f>INDEX(Auxiliar!$B$16:$B$23,MATCH(Plano_V1!H453,Auxiliar!$C$16:$C$23,0),1)</f>
        <v>7. Por iniciar</v>
      </c>
      <c r="H453" s="73">
        <f>VLOOKUP(A453,'Aux - pivots1'!$A:$B,2,0)</f>
        <v>7</v>
      </c>
      <c r="I453" s="93">
        <f>SUMIFS(Table1[Estimação (horas)],Table1[Tabela],Plano_V1!E453,Table1[Campo],Plano_V1!F453)</f>
        <v>4.0999999999999996</v>
      </c>
      <c r="J453" s="93">
        <f t="shared" si="37"/>
        <v>0.51249999999999996</v>
      </c>
      <c r="K453" s="96" t="s">
        <v>325</v>
      </c>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100"/>
      <c r="AU453" s="87"/>
      <c r="AV453" s="87"/>
      <c r="AW453" s="87"/>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100"/>
      <c r="EJ453" s="100"/>
      <c r="EK453" s="100"/>
      <c r="EL453" s="100"/>
      <c r="EM453" s="100"/>
      <c r="EN453" s="100"/>
      <c r="EO453" s="100"/>
      <c r="EP453" s="87"/>
      <c r="EQ453" s="87"/>
      <c r="ER453" s="87"/>
      <c r="ES453" s="87"/>
      <c r="ET453" s="87"/>
      <c r="EU453" s="87"/>
      <c r="EV453" s="87"/>
      <c r="EW453" s="87"/>
      <c r="EX453" s="87"/>
      <c r="EY453" s="87"/>
      <c r="EZ453" s="87"/>
      <c r="FA453" s="87"/>
      <c r="FB453" s="87"/>
      <c r="FC453" s="87"/>
      <c r="FD453" s="87"/>
      <c r="FE453" s="87"/>
      <c r="FF453" s="87"/>
      <c r="FG453" s="87"/>
      <c r="FH453" s="87"/>
      <c r="FI453" s="87"/>
      <c r="FJ453" s="87"/>
      <c r="FK453" s="87"/>
    </row>
    <row r="454" spans="1:167" hidden="1" outlineLevel="1">
      <c r="A454" s="31" t="str">
        <f t="shared" si="35"/>
        <v>lt003_entityenblng_capex_cca</v>
      </c>
      <c r="B454" s="76" t="s">
        <v>28</v>
      </c>
      <c r="C454" s="77" t="s">
        <v>28</v>
      </c>
      <c r="D454" s="73" t="s">
        <v>40</v>
      </c>
      <c r="E454" s="79" t="s">
        <v>323</v>
      </c>
      <c r="F454" s="80" t="s">
        <v>331</v>
      </c>
      <c r="G454" s="73" t="str">
        <f>INDEX(Auxiliar!$B$16:$B$23,MATCH(Plano_V1!H454,Auxiliar!$C$16:$C$23,0),1)</f>
        <v>7. Por iniciar</v>
      </c>
      <c r="H454" s="73">
        <f>VLOOKUP(A454,'Aux - pivots1'!$A:$B,2,0)</f>
        <v>7</v>
      </c>
      <c r="I454" s="93">
        <f>SUMIFS(Table1[Estimação (horas)],Table1[Tabela],Plano_V1!E454,Table1[Campo],Plano_V1!F454)</f>
        <v>4.0999999999999996</v>
      </c>
      <c r="J454" s="93">
        <f t="shared" si="37"/>
        <v>0.51249999999999996</v>
      </c>
      <c r="K454" s="96" t="s">
        <v>325</v>
      </c>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100"/>
      <c r="AU454" s="87"/>
      <c r="AV454" s="87"/>
      <c r="AW454" s="87"/>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100"/>
      <c r="EJ454" s="100"/>
      <c r="EK454" s="100"/>
      <c r="EL454" s="100"/>
      <c r="EM454" s="100"/>
      <c r="EN454" s="100"/>
      <c r="EO454" s="100"/>
      <c r="EP454" s="87"/>
      <c r="EQ454" s="87"/>
      <c r="ER454" s="87"/>
      <c r="ES454" s="87"/>
      <c r="ET454" s="87"/>
      <c r="EU454" s="87"/>
      <c r="EV454" s="87"/>
      <c r="EW454" s="87"/>
      <c r="EX454" s="87"/>
      <c r="EY454" s="87"/>
      <c r="EZ454" s="87"/>
      <c r="FA454" s="87"/>
      <c r="FB454" s="87"/>
      <c r="FC454" s="87"/>
      <c r="FD454" s="87"/>
      <c r="FE454" s="87"/>
      <c r="FF454" s="87"/>
      <c r="FG454" s="87"/>
      <c r="FH454" s="87"/>
      <c r="FI454" s="87"/>
      <c r="FJ454" s="87"/>
      <c r="FK454" s="87"/>
    </row>
    <row r="455" spans="1:167" hidden="1" outlineLevel="1">
      <c r="A455" s="31" t="str">
        <f t="shared" si="35"/>
        <v>lt003_entitytrnstnl_capex</v>
      </c>
      <c r="B455" s="76" t="s">
        <v>28</v>
      </c>
      <c r="C455" s="77" t="s">
        <v>28</v>
      </c>
      <c r="D455" s="73" t="s">
        <v>40</v>
      </c>
      <c r="E455" s="79" t="s">
        <v>323</v>
      </c>
      <c r="F455" s="80" t="s">
        <v>332</v>
      </c>
      <c r="G455" s="73" t="str">
        <f>INDEX(Auxiliar!$B$16:$B$23,MATCH(Plano_V1!H455,Auxiliar!$C$16:$C$23,0),1)</f>
        <v>7. Por iniciar</v>
      </c>
      <c r="H455" s="73">
        <f>VLOOKUP(A455,'Aux - pivots1'!$A:$B,2,0)</f>
        <v>7</v>
      </c>
      <c r="I455" s="93">
        <f>SUMIFS(Table1[Estimação (horas)],Table1[Tabela],Plano_V1!E455,Table1[Campo],Plano_V1!F455)</f>
        <v>4.0999999999999996</v>
      </c>
      <c r="J455" s="93">
        <f t="shared" si="37"/>
        <v>0.51249999999999996</v>
      </c>
      <c r="K455" s="96" t="s">
        <v>325</v>
      </c>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100"/>
      <c r="AU455" s="87"/>
      <c r="AV455" s="87"/>
      <c r="AW455" s="87"/>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100"/>
      <c r="EJ455" s="100"/>
      <c r="EK455" s="100"/>
      <c r="EL455" s="100"/>
      <c r="EM455" s="100"/>
      <c r="EN455" s="100"/>
      <c r="EO455" s="100"/>
      <c r="EP455" s="87"/>
      <c r="EQ455" s="87"/>
      <c r="ER455" s="87"/>
      <c r="ES455" s="87"/>
      <c r="ET455" s="87"/>
      <c r="EU455" s="87"/>
      <c r="EV455" s="87"/>
      <c r="EW455" s="87"/>
      <c r="EX455" s="87"/>
      <c r="EY455" s="87"/>
      <c r="EZ455" s="87"/>
      <c r="FA455" s="87"/>
      <c r="FB455" s="87"/>
      <c r="FC455" s="87"/>
      <c r="FD455" s="87"/>
      <c r="FE455" s="87"/>
      <c r="FF455" s="87"/>
      <c r="FG455" s="87"/>
      <c r="FH455" s="87"/>
      <c r="FI455" s="87"/>
      <c r="FJ455" s="87"/>
      <c r="FK455" s="87"/>
    </row>
    <row r="456" spans="1:167" hidden="1" outlineLevel="1">
      <c r="A456" s="31" t="str">
        <f t="shared" si="35"/>
        <v>lt003_entitypure_capex_ccm</v>
      </c>
      <c r="B456" s="76" t="s">
        <v>28</v>
      </c>
      <c r="C456" s="77" t="s">
        <v>28</v>
      </c>
      <c r="D456" s="73" t="s">
        <v>40</v>
      </c>
      <c r="E456" s="79" t="s">
        <v>323</v>
      </c>
      <c r="F456" s="80" t="s">
        <v>333</v>
      </c>
      <c r="G456" s="73" t="str">
        <f>INDEX(Auxiliar!$B$16:$B$23,MATCH(Plano_V1!H456,Auxiliar!$C$16:$C$23,0),1)</f>
        <v>7. Por iniciar</v>
      </c>
      <c r="H456" s="73">
        <f>VLOOKUP(A456,'Aux - pivots1'!$A:$B,2,0)</f>
        <v>7</v>
      </c>
      <c r="I456" s="93">
        <f>SUMIFS(Table1[Estimação (horas)],Table1[Tabela],Plano_V1!E456,Table1[Campo],Plano_V1!F456)</f>
        <v>4.0999999999999996</v>
      </c>
      <c r="J456" s="93">
        <f t="shared" si="37"/>
        <v>0.51249999999999996</v>
      </c>
      <c r="K456" s="96" t="s">
        <v>325</v>
      </c>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100"/>
      <c r="AU456" s="87"/>
      <c r="AV456" s="87"/>
      <c r="AW456" s="87"/>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c r="CW456" s="87"/>
      <c r="CX456" s="87"/>
      <c r="CY456" s="87"/>
      <c r="CZ456" s="87"/>
      <c r="DA456" s="87"/>
      <c r="DB456" s="87"/>
      <c r="DC456" s="87"/>
      <c r="DD456" s="87"/>
      <c r="DE456" s="87"/>
      <c r="DF456" s="87"/>
      <c r="DG456" s="87"/>
      <c r="DH456" s="87"/>
      <c r="DI456" s="87"/>
      <c r="DJ456" s="87"/>
      <c r="DK456" s="87"/>
      <c r="DL456" s="87"/>
      <c r="DM456" s="87"/>
      <c r="DN456" s="87"/>
      <c r="DO456" s="87"/>
      <c r="DP456" s="87"/>
      <c r="DQ456" s="87"/>
      <c r="DR456" s="87"/>
      <c r="DS456" s="87"/>
      <c r="DT456" s="87"/>
      <c r="DU456" s="87"/>
      <c r="DV456" s="87"/>
      <c r="DW456" s="87"/>
      <c r="DX456" s="87"/>
      <c r="DY456" s="87"/>
      <c r="DZ456" s="87"/>
      <c r="EA456" s="87"/>
      <c r="EB456" s="87"/>
      <c r="EC456" s="87"/>
      <c r="ED456" s="87"/>
      <c r="EE456" s="87"/>
      <c r="EF456" s="87"/>
      <c r="EG456" s="87"/>
      <c r="EH456" s="87"/>
      <c r="EI456" s="100"/>
      <c r="EJ456" s="100"/>
      <c r="EK456" s="100"/>
      <c r="EL456" s="100"/>
      <c r="EM456" s="100"/>
      <c r="EN456" s="100"/>
      <c r="EO456" s="100"/>
      <c r="EP456" s="87"/>
      <c r="EQ456" s="87"/>
      <c r="ER456" s="87"/>
      <c r="ES456" s="87"/>
      <c r="ET456" s="87"/>
      <c r="EU456" s="87"/>
      <c r="EV456" s="87"/>
      <c r="EW456" s="87"/>
      <c r="EX456" s="87"/>
      <c r="EY456" s="87"/>
      <c r="EZ456" s="87"/>
      <c r="FA456" s="87"/>
      <c r="FB456" s="87"/>
      <c r="FC456" s="87"/>
      <c r="FD456" s="87"/>
      <c r="FE456" s="87"/>
      <c r="FF456" s="87"/>
      <c r="FG456" s="87"/>
      <c r="FH456" s="87"/>
      <c r="FI456" s="87"/>
      <c r="FJ456" s="87"/>
      <c r="FK456" s="87"/>
    </row>
    <row r="457" spans="1:167" hidden="1" outlineLevel="1">
      <c r="A457" s="31" t="str">
        <f t="shared" si="35"/>
        <v>lt003_entitypure_capex_cca</v>
      </c>
      <c r="B457" s="76" t="s">
        <v>28</v>
      </c>
      <c r="C457" s="77" t="s">
        <v>28</v>
      </c>
      <c r="D457" s="73" t="s">
        <v>40</v>
      </c>
      <c r="E457" s="79" t="s">
        <v>323</v>
      </c>
      <c r="F457" s="80" t="s">
        <v>334</v>
      </c>
      <c r="G457" s="73" t="str">
        <f>INDEX(Auxiliar!$B$16:$B$23,MATCH(Plano_V1!H457,Auxiliar!$C$16:$C$23,0),1)</f>
        <v>7. Por iniciar</v>
      </c>
      <c r="H457" s="73">
        <f>VLOOKUP(A457,'Aux - pivots1'!$A:$B,2,0)</f>
        <v>7</v>
      </c>
      <c r="I457" s="93">
        <f>SUMIFS(Table1[Estimação (horas)],Table1[Tabela],Plano_V1!E457,Table1[Campo],Plano_V1!F457)</f>
        <v>4.0999999999999996</v>
      </c>
      <c r="J457" s="93">
        <f t="shared" si="37"/>
        <v>0.51249999999999996</v>
      </c>
      <c r="K457" s="96" t="s">
        <v>325</v>
      </c>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100"/>
      <c r="AU457" s="87"/>
      <c r="AV457" s="87"/>
      <c r="AW457" s="87"/>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100"/>
      <c r="EJ457" s="100"/>
      <c r="EK457" s="100"/>
      <c r="EL457" s="100"/>
      <c r="EM457" s="100"/>
      <c r="EN457" s="100"/>
      <c r="EO457" s="100"/>
      <c r="EP457" s="87"/>
      <c r="EQ457" s="87"/>
      <c r="ER457" s="87"/>
      <c r="ES457" s="87"/>
      <c r="ET457" s="87"/>
      <c r="EU457" s="87"/>
      <c r="EV457" s="87"/>
      <c r="EW457" s="87"/>
      <c r="EX457" s="87"/>
      <c r="EY457" s="87"/>
      <c r="EZ457" s="87"/>
      <c r="FA457" s="87"/>
      <c r="FB457" s="87"/>
      <c r="FC457" s="87"/>
      <c r="FD457" s="87"/>
      <c r="FE457" s="87"/>
      <c r="FF457" s="87"/>
      <c r="FG457" s="87"/>
      <c r="FH457" s="87"/>
      <c r="FI457" s="87"/>
      <c r="FJ457" s="87"/>
      <c r="FK457" s="87"/>
    </row>
    <row r="458" spans="1:167" hidden="1" outlineLevel="1">
      <c r="A458" s="31" t="str">
        <f t="shared" si="35"/>
        <v>lt003_entityenblng_trnvr_ccm</v>
      </c>
      <c r="B458" s="76" t="s">
        <v>28</v>
      </c>
      <c r="C458" s="77" t="s">
        <v>28</v>
      </c>
      <c r="D458" s="73" t="s">
        <v>40</v>
      </c>
      <c r="E458" s="79" t="s">
        <v>323</v>
      </c>
      <c r="F458" s="80" t="s">
        <v>335</v>
      </c>
      <c r="G458" s="73" t="str">
        <f>INDEX(Auxiliar!$B$16:$B$23,MATCH(Plano_V1!H458,Auxiliar!$C$16:$C$23,0),1)</f>
        <v>7. Por iniciar</v>
      </c>
      <c r="H458" s="73">
        <f>VLOOKUP(A458,'Aux - pivots1'!$A:$B,2,0)</f>
        <v>7</v>
      </c>
      <c r="I458" s="93">
        <f>SUMIFS(Table1[Estimação (horas)],Table1[Tabela],Plano_V1!E458,Table1[Campo],Plano_V1!F458)</f>
        <v>4.0999999999999996</v>
      </c>
      <c r="J458" s="93">
        <f t="shared" si="37"/>
        <v>0.51249999999999996</v>
      </c>
      <c r="K458" s="96" t="s">
        <v>325</v>
      </c>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100"/>
      <c r="AU458" s="87"/>
      <c r="AV458" s="87"/>
      <c r="AW458" s="87"/>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100"/>
      <c r="EJ458" s="100"/>
      <c r="EK458" s="100"/>
      <c r="EL458" s="100"/>
      <c r="EM458" s="100"/>
      <c r="EN458" s="100"/>
      <c r="EO458" s="100"/>
      <c r="EP458" s="87"/>
      <c r="EQ458" s="87"/>
      <c r="ER458" s="87"/>
      <c r="ES458" s="87"/>
      <c r="ET458" s="87"/>
      <c r="EU458" s="87"/>
      <c r="EV458" s="87"/>
      <c r="EW458" s="87"/>
      <c r="EX458" s="87"/>
      <c r="EY458" s="87"/>
      <c r="EZ458" s="87"/>
      <c r="FA458" s="87"/>
      <c r="FB458" s="87"/>
      <c r="FC458" s="87"/>
      <c r="FD458" s="87"/>
      <c r="FE458" s="87"/>
      <c r="FF458" s="87"/>
      <c r="FG458" s="87"/>
      <c r="FH458" s="87"/>
      <c r="FI458" s="87"/>
      <c r="FJ458" s="87"/>
      <c r="FK458" s="87"/>
    </row>
    <row r="459" spans="1:167" hidden="1" outlineLevel="1">
      <c r="A459" s="31" t="str">
        <f t="shared" si="35"/>
        <v>lt003_entityenblng_trnvr_cca</v>
      </c>
      <c r="B459" s="76" t="s">
        <v>28</v>
      </c>
      <c r="C459" s="77" t="s">
        <v>28</v>
      </c>
      <c r="D459" s="73" t="s">
        <v>40</v>
      </c>
      <c r="E459" s="79" t="s">
        <v>323</v>
      </c>
      <c r="F459" s="80" t="s">
        <v>336</v>
      </c>
      <c r="G459" s="73" t="str">
        <f>INDEX(Auxiliar!$B$16:$B$23,MATCH(Plano_V1!H459,Auxiliar!$C$16:$C$23,0),1)</f>
        <v>7. Por iniciar</v>
      </c>
      <c r="H459" s="73">
        <f>VLOOKUP(A459,'Aux - pivots1'!$A:$B,2,0)</f>
        <v>7</v>
      </c>
      <c r="I459" s="93">
        <f>SUMIFS(Table1[Estimação (horas)],Table1[Tabela],Plano_V1!E459,Table1[Campo],Plano_V1!F459)</f>
        <v>4.0999999999999996</v>
      </c>
      <c r="J459" s="93">
        <f t="shared" si="37"/>
        <v>0.51249999999999996</v>
      </c>
      <c r="K459" s="96" t="s">
        <v>325</v>
      </c>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100"/>
      <c r="AU459" s="87"/>
      <c r="AV459" s="87"/>
      <c r="AW459" s="87"/>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100"/>
      <c r="EJ459" s="100"/>
      <c r="EK459" s="100"/>
      <c r="EL459" s="100"/>
      <c r="EM459" s="100"/>
      <c r="EN459" s="100"/>
      <c r="EO459" s="100"/>
      <c r="EP459" s="87"/>
      <c r="EQ459" s="87"/>
      <c r="ER459" s="87"/>
      <c r="ES459" s="87"/>
      <c r="ET459" s="87"/>
      <c r="EU459" s="87"/>
      <c r="EV459" s="87"/>
      <c r="EW459" s="87"/>
      <c r="EX459" s="87"/>
      <c r="EY459" s="87"/>
      <c r="EZ459" s="87"/>
      <c r="FA459" s="87"/>
      <c r="FB459" s="87"/>
      <c r="FC459" s="87"/>
      <c r="FD459" s="87"/>
      <c r="FE459" s="87"/>
      <c r="FF459" s="87"/>
      <c r="FG459" s="87"/>
      <c r="FH459" s="87"/>
      <c r="FI459" s="87"/>
      <c r="FJ459" s="87"/>
      <c r="FK459" s="87"/>
    </row>
    <row r="460" spans="1:167" hidden="1" outlineLevel="1">
      <c r="A460" s="31" t="str">
        <f t="shared" si="35"/>
        <v>lt003_entitytrnstnl_trnvr</v>
      </c>
      <c r="B460" s="76" t="s">
        <v>28</v>
      </c>
      <c r="C460" s="77" t="s">
        <v>28</v>
      </c>
      <c r="D460" s="73" t="s">
        <v>40</v>
      </c>
      <c r="E460" s="79" t="s">
        <v>323</v>
      </c>
      <c r="F460" s="80" t="s">
        <v>337</v>
      </c>
      <c r="G460" s="73" t="str">
        <f>INDEX(Auxiliar!$B$16:$B$23,MATCH(Plano_V1!H460,Auxiliar!$C$16:$C$23,0),1)</f>
        <v>7. Por iniciar</v>
      </c>
      <c r="H460" s="73">
        <f>VLOOKUP(A460,'Aux - pivots1'!$A:$B,2,0)</f>
        <v>7</v>
      </c>
      <c r="I460" s="93">
        <f>SUMIFS(Table1[Estimação (horas)],Table1[Tabela],Plano_V1!E460,Table1[Campo],Plano_V1!F460)</f>
        <v>4.0999999999999996</v>
      </c>
      <c r="J460" s="93">
        <f t="shared" si="37"/>
        <v>0.51249999999999996</v>
      </c>
      <c r="K460" s="96" t="s">
        <v>325</v>
      </c>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100"/>
      <c r="AU460" s="87"/>
      <c r="AV460" s="87"/>
      <c r="AW460" s="87"/>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100"/>
      <c r="EJ460" s="100"/>
      <c r="EK460" s="100"/>
      <c r="EL460" s="100"/>
      <c r="EM460" s="100"/>
      <c r="EN460" s="100"/>
      <c r="EO460" s="100"/>
      <c r="EP460" s="87"/>
      <c r="EQ460" s="87"/>
      <c r="ER460" s="87"/>
      <c r="ES460" s="87"/>
      <c r="ET460" s="87"/>
      <c r="EU460" s="87"/>
      <c r="EV460" s="87"/>
      <c r="EW460" s="87"/>
      <c r="EX460" s="87"/>
      <c r="EY460" s="87"/>
      <c r="EZ460" s="87"/>
      <c r="FA460" s="87"/>
      <c r="FB460" s="87"/>
      <c r="FC460" s="87"/>
      <c r="FD460" s="87"/>
      <c r="FE460" s="87"/>
      <c r="FF460" s="87"/>
      <c r="FG460" s="87"/>
      <c r="FH460" s="87"/>
      <c r="FI460" s="87"/>
      <c r="FJ460" s="87"/>
      <c r="FK460" s="87"/>
    </row>
    <row r="461" spans="1:167" hidden="1" outlineLevel="1">
      <c r="A461" s="31" t="str">
        <f t="shared" si="35"/>
        <v>lt003_entitypure_trnvr_ccm</v>
      </c>
      <c r="B461" s="76" t="s">
        <v>28</v>
      </c>
      <c r="C461" s="77" t="s">
        <v>28</v>
      </c>
      <c r="D461" s="73" t="s">
        <v>40</v>
      </c>
      <c r="E461" s="79" t="s">
        <v>323</v>
      </c>
      <c r="F461" s="80" t="s">
        <v>338</v>
      </c>
      <c r="G461" s="73" t="str">
        <f>INDEX(Auxiliar!$B$16:$B$23,MATCH(Plano_V1!H461,Auxiliar!$C$16:$C$23,0),1)</f>
        <v>7. Por iniciar</v>
      </c>
      <c r="H461" s="73">
        <f>VLOOKUP(A461,'Aux - pivots1'!$A:$B,2,0)</f>
        <v>7</v>
      </c>
      <c r="I461" s="93">
        <f>SUMIFS(Table1[Estimação (horas)],Table1[Tabela],Plano_V1!E461,Table1[Campo],Plano_V1!F461)</f>
        <v>4.0999999999999996</v>
      </c>
      <c r="J461" s="93">
        <f t="shared" si="37"/>
        <v>0.51249999999999996</v>
      </c>
      <c r="K461" s="96" t="s">
        <v>325</v>
      </c>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100"/>
      <c r="AU461" s="87"/>
      <c r="AV461" s="87"/>
      <c r="AW461" s="87"/>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100"/>
      <c r="EJ461" s="100"/>
      <c r="EK461" s="100"/>
      <c r="EL461" s="100"/>
      <c r="EM461" s="100"/>
      <c r="EN461" s="100"/>
      <c r="EO461" s="100"/>
      <c r="EP461" s="87"/>
      <c r="EQ461" s="87"/>
      <c r="ER461" s="87"/>
      <c r="ES461" s="87"/>
      <c r="ET461" s="87"/>
      <c r="EU461" s="87"/>
      <c r="EV461" s="87"/>
      <c r="EW461" s="87"/>
      <c r="EX461" s="87"/>
      <c r="EY461" s="87"/>
      <c r="EZ461" s="87"/>
      <c r="FA461" s="87"/>
      <c r="FB461" s="87"/>
      <c r="FC461" s="87"/>
      <c r="FD461" s="87"/>
      <c r="FE461" s="87"/>
      <c r="FF461" s="87"/>
      <c r="FG461" s="87"/>
      <c r="FH461" s="87"/>
      <c r="FI461" s="87"/>
      <c r="FJ461" s="87"/>
      <c r="FK461" s="87"/>
    </row>
    <row r="462" spans="1:167" hidden="1" outlineLevel="1">
      <c r="A462" s="31" t="str">
        <f t="shared" si="35"/>
        <v>lt003_entitypure_trnvr_cca</v>
      </c>
      <c r="B462" s="76" t="s">
        <v>28</v>
      </c>
      <c r="C462" s="77" t="s">
        <v>28</v>
      </c>
      <c r="D462" s="73" t="s">
        <v>40</v>
      </c>
      <c r="E462" s="79" t="s">
        <v>323</v>
      </c>
      <c r="F462" s="80" t="s">
        <v>339</v>
      </c>
      <c r="G462" s="73" t="str">
        <f>INDEX(Auxiliar!$B$16:$B$23,MATCH(Plano_V1!H462,Auxiliar!$C$16:$C$23,0),1)</f>
        <v>7. Por iniciar</v>
      </c>
      <c r="H462" s="73">
        <f>VLOOKUP(A462,'Aux - pivots1'!$A:$B,2,0)</f>
        <v>7</v>
      </c>
      <c r="I462" s="93">
        <f>SUMIFS(Table1[Estimação (horas)],Table1[Tabela],Plano_V1!E462,Table1[Campo],Plano_V1!F462)</f>
        <v>4.0999999999999996</v>
      </c>
      <c r="J462" s="93">
        <f t="shared" si="37"/>
        <v>0.51249999999999996</v>
      </c>
      <c r="K462" s="96" t="s">
        <v>325</v>
      </c>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100"/>
      <c r="AU462" s="87"/>
      <c r="AV462" s="87"/>
      <c r="AW462" s="87"/>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100"/>
      <c r="EJ462" s="100"/>
      <c r="EK462" s="100"/>
      <c r="EL462" s="100"/>
      <c r="EM462" s="100"/>
      <c r="EN462" s="100"/>
      <c r="EO462" s="100"/>
      <c r="EP462" s="87"/>
      <c r="EQ462" s="87"/>
      <c r="ER462" s="87"/>
      <c r="ES462" s="87"/>
      <c r="ET462" s="87"/>
      <c r="EU462" s="87"/>
      <c r="EV462" s="87"/>
      <c r="EW462" s="87"/>
      <c r="EX462" s="87"/>
      <c r="EY462" s="87"/>
      <c r="EZ462" s="87"/>
      <c r="FA462" s="87"/>
      <c r="FB462" s="87"/>
      <c r="FC462" s="87"/>
      <c r="FD462" s="87"/>
      <c r="FE462" s="87"/>
      <c r="FF462" s="87"/>
      <c r="FG462" s="87"/>
      <c r="FH462" s="87"/>
      <c r="FI462" s="87"/>
      <c r="FJ462" s="87"/>
      <c r="FK462" s="87"/>
    </row>
    <row r="463" spans="1:167" hidden="1" outlineLevel="1">
      <c r="A463" s="31" t="str">
        <f t="shared" si="35"/>
        <v>lt003_entityflg_nfrd_applcblty</v>
      </c>
      <c r="B463" s="76" t="s">
        <v>28</v>
      </c>
      <c r="C463" s="77" t="s">
        <v>28</v>
      </c>
      <c r="D463" s="73" t="s">
        <v>40</v>
      </c>
      <c r="E463" s="79" t="s">
        <v>323</v>
      </c>
      <c r="F463" s="80" t="s">
        <v>340</v>
      </c>
      <c r="G463" s="73" t="str">
        <f>INDEX(Auxiliar!$B$16:$B$23,MATCH(Plano_V1!H463,Auxiliar!$C$16:$C$23,0),1)</f>
        <v>7. Por iniciar</v>
      </c>
      <c r="H463" s="73">
        <f>VLOOKUP(A463,'Aux - pivots1'!$A:$B,2,0)</f>
        <v>7</v>
      </c>
      <c r="I463" s="93">
        <f>SUMIFS(Table1[Estimação (horas)],Table1[Tabela],Plano_V1!E463,Table1[Campo],Plano_V1!F463)</f>
        <v>4.0999999999999996</v>
      </c>
      <c r="J463" s="93">
        <f t="shared" si="37"/>
        <v>0.51249999999999996</v>
      </c>
      <c r="K463" s="96" t="s">
        <v>325</v>
      </c>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100"/>
      <c r="AU463" s="87"/>
      <c r="AV463" s="87"/>
      <c r="AW463" s="87"/>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100"/>
      <c r="EJ463" s="100"/>
      <c r="EK463" s="100"/>
      <c r="EL463" s="100"/>
      <c r="EM463" s="100"/>
      <c r="EN463" s="100"/>
      <c r="EO463" s="100"/>
      <c r="EP463" s="87"/>
      <c r="EQ463" s="87"/>
      <c r="ER463" s="87"/>
      <c r="ES463" s="87"/>
      <c r="ET463" s="87"/>
      <c r="EU463" s="87"/>
      <c r="EV463" s="87"/>
      <c r="EW463" s="87"/>
      <c r="EX463" s="87"/>
      <c r="EY463" s="87"/>
      <c r="EZ463" s="87"/>
      <c r="FA463" s="87"/>
      <c r="FB463" s="87"/>
      <c r="FC463" s="87"/>
      <c r="FD463" s="87"/>
      <c r="FE463" s="87"/>
      <c r="FF463" s="87"/>
      <c r="FG463" s="87"/>
      <c r="FH463" s="87"/>
      <c r="FI463" s="87"/>
      <c r="FJ463" s="87"/>
      <c r="FK463" s="87"/>
    </row>
    <row r="464" spans="1:167" hidden="1" outlineLevel="1">
      <c r="A464" s="31" t="str">
        <f t="shared" si="35"/>
        <v>lt003_entitycntrprty_emssns_scp1</v>
      </c>
      <c r="B464" s="76" t="s">
        <v>28</v>
      </c>
      <c r="C464" s="77" t="s">
        <v>28</v>
      </c>
      <c r="D464" s="73" t="s">
        <v>40</v>
      </c>
      <c r="E464" s="79" t="s">
        <v>323</v>
      </c>
      <c r="F464" s="80" t="s">
        <v>341</v>
      </c>
      <c r="G464" s="73" t="str">
        <f>INDEX(Auxiliar!$B$16:$B$23,MATCH(Plano_V1!H464,Auxiliar!$C$16:$C$23,0),1)</f>
        <v>7. Por iniciar</v>
      </c>
      <c r="H464" s="73">
        <f>VLOOKUP(A464,'Aux - pivots1'!$A:$B,2,0)</f>
        <v>7</v>
      </c>
      <c r="I464" s="93">
        <f>SUMIFS(Table1[Estimação (horas)],Table1[Tabela],Plano_V1!E464,Table1[Campo],Plano_V1!F464)</f>
        <v>4.0999999999999996</v>
      </c>
      <c r="J464" s="93">
        <f t="shared" si="37"/>
        <v>0.51249999999999996</v>
      </c>
      <c r="K464" s="96" t="s">
        <v>325</v>
      </c>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100"/>
      <c r="AU464" s="87"/>
      <c r="AV464" s="87"/>
      <c r="AW464" s="87"/>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100"/>
      <c r="EJ464" s="100"/>
      <c r="EK464" s="100"/>
      <c r="EL464" s="100"/>
      <c r="EM464" s="100"/>
      <c r="EN464" s="100"/>
      <c r="EO464" s="100"/>
      <c r="EP464" s="87"/>
      <c r="EQ464" s="87"/>
      <c r="ER464" s="87"/>
      <c r="ES464" s="87"/>
      <c r="ET464" s="87"/>
      <c r="EU464" s="87"/>
      <c r="EV464" s="87"/>
      <c r="EW464" s="87"/>
      <c r="EX464" s="87"/>
      <c r="EY464" s="87"/>
      <c r="EZ464" s="87"/>
      <c r="FA464" s="87"/>
      <c r="FB464" s="87"/>
      <c r="FC464" s="87"/>
      <c r="FD464" s="87"/>
      <c r="FE464" s="87"/>
      <c r="FF464" s="87"/>
      <c r="FG464" s="87"/>
      <c r="FH464" s="87"/>
      <c r="FI464" s="87"/>
      <c r="FJ464" s="87"/>
      <c r="FK464" s="87"/>
    </row>
    <row r="465" spans="1:167" hidden="1" outlineLevel="1">
      <c r="A465" s="31" t="str">
        <f t="shared" si="35"/>
        <v>lt003_entitycntrprty_emssns_scp2</v>
      </c>
      <c r="B465" s="76" t="s">
        <v>28</v>
      </c>
      <c r="C465" s="77" t="s">
        <v>28</v>
      </c>
      <c r="D465" s="73" t="s">
        <v>40</v>
      </c>
      <c r="E465" s="79" t="s">
        <v>323</v>
      </c>
      <c r="F465" s="80" t="s">
        <v>342</v>
      </c>
      <c r="G465" s="73" t="str">
        <f>INDEX(Auxiliar!$B$16:$B$23,MATCH(Plano_V1!H465,Auxiliar!$C$16:$C$23,0),1)</f>
        <v>7. Por iniciar</v>
      </c>
      <c r="H465" s="73">
        <f>VLOOKUP(A465,'Aux - pivots1'!$A:$B,2,0)</f>
        <v>7</v>
      </c>
      <c r="I465" s="93">
        <f>SUMIFS(Table1[Estimação (horas)],Table1[Tabela],Plano_V1!E465,Table1[Campo],Plano_V1!F465)</f>
        <v>4.0999999999999996</v>
      </c>
      <c r="J465" s="93">
        <f t="shared" si="37"/>
        <v>0.51249999999999996</v>
      </c>
      <c r="K465" s="96" t="s">
        <v>325</v>
      </c>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100"/>
      <c r="AU465" s="87"/>
      <c r="AV465" s="87"/>
      <c r="AW465" s="87"/>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100"/>
      <c r="EJ465" s="100"/>
      <c r="EK465" s="100"/>
      <c r="EL465" s="100"/>
      <c r="EM465" s="100"/>
      <c r="EN465" s="100"/>
      <c r="EO465" s="100"/>
      <c r="EP465" s="87"/>
      <c r="EQ465" s="87"/>
      <c r="ER465" s="87"/>
      <c r="ES465" s="87"/>
      <c r="ET465" s="87"/>
      <c r="EU465" s="87"/>
      <c r="EV465" s="87"/>
      <c r="EW465" s="87"/>
      <c r="EX465" s="87"/>
      <c r="EY465" s="87"/>
      <c r="EZ465" s="87"/>
      <c r="FA465" s="87"/>
      <c r="FB465" s="87"/>
      <c r="FC465" s="87"/>
      <c r="FD465" s="87"/>
      <c r="FE465" s="87"/>
      <c r="FF465" s="87"/>
      <c r="FG465" s="87"/>
      <c r="FH465" s="87"/>
      <c r="FI465" s="87"/>
      <c r="FJ465" s="87"/>
      <c r="FK465" s="87"/>
    </row>
    <row r="466" spans="1:167" hidden="1" outlineLevel="1">
      <c r="A466" s="31" t="str">
        <f t="shared" si="35"/>
        <v>lt003_entitycntrprty_emssns_scp3</v>
      </c>
      <c r="B466" s="76" t="s">
        <v>28</v>
      </c>
      <c r="C466" s="77" t="s">
        <v>28</v>
      </c>
      <c r="D466" s="73" t="s">
        <v>40</v>
      </c>
      <c r="E466" s="79" t="s">
        <v>323</v>
      </c>
      <c r="F466" s="80" t="s">
        <v>343</v>
      </c>
      <c r="G466" s="73" t="str">
        <f>INDEX(Auxiliar!$B$16:$B$23,MATCH(Plano_V1!H466,Auxiliar!$C$16:$C$23,0),1)</f>
        <v>7. Por iniciar</v>
      </c>
      <c r="H466" s="73">
        <f>VLOOKUP(A466,'Aux - pivots1'!$A:$B,2,0)</f>
        <v>7</v>
      </c>
      <c r="I466" s="93">
        <f>SUMIFS(Table1[Estimação (horas)],Table1[Tabela],Plano_V1!E466,Table1[Campo],Plano_V1!F466)</f>
        <v>4.0999999999999996</v>
      </c>
      <c r="J466" s="93">
        <f t="shared" si="37"/>
        <v>0.51249999999999996</v>
      </c>
      <c r="K466" s="96" t="s">
        <v>325</v>
      </c>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100"/>
      <c r="AU466" s="87"/>
      <c r="AV466" s="87"/>
      <c r="AW466" s="87"/>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100"/>
      <c r="EJ466" s="100"/>
      <c r="EK466" s="100"/>
      <c r="EL466" s="100"/>
      <c r="EM466" s="100"/>
      <c r="EN466" s="100"/>
      <c r="EO466" s="100"/>
      <c r="EP466" s="87"/>
      <c r="EQ466" s="87"/>
      <c r="ER466" s="87"/>
      <c r="ES466" s="87"/>
      <c r="ET466" s="87"/>
      <c r="EU466" s="87"/>
      <c r="EV466" s="87"/>
      <c r="EW466" s="87"/>
      <c r="EX466" s="87"/>
      <c r="EY466" s="87"/>
      <c r="EZ466" s="87"/>
      <c r="FA466" s="87"/>
      <c r="FB466" s="87"/>
      <c r="FC466" s="87"/>
      <c r="FD466" s="87"/>
      <c r="FE466" s="87"/>
      <c r="FF466" s="87"/>
      <c r="FG466" s="87"/>
      <c r="FH466" s="87"/>
      <c r="FI466" s="87"/>
      <c r="FJ466" s="87"/>
      <c r="FK466" s="87"/>
    </row>
    <row r="467" spans="1:167" hidden="1" outlineLevel="1">
      <c r="A467" s="31" t="str">
        <f t="shared" si="35"/>
        <v>lt003_entityflg_excldd_eu_prs_algnd_bnchmrk</v>
      </c>
      <c r="B467" s="76" t="s">
        <v>28</v>
      </c>
      <c r="C467" s="77" t="s">
        <v>28</v>
      </c>
      <c r="D467" s="73" t="s">
        <v>40</v>
      </c>
      <c r="E467" s="79" t="s">
        <v>323</v>
      </c>
      <c r="F467" s="80" t="s">
        <v>344</v>
      </c>
      <c r="G467" s="73" t="str">
        <f>INDEX(Auxiliar!$B$16:$B$23,MATCH(Plano_V1!H467,Auxiliar!$C$16:$C$23,0),1)</f>
        <v>7. Por iniciar</v>
      </c>
      <c r="H467" s="73">
        <f>VLOOKUP(A467,'Aux - pivots1'!$A:$B,2,0)</f>
        <v>7</v>
      </c>
      <c r="I467" s="93">
        <f>SUMIFS(Table1[Estimação (horas)],Table1[Tabela],Plano_V1!E467,Table1[Campo],Plano_V1!F467)</f>
        <v>4.0999999999999996</v>
      </c>
      <c r="J467" s="93">
        <f t="shared" si="37"/>
        <v>0.51249999999999996</v>
      </c>
      <c r="K467" s="96" t="s">
        <v>325</v>
      </c>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100"/>
      <c r="AU467" s="87"/>
      <c r="AV467" s="87"/>
      <c r="AW467" s="87"/>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100"/>
      <c r="EJ467" s="100"/>
      <c r="EK467" s="100"/>
      <c r="EL467" s="100"/>
      <c r="EM467" s="100"/>
      <c r="EN467" s="100"/>
      <c r="EO467" s="100"/>
      <c r="EP467" s="87"/>
      <c r="EQ467" s="87"/>
      <c r="ER467" s="87"/>
      <c r="ES467" s="87"/>
      <c r="ET467" s="87"/>
      <c r="EU467" s="87"/>
      <c r="EV467" s="87"/>
      <c r="EW467" s="87"/>
      <c r="EX467" s="87"/>
      <c r="EY467" s="87"/>
      <c r="EZ467" s="87"/>
      <c r="FA467" s="87"/>
      <c r="FB467" s="87"/>
      <c r="FC467" s="87"/>
      <c r="FD467" s="87"/>
      <c r="FE467" s="87"/>
      <c r="FF467" s="87"/>
      <c r="FG467" s="87"/>
      <c r="FH467" s="87"/>
      <c r="FI467" s="87"/>
      <c r="FJ467" s="87"/>
      <c r="FK467" s="87"/>
    </row>
    <row r="468" spans="1:167" hidden="1" outlineLevel="1">
      <c r="A468" s="31" t="str">
        <f t="shared" si="35"/>
        <v>lt003_entityflg_act_physcl_rsk</v>
      </c>
      <c r="B468" s="76" t="s">
        <v>28</v>
      </c>
      <c r="C468" s="77" t="s">
        <v>28</v>
      </c>
      <c r="D468" s="73" t="s">
        <v>40</v>
      </c>
      <c r="E468" s="79" t="s">
        <v>323</v>
      </c>
      <c r="F468" s="80" t="s">
        <v>345</v>
      </c>
      <c r="G468" s="73" t="str">
        <f>INDEX(Auxiliar!$B$16:$B$23,MATCH(Plano_V1!H468,Auxiliar!$C$16:$C$23,0),1)</f>
        <v>7. Por iniciar</v>
      </c>
      <c r="H468" s="73">
        <f>VLOOKUP(A468,'Aux - pivots1'!$A:$B,2,0)</f>
        <v>7</v>
      </c>
      <c r="I468" s="93">
        <f>SUMIFS(Table1[Estimação (horas)],Table1[Tabela],Plano_V1!E468,Table1[Campo],Plano_V1!F468)</f>
        <v>4.0999999999999996</v>
      </c>
      <c r="J468" s="93">
        <f t="shared" si="37"/>
        <v>0.51249999999999996</v>
      </c>
      <c r="K468" s="96" t="s">
        <v>325</v>
      </c>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100"/>
      <c r="AU468" s="87"/>
      <c r="AV468" s="87"/>
      <c r="AW468" s="87"/>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100"/>
      <c r="EJ468" s="100"/>
      <c r="EK468" s="100"/>
      <c r="EL468" s="100"/>
      <c r="EM468" s="100"/>
      <c r="EN468" s="100"/>
      <c r="EO468" s="100"/>
      <c r="EP468" s="87"/>
      <c r="EQ468" s="87"/>
      <c r="ER468" s="87"/>
      <c r="ES468" s="87"/>
      <c r="ET468" s="87"/>
      <c r="EU468" s="87"/>
      <c r="EV468" s="87"/>
      <c r="EW468" s="87"/>
      <c r="EX468" s="87"/>
      <c r="EY468" s="87"/>
      <c r="EZ468" s="87"/>
      <c r="FA468" s="87"/>
      <c r="FB468" s="87"/>
      <c r="FC468" s="87"/>
      <c r="FD468" s="87"/>
      <c r="FE468" s="87"/>
      <c r="FF468" s="87"/>
      <c r="FG468" s="87"/>
      <c r="FH468" s="87"/>
      <c r="FI468" s="87"/>
      <c r="FJ468" s="87"/>
      <c r="FK468" s="87"/>
    </row>
    <row r="469" spans="1:167" hidden="1" outlineLevel="1">
      <c r="A469" s="31" t="str">
        <f t="shared" si="35"/>
        <v>lt003_entityflg_chrnc_physcl_rsk</v>
      </c>
      <c r="B469" s="76" t="s">
        <v>28</v>
      </c>
      <c r="C469" s="77" t="s">
        <v>28</v>
      </c>
      <c r="D469" s="73" t="s">
        <v>40</v>
      </c>
      <c r="E469" s="79" t="s">
        <v>323</v>
      </c>
      <c r="F469" s="80" t="s">
        <v>346</v>
      </c>
      <c r="G469" s="73" t="str">
        <f>INDEX(Auxiliar!$B$16:$B$23,MATCH(Plano_V1!H469,Auxiliar!$C$16:$C$23,0),1)</f>
        <v>7. Por iniciar</v>
      </c>
      <c r="H469" s="73">
        <f>VLOOKUP(A469,'Aux - pivots1'!$A:$B,2,0)</f>
        <v>7</v>
      </c>
      <c r="I469" s="93">
        <f>SUMIFS(Table1[Estimação (horas)],Table1[Tabela],Plano_V1!E469,Table1[Campo],Plano_V1!F469)</f>
        <v>4.0999999999999996</v>
      </c>
      <c r="J469" s="93">
        <f t="shared" si="37"/>
        <v>0.51249999999999996</v>
      </c>
      <c r="K469" s="96" t="s">
        <v>325</v>
      </c>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100"/>
      <c r="AU469" s="87"/>
      <c r="AV469" s="87"/>
      <c r="AW469" s="87"/>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100"/>
      <c r="EJ469" s="100"/>
      <c r="EK469" s="100"/>
      <c r="EL469" s="100"/>
      <c r="EM469" s="100"/>
      <c r="EN469" s="100"/>
      <c r="EO469" s="100"/>
      <c r="EP469" s="87"/>
      <c r="EQ469" s="87"/>
      <c r="ER469" s="87"/>
      <c r="ES469" s="87"/>
      <c r="ET469" s="87"/>
      <c r="EU469" s="87"/>
      <c r="EV469" s="87"/>
      <c r="EW469" s="87"/>
      <c r="EX469" s="87"/>
      <c r="EY469" s="87"/>
      <c r="EZ469" s="87"/>
      <c r="FA469" s="87"/>
      <c r="FB469" s="87"/>
      <c r="FC469" s="87"/>
      <c r="FD469" s="87"/>
      <c r="FE469" s="87"/>
      <c r="FF469" s="87"/>
      <c r="FG469" s="87"/>
      <c r="FH469" s="87"/>
      <c r="FI469" s="87"/>
      <c r="FJ469" s="87"/>
      <c r="FK469" s="87"/>
    </row>
    <row r="470" spans="1:167" hidden="1" outlineLevel="1">
      <c r="A470" s="31" t="str">
        <f t="shared" si="35"/>
        <v>lt003_entitypst_cd</v>
      </c>
      <c r="B470" s="76" t="s">
        <v>28</v>
      </c>
      <c r="C470" s="77" t="s">
        <v>28</v>
      </c>
      <c r="D470" s="73" t="s">
        <v>40</v>
      </c>
      <c r="E470" s="79" t="s">
        <v>323</v>
      </c>
      <c r="F470" s="80" t="s">
        <v>347</v>
      </c>
      <c r="G470" s="73" t="str">
        <f>INDEX(Auxiliar!$B$16:$B$23,MATCH(Plano_V1!H470,Auxiliar!$C$16:$C$23,0),1)</f>
        <v>7. Por iniciar</v>
      </c>
      <c r="H470" s="73">
        <f>VLOOKUP(A470,'Aux - pivots1'!$A:$B,2,0)</f>
        <v>7</v>
      </c>
      <c r="I470" s="93">
        <f>SUMIFS(Table1[Estimação (horas)],Table1[Tabela],Plano_V1!E470,Table1[Campo],Plano_V1!F470)</f>
        <v>4.0999999999999996</v>
      </c>
      <c r="J470" s="93">
        <f t="shared" si="37"/>
        <v>0.51249999999999996</v>
      </c>
      <c r="K470" s="96" t="s">
        <v>325</v>
      </c>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100"/>
      <c r="AU470" s="87"/>
      <c r="AV470" s="87"/>
      <c r="AW470" s="87"/>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100"/>
      <c r="EJ470" s="100"/>
      <c r="EK470" s="100"/>
      <c r="EL470" s="100"/>
      <c r="EM470" s="100"/>
      <c r="EN470" s="100"/>
      <c r="EO470" s="100"/>
      <c r="EP470" s="87"/>
      <c r="EQ470" s="87"/>
      <c r="ER470" s="87"/>
      <c r="ES470" s="87"/>
      <c r="ET470" s="87"/>
      <c r="EU470" s="87"/>
      <c r="EV470" s="87"/>
      <c r="EW470" s="87"/>
      <c r="EX470" s="87"/>
      <c r="EY470" s="87"/>
      <c r="EZ470" s="87"/>
      <c r="FA470" s="87"/>
      <c r="FB470" s="87"/>
      <c r="FC470" s="87"/>
      <c r="FD470" s="87"/>
      <c r="FE470" s="87"/>
      <c r="FF470" s="87"/>
      <c r="FG470" s="87"/>
      <c r="FH470" s="87"/>
      <c r="FI470" s="87"/>
      <c r="FJ470" s="87"/>
      <c r="FK470" s="87"/>
    </row>
    <row r="471" spans="1:167" hidden="1" outlineLevel="1">
      <c r="A471" s="31" t="str">
        <f t="shared" si="35"/>
        <v>lt003_entityesg_sbsctr</v>
      </c>
      <c r="B471" s="76" t="s">
        <v>28</v>
      </c>
      <c r="C471" s="77" t="s">
        <v>28</v>
      </c>
      <c r="D471" s="73" t="s">
        <v>40</v>
      </c>
      <c r="E471" s="79" t="s">
        <v>323</v>
      </c>
      <c r="F471" s="80" t="s">
        <v>348</v>
      </c>
      <c r="G471" s="73" t="str">
        <f>INDEX(Auxiliar!$B$16:$B$23,MATCH(Plano_V1!H471,Auxiliar!$C$16:$C$23,0),1)</f>
        <v>7. Por iniciar</v>
      </c>
      <c r="H471" s="73">
        <f>VLOOKUP(A471,'Aux - pivots1'!$A:$B,2,0)</f>
        <v>7</v>
      </c>
      <c r="I471" s="93">
        <f>SUMIFS(Table1[Estimação (horas)],Table1[Tabela],Plano_V1!E471,Table1[Campo],Plano_V1!F471)</f>
        <v>4.0999999999999996</v>
      </c>
      <c r="J471" s="93">
        <f t="shared" si="37"/>
        <v>0.51249999999999996</v>
      </c>
      <c r="K471" s="96" t="s">
        <v>325</v>
      </c>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100"/>
      <c r="AU471" s="87"/>
      <c r="AV471" s="87"/>
      <c r="AW471" s="87"/>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100"/>
      <c r="EJ471" s="100"/>
      <c r="EK471" s="100"/>
      <c r="EL471" s="100"/>
      <c r="EM471" s="100"/>
      <c r="EN471" s="100"/>
      <c r="EO471" s="100"/>
      <c r="EP471" s="87"/>
      <c r="EQ471" s="87"/>
      <c r="ER471" s="87"/>
      <c r="ES471" s="87"/>
      <c r="ET471" s="87"/>
      <c r="EU471" s="87"/>
      <c r="EV471" s="87"/>
      <c r="EW471" s="87"/>
      <c r="EX471" s="87"/>
      <c r="EY471" s="87"/>
      <c r="EZ471" s="87"/>
      <c r="FA471" s="87"/>
      <c r="FB471" s="87"/>
      <c r="FC471" s="87"/>
      <c r="FD471" s="87"/>
      <c r="FE471" s="87"/>
      <c r="FF471" s="87"/>
      <c r="FG471" s="87"/>
      <c r="FH471" s="87"/>
      <c r="FI471" s="87"/>
      <c r="FJ471" s="87"/>
      <c r="FK471" s="87"/>
    </row>
    <row r="472" spans="1:167" hidden="1" outlineLevel="1">
      <c r="A472" s="31" t="str">
        <f t="shared" si="35"/>
        <v>lt003_entityttl_lblty</v>
      </c>
      <c r="B472" s="76" t="s">
        <v>28</v>
      </c>
      <c r="C472" s="77" t="s">
        <v>28</v>
      </c>
      <c r="D472" s="73" t="s">
        <v>40</v>
      </c>
      <c r="E472" s="79" t="s">
        <v>323</v>
      </c>
      <c r="F472" s="80" t="s">
        <v>349</v>
      </c>
      <c r="G472" s="73" t="str">
        <f>INDEX(Auxiliar!$B$16:$B$23,MATCH(Plano_V1!H472,Auxiliar!$C$16:$C$23,0),1)</f>
        <v>7. Por iniciar</v>
      </c>
      <c r="H472" s="73">
        <f>VLOOKUP(A472,'Aux - pivots1'!$A:$B,2,0)</f>
        <v>7</v>
      </c>
      <c r="I472" s="93">
        <f>SUMIFS(Table1[Estimação (horas)],Table1[Tabela],Plano_V1!E472,Table1[Campo],Plano_V1!F472)</f>
        <v>4.0999999999999996</v>
      </c>
      <c r="J472" s="93">
        <f t="shared" si="37"/>
        <v>0.51249999999999996</v>
      </c>
      <c r="K472" s="96" t="s">
        <v>325</v>
      </c>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100"/>
      <c r="AU472" s="87"/>
      <c r="AV472" s="87"/>
      <c r="AW472" s="87"/>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100"/>
      <c r="EJ472" s="100"/>
      <c r="EK472" s="100"/>
      <c r="EL472" s="100"/>
      <c r="EM472" s="100"/>
      <c r="EN472" s="100"/>
      <c r="EO472" s="100"/>
      <c r="EP472" s="87"/>
      <c r="EQ472" s="87"/>
      <c r="ER472" s="87"/>
      <c r="ES472" s="87"/>
      <c r="ET472" s="87"/>
      <c r="EU472" s="87"/>
      <c r="EV472" s="87"/>
      <c r="EW472" s="87"/>
      <c r="EX472" s="87"/>
      <c r="EY472" s="87"/>
      <c r="EZ472" s="87"/>
      <c r="FA472" s="87"/>
      <c r="FB472" s="87"/>
      <c r="FC472" s="87"/>
      <c r="FD472" s="87"/>
      <c r="FE472" s="87"/>
      <c r="FF472" s="87"/>
      <c r="FG472" s="87"/>
      <c r="FH472" s="87"/>
      <c r="FI472" s="87"/>
      <c r="FJ472" s="87"/>
      <c r="FK472" s="87"/>
    </row>
    <row r="473" spans="1:167" hidden="1" outlineLevel="1">
      <c r="A473" s="31" t="str">
        <f t="shared" si="35"/>
        <v>lt003_entityisin</v>
      </c>
      <c r="B473" s="76" t="s">
        <v>28</v>
      </c>
      <c r="C473" s="77" t="s">
        <v>28</v>
      </c>
      <c r="D473" s="73" t="s">
        <v>40</v>
      </c>
      <c r="E473" s="79" t="s">
        <v>323</v>
      </c>
      <c r="F473" s="80" t="s">
        <v>230</v>
      </c>
      <c r="G473" s="73" t="str">
        <f>INDEX(Auxiliar!$B$16:$B$23,MATCH(Plano_V1!H473,Auxiliar!$C$16:$C$23,0),1)</f>
        <v>7. Por iniciar</v>
      </c>
      <c r="H473" s="73">
        <f>VLOOKUP(A473,'Aux - pivots1'!$A:$B,2,0)</f>
        <v>7</v>
      </c>
      <c r="I473" s="93">
        <f>SUMIFS(Table1[Estimação (horas)],Table1[Tabela],Plano_V1!E473,Table1[Campo],Plano_V1!F473)</f>
        <v>4.0999999999999996</v>
      </c>
      <c r="J473" s="93">
        <f t="shared" si="37"/>
        <v>0.51249999999999996</v>
      </c>
      <c r="K473" s="96" t="s">
        <v>325</v>
      </c>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100"/>
      <c r="AU473" s="87"/>
      <c r="AV473" s="87"/>
      <c r="AW473" s="87"/>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100"/>
      <c r="EJ473" s="100"/>
      <c r="EK473" s="100"/>
      <c r="EL473" s="100"/>
      <c r="EM473" s="100"/>
      <c r="EN473" s="100"/>
      <c r="EO473" s="100"/>
      <c r="EP473" s="87"/>
      <c r="EQ473" s="87"/>
      <c r="ER473" s="87"/>
      <c r="ES473" s="87"/>
      <c r="ET473" s="87"/>
      <c r="EU473" s="87"/>
      <c r="EV473" s="87"/>
      <c r="EW473" s="87"/>
      <c r="EX473" s="87"/>
      <c r="EY473" s="87"/>
      <c r="EZ473" s="87"/>
      <c r="FA473" s="87"/>
      <c r="FB473" s="87"/>
      <c r="FC473" s="87"/>
      <c r="FD473" s="87"/>
      <c r="FE473" s="87"/>
      <c r="FF473" s="87"/>
      <c r="FG473" s="87"/>
      <c r="FH473" s="87"/>
      <c r="FI473" s="87"/>
      <c r="FJ473" s="87"/>
      <c r="FK473" s="87"/>
    </row>
    <row r="474" spans="1:167" hidden="1" outlineLevel="1">
      <c r="A474" s="31" t="str">
        <f t="shared" si="35"/>
        <v>lt003_entitygrp_annl_trnvr_le</v>
      </c>
      <c r="B474" s="76" t="s">
        <v>28</v>
      </c>
      <c r="C474" s="77" t="s">
        <v>28</v>
      </c>
      <c r="D474" s="73" t="s">
        <v>40</v>
      </c>
      <c r="E474" s="79" t="s">
        <v>323</v>
      </c>
      <c r="F474" s="80" t="s">
        <v>350</v>
      </c>
      <c r="G474" s="73" t="str">
        <f>INDEX(Auxiliar!$B$16:$B$23,MATCH(Plano_V1!H474,Auxiliar!$C$16:$C$23,0),1)</f>
        <v>7. Por iniciar</v>
      </c>
      <c r="H474" s="73">
        <f>VLOOKUP(A474,'Aux - pivots1'!$A:$B,2,0)</f>
        <v>7</v>
      </c>
      <c r="I474" s="93">
        <f>SUMIFS(Table1[Estimação (horas)],Table1[Tabela],Plano_V1!E474,Table1[Campo],Plano_V1!F474)</f>
        <v>4.0999999999999996</v>
      </c>
      <c r="J474" s="93">
        <f t="shared" si="37"/>
        <v>0.51249999999999996</v>
      </c>
      <c r="K474" s="96" t="s">
        <v>325</v>
      </c>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100"/>
      <c r="AU474" s="87"/>
      <c r="AV474" s="87"/>
      <c r="AW474" s="87"/>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100"/>
      <c r="EJ474" s="100"/>
      <c r="EK474" s="100"/>
      <c r="EL474" s="100"/>
      <c r="EM474" s="100"/>
      <c r="EN474" s="100"/>
      <c r="EO474" s="100"/>
      <c r="EP474" s="87"/>
      <c r="EQ474" s="87"/>
      <c r="ER474" s="87"/>
      <c r="ES474" s="87"/>
      <c r="ET474" s="87"/>
      <c r="EU474" s="87"/>
      <c r="EV474" s="87"/>
      <c r="EW474" s="87"/>
      <c r="EX474" s="87"/>
      <c r="EY474" s="87"/>
      <c r="EZ474" s="87"/>
      <c r="FA474" s="87"/>
      <c r="FB474" s="87"/>
      <c r="FC474" s="87"/>
      <c r="FD474" s="87"/>
      <c r="FE474" s="87"/>
      <c r="FF474" s="87"/>
      <c r="FG474" s="87"/>
      <c r="FH474" s="87"/>
      <c r="FI474" s="87"/>
      <c r="FJ474" s="87"/>
      <c r="FK474" s="87"/>
    </row>
    <row r="475" spans="1:167" hidden="1" outlineLevel="1">
      <c r="A475" s="31" t="str">
        <f t="shared" si="35"/>
        <v>lt003_entitygrp_ttl_lblty</v>
      </c>
      <c r="B475" s="76" t="s">
        <v>28</v>
      </c>
      <c r="C475" s="77" t="s">
        <v>28</v>
      </c>
      <c r="D475" s="73" t="s">
        <v>40</v>
      </c>
      <c r="E475" s="79" t="s">
        <v>323</v>
      </c>
      <c r="F475" s="80" t="s">
        <v>351</v>
      </c>
      <c r="G475" s="73" t="str">
        <f>INDEX(Auxiliar!$B$16:$B$23,MATCH(Plano_V1!H475,Auxiliar!$C$16:$C$23,0),1)</f>
        <v>7. Por iniciar</v>
      </c>
      <c r="H475" s="73">
        <f>VLOOKUP(A475,'Aux - pivots1'!$A:$B,2,0)</f>
        <v>7</v>
      </c>
      <c r="I475" s="93">
        <f>SUMIFS(Table1[Estimação (horas)],Table1[Tabela],Plano_V1!E475,Table1[Campo],Plano_V1!F475)</f>
        <v>4.0999999999999996</v>
      </c>
      <c r="J475" s="93">
        <f t="shared" si="37"/>
        <v>0.51249999999999996</v>
      </c>
      <c r="K475" s="96" t="s">
        <v>325</v>
      </c>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100"/>
      <c r="AU475" s="87"/>
      <c r="AV475" s="87"/>
      <c r="AW475" s="87"/>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100"/>
      <c r="EJ475" s="100"/>
      <c r="EK475" s="100"/>
      <c r="EL475" s="100"/>
      <c r="EM475" s="100"/>
      <c r="EN475" s="100"/>
      <c r="EO475" s="100"/>
      <c r="EP475" s="87"/>
      <c r="EQ475" s="87"/>
      <c r="ER475" s="87"/>
      <c r="ES475" s="87"/>
      <c r="ET475" s="87"/>
      <c r="EU475" s="87"/>
      <c r="EV475" s="87"/>
      <c r="EW475" s="87"/>
      <c r="EX475" s="87"/>
      <c r="EY475" s="87"/>
      <c r="EZ475" s="87"/>
      <c r="FA475" s="87"/>
      <c r="FB475" s="87"/>
      <c r="FC475" s="87"/>
      <c r="FD475" s="87"/>
      <c r="FE475" s="87"/>
      <c r="FF475" s="87"/>
      <c r="FG475" s="87"/>
      <c r="FH475" s="87"/>
      <c r="FI475" s="87"/>
      <c r="FJ475" s="87"/>
      <c r="FK475" s="87"/>
    </row>
    <row r="476" spans="1:167" hidden="1" outlineLevel="1">
      <c r="A476" s="31" t="str">
        <f t="shared" si="35"/>
        <v>lt003_entityflg_grp_nfrd_applcblty</v>
      </c>
      <c r="B476" s="76" t="s">
        <v>28</v>
      </c>
      <c r="C476" s="77" t="s">
        <v>28</v>
      </c>
      <c r="D476" s="73" t="s">
        <v>40</v>
      </c>
      <c r="E476" s="79" t="s">
        <v>323</v>
      </c>
      <c r="F476" s="80" t="s">
        <v>352</v>
      </c>
      <c r="G476" s="73" t="str">
        <f>INDEX(Auxiliar!$B$16:$B$23,MATCH(Plano_V1!H476,Auxiliar!$C$16:$C$23,0),1)</f>
        <v>7. Por iniciar</v>
      </c>
      <c r="H476" s="73">
        <f>VLOOKUP(A476,'Aux - pivots1'!$A:$B,2,0)</f>
        <v>7</v>
      </c>
      <c r="I476" s="93">
        <f>SUMIFS(Table1[Estimação (horas)],Table1[Tabela],Plano_V1!E476,Table1[Campo],Plano_V1!F476)</f>
        <v>4.0999999999999996</v>
      </c>
      <c r="J476" s="93">
        <f t="shared" si="37"/>
        <v>0.51249999999999996</v>
      </c>
      <c r="K476" s="96" t="s">
        <v>325</v>
      </c>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100"/>
      <c r="AU476" s="87"/>
      <c r="AV476" s="87"/>
      <c r="AW476" s="87"/>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100"/>
      <c r="EJ476" s="100"/>
      <c r="EK476" s="100"/>
      <c r="EL476" s="100"/>
      <c r="EM476" s="100"/>
      <c r="EN476" s="100"/>
      <c r="EO476" s="100"/>
      <c r="EP476" s="87"/>
      <c r="EQ476" s="87"/>
      <c r="ER476" s="87"/>
      <c r="ES476" s="87"/>
      <c r="ET476" s="87"/>
      <c r="EU476" s="87"/>
      <c r="EV476" s="87"/>
      <c r="EW476" s="87"/>
      <c r="EX476" s="87"/>
      <c r="EY476" s="87"/>
      <c r="EZ476" s="87"/>
      <c r="FA476" s="87"/>
      <c r="FB476" s="87"/>
      <c r="FC476" s="87"/>
      <c r="FD476" s="87"/>
      <c r="FE476" s="87"/>
      <c r="FF476" s="87"/>
      <c r="FG476" s="87"/>
      <c r="FH476" s="87"/>
      <c r="FI476" s="87"/>
      <c r="FJ476" s="87"/>
      <c r="FK476" s="87"/>
    </row>
    <row r="477" spans="1:167" hidden="1" outlineLevel="1">
      <c r="A477" s="31" t="str">
        <f t="shared" ref="A477:A598" si="38">E477&amp;F477</f>
        <v>lt003_entitygrp_emssns_scp1</v>
      </c>
      <c r="B477" s="76" t="s">
        <v>28</v>
      </c>
      <c r="C477" s="77" t="s">
        <v>28</v>
      </c>
      <c r="D477" s="73" t="s">
        <v>40</v>
      </c>
      <c r="E477" s="79" t="s">
        <v>323</v>
      </c>
      <c r="F477" s="80" t="s">
        <v>353</v>
      </c>
      <c r="G477" s="73" t="str">
        <f>INDEX(Auxiliar!$B$16:$B$23,MATCH(Plano_V1!H477,Auxiliar!$C$16:$C$23,0),1)</f>
        <v>7. Por iniciar</v>
      </c>
      <c r="H477" s="73">
        <f>VLOOKUP(A477,'Aux - pivots1'!$A:$B,2,0)</f>
        <v>7</v>
      </c>
      <c r="I477" s="93">
        <f>SUMIFS(Table1[Estimação (horas)],Table1[Tabela],Plano_V1!E477,Table1[Campo],Plano_V1!F477)</f>
        <v>4.0999999999999996</v>
      </c>
      <c r="J477" s="93">
        <f t="shared" si="37"/>
        <v>0.51249999999999996</v>
      </c>
      <c r="K477" s="96" t="s">
        <v>325</v>
      </c>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100"/>
      <c r="AU477" s="87"/>
      <c r="AV477" s="87"/>
      <c r="AW477" s="87"/>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100"/>
      <c r="EJ477" s="100"/>
      <c r="EK477" s="100"/>
      <c r="EL477" s="100"/>
      <c r="EM477" s="100"/>
      <c r="EN477" s="100"/>
      <c r="EO477" s="100"/>
      <c r="EP477" s="87"/>
      <c r="EQ477" s="87"/>
      <c r="ER477" s="87"/>
      <c r="ES477" s="87"/>
      <c r="ET477" s="87"/>
      <c r="EU477" s="87"/>
      <c r="EV477" s="87"/>
      <c r="EW477" s="87"/>
      <c r="EX477" s="87"/>
      <c r="EY477" s="87"/>
      <c r="EZ477" s="87"/>
      <c r="FA477" s="87"/>
      <c r="FB477" s="87"/>
      <c r="FC477" s="87"/>
      <c r="FD477" s="87"/>
      <c r="FE477" s="87"/>
      <c r="FF477" s="87"/>
      <c r="FG477" s="87"/>
      <c r="FH477" s="87"/>
      <c r="FI477" s="87"/>
      <c r="FJ477" s="87"/>
      <c r="FK477" s="87"/>
    </row>
    <row r="478" spans="1:167" hidden="1" outlineLevel="1">
      <c r="A478" s="31" t="str">
        <f t="shared" si="38"/>
        <v>lt003_entitygrp_emssns_scp2</v>
      </c>
      <c r="B478" s="76" t="s">
        <v>28</v>
      </c>
      <c r="C478" s="77" t="s">
        <v>28</v>
      </c>
      <c r="D478" s="73" t="s">
        <v>40</v>
      </c>
      <c r="E478" s="79" t="s">
        <v>323</v>
      </c>
      <c r="F478" s="80" t="s">
        <v>354</v>
      </c>
      <c r="G478" s="73" t="str">
        <f>INDEX(Auxiliar!$B$16:$B$23,MATCH(Plano_V1!H478,Auxiliar!$C$16:$C$23,0),1)</f>
        <v>7. Por iniciar</v>
      </c>
      <c r="H478" s="73">
        <f>VLOOKUP(A478,'Aux - pivots1'!$A:$B,2,0)</f>
        <v>7</v>
      </c>
      <c r="I478" s="93">
        <f>SUMIFS(Table1[Estimação (horas)],Table1[Tabela],Plano_V1!E478,Table1[Campo],Plano_V1!F478)</f>
        <v>4.0999999999999996</v>
      </c>
      <c r="J478" s="93">
        <f t="shared" si="37"/>
        <v>0.51249999999999996</v>
      </c>
      <c r="K478" s="96" t="s">
        <v>325</v>
      </c>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100"/>
      <c r="AU478" s="87"/>
      <c r="AV478" s="87"/>
      <c r="AW478" s="87"/>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100"/>
      <c r="EJ478" s="100"/>
      <c r="EK478" s="100"/>
      <c r="EL478" s="100"/>
      <c r="EM478" s="100"/>
      <c r="EN478" s="100"/>
      <c r="EO478" s="100"/>
      <c r="EP478" s="87"/>
      <c r="EQ478" s="87"/>
      <c r="ER478" s="87"/>
      <c r="ES478" s="87"/>
      <c r="ET478" s="87"/>
      <c r="EU478" s="87"/>
      <c r="EV478" s="87"/>
      <c r="EW478" s="87"/>
      <c r="EX478" s="87"/>
      <c r="EY478" s="87"/>
      <c r="EZ478" s="87"/>
      <c r="FA478" s="87"/>
      <c r="FB478" s="87"/>
      <c r="FC478" s="87"/>
      <c r="FD478" s="87"/>
      <c r="FE478" s="87"/>
      <c r="FF478" s="87"/>
      <c r="FG478" s="87"/>
      <c r="FH478" s="87"/>
      <c r="FI478" s="87"/>
      <c r="FJ478" s="87"/>
      <c r="FK478" s="87"/>
    </row>
    <row r="479" spans="1:167" hidden="1" outlineLevel="1">
      <c r="A479" s="31" t="str">
        <f t="shared" si="38"/>
        <v>lt003_entitygrp_emssns_scp3</v>
      </c>
      <c r="B479" s="76" t="s">
        <v>28</v>
      </c>
      <c r="C479" s="77" t="s">
        <v>28</v>
      </c>
      <c r="D479" s="73" t="s">
        <v>40</v>
      </c>
      <c r="E479" s="79" t="s">
        <v>323</v>
      </c>
      <c r="F479" s="80" t="s">
        <v>355</v>
      </c>
      <c r="G479" s="73" t="str">
        <f>INDEX(Auxiliar!$B$16:$B$23,MATCH(Plano_V1!H479,Auxiliar!$C$16:$C$23,0),1)</f>
        <v>7. Por iniciar</v>
      </c>
      <c r="H479" s="73">
        <f>VLOOKUP(A479,'Aux - pivots1'!$A:$B,2,0)</f>
        <v>7</v>
      </c>
      <c r="I479" s="93">
        <f>SUMIFS(Table1[Estimação (horas)],Table1[Tabela],Plano_V1!E479,Table1[Campo],Plano_V1!F479)</f>
        <v>4.0999999999999996</v>
      </c>
      <c r="J479" s="93">
        <f t="shared" si="37"/>
        <v>0.51249999999999996</v>
      </c>
      <c r="K479" s="96" t="s">
        <v>325</v>
      </c>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100"/>
      <c r="AU479" s="87"/>
      <c r="AV479" s="87"/>
      <c r="AW479" s="87"/>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100"/>
      <c r="EJ479" s="100"/>
      <c r="EK479" s="100"/>
      <c r="EL479" s="100"/>
      <c r="EM479" s="100"/>
      <c r="EN479" s="100"/>
      <c r="EO479" s="100"/>
      <c r="EP479" s="87"/>
      <c r="EQ479" s="87"/>
      <c r="ER479" s="87"/>
      <c r="ES479" s="87"/>
      <c r="ET479" s="87"/>
      <c r="EU479" s="87"/>
      <c r="EV479" s="87"/>
      <c r="EW479" s="87"/>
      <c r="EX479" s="87"/>
      <c r="EY479" s="87"/>
      <c r="EZ479" s="87"/>
      <c r="FA479" s="87"/>
      <c r="FB479" s="87"/>
      <c r="FC479" s="87"/>
      <c r="FD479" s="87"/>
      <c r="FE479" s="87"/>
      <c r="FF479" s="87"/>
      <c r="FG479" s="87"/>
      <c r="FH479" s="87"/>
      <c r="FI479" s="87"/>
      <c r="FJ479" s="87"/>
      <c r="FK479" s="87"/>
    </row>
    <row r="480" spans="1:167" hidden="1" outlineLevel="1">
      <c r="A480" s="31" t="str">
        <f t="shared" si="38"/>
        <v>lt004_protectiontyp_ep_scr</v>
      </c>
      <c r="B480" s="76" t="s">
        <v>28</v>
      </c>
      <c r="C480" s="77" t="s">
        <v>28</v>
      </c>
      <c r="D480" s="73" t="s">
        <v>40</v>
      </c>
      <c r="E480" s="79" t="s">
        <v>356</v>
      </c>
      <c r="F480" s="80" t="s">
        <v>357</v>
      </c>
      <c r="G480" s="73" t="str">
        <f>INDEX(Auxiliar!$B$16:$B$23,MATCH(Plano_V1!H480,Auxiliar!$C$16:$C$23,0),1)</f>
        <v>7. Por iniciar</v>
      </c>
      <c r="H480" s="73">
        <f>VLOOKUP(A480,'Aux - pivots1'!$A:$B,2,0)</f>
        <v>7</v>
      </c>
      <c r="I480" s="93">
        <f>SUMIFS(Table1[Estimação (horas)],Table1[Tabela],Plano_V1!E480,Table1[Campo],Plano_V1!F480)</f>
        <v>4.0999999999999996</v>
      </c>
      <c r="J480" s="93">
        <f t="shared" si="37"/>
        <v>0.51249999999999996</v>
      </c>
      <c r="K480" s="98" t="s">
        <v>39</v>
      </c>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100"/>
      <c r="AU480" s="87"/>
      <c r="AV480" s="87"/>
      <c r="AW480" s="87"/>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100"/>
      <c r="EJ480" s="100"/>
      <c r="EK480" s="100"/>
      <c r="EL480" s="100"/>
      <c r="EM480" s="100"/>
      <c r="EN480" s="100"/>
      <c r="EO480" s="100"/>
      <c r="EP480" s="87"/>
      <c r="EQ480" s="87"/>
      <c r="ER480" s="87"/>
      <c r="ES480" s="87"/>
      <c r="ET480" s="87"/>
      <c r="EU480" s="87"/>
      <c r="EV480" s="87"/>
      <c r="EW480" s="87"/>
      <c r="EX480" s="87"/>
      <c r="EY480" s="87"/>
      <c r="EZ480" s="87"/>
      <c r="FA480" s="87"/>
      <c r="FB480" s="87"/>
      <c r="FC480" s="87"/>
      <c r="FD480" s="87"/>
      <c r="FE480" s="87"/>
      <c r="FF480" s="87"/>
      <c r="FG480" s="87"/>
      <c r="FH480" s="87"/>
      <c r="FI480" s="87"/>
      <c r="FJ480" s="87"/>
      <c r="FK480" s="87"/>
    </row>
    <row r="481" spans="1:167" hidden="1" outlineLevel="1">
      <c r="A481" s="31" t="str">
        <f t="shared" si="38"/>
        <v>lt004_protectionep_scr</v>
      </c>
      <c r="B481" s="76" t="s">
        <v>28</v>
      </c>
      <c r="C481" s="77" t="s">
        <v>28</v>
      </c>
      <c r="D481" s="73" t="s">
        <v>40</v>
      </c>
      <c r="E481" s="79" t="s">
        <v>356</v>
      </c>
      <c r="F481" s="80" t="s">
        <v>358</v>
      </c>
      <c r="G481" s="73" t="str">
        <f>INDEX(Auxiliar!$B$16:$B$23,MATCH(Plano_V1!H481,Auxiliar!$C$16:$C$23,0),1)</f>
        <v>7. Por iniciar</v>
      </c>
      <c r="H481" s="73">
        <f>VLOOKUP(A481,'Aux - pivots1'!$A:$B,2,0)</f>
        <v>7</v>
      </c>
      <c r="I481" s="93">
        <f>SUMIFS(Table1[Estimação (horas)],Table1[Tabela],Plano_V1!E481,Table1[Campo],Plano_V1!F481)</f>
        <v>4.0999999999999996</v>
      </c>
      <c r="J481" s="93">
        <f t="shared" si="37"/>
        <v>0.51249999999999996</v>
      </c>
      <c r="K481" s="98" t="s">
        <v>39</v>
      </c>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100"/>
      <c r="AU481" s="87"/>
      <c r="AV481" s="87"/>
      <c r="AW481" s="87"/>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100"/>
      <c r="EJ481" s="100"/>
      <c r="EK481" s="100"/>
      <c r="EL481" s="100"/>
      <c r="EM481" s="100"/>
      <c r="EN481" s="100"/>
      <c r="EO481" s="100"/>
      <c r="EP481" s="87"/>
      <c r="EQ481" s="87"/>
      <c r="ER481" s="87"/>
      <c r="ES481" s="87"/>
      <c r="ET481" s="87"/>
      <c r="EU481" s="87"/>
      <c r="EV481" s="87"/>
      <c r="EW481" s="87"/>
      <c r="EX481" s="87"/>
      <c r="EY481" s="87"/>
      <c r="EZ481" s="87"/>
      <c r="FA481" s="87"/>
      <c r="FB481" s="87"/>
      <c r="FC481" s="87"/>
      <c r="FD481" s="87"/>
      <c r="FE481" s="87"/>
      <c r="FF481" s="87"/>
      <c r="FG481" s="87"/>
      <c r="FH481" s="87"/>
      <c r="FI481" s="87"/>
      <c r="FJ481" s="87"/>
      <c r="FK481" s="87"/>
    </row>
    <row r="482" spans="1:167" hidden="1" outlineLevel="1">
      <c r="A482" s="31" t="str">
        <f t="shared" si="38"/>
        <v>lt004_protectiontyp_epc_lbl</v>
      </c>
      <c r="B482" s="76" t="s">
        <v>28</v>
      </c>
      <c r="C482" s="77" t="s">
        <v>28</v>
      </c>
      <c r="D482" s="73" t="s">
        <v>40</v>
      </c>
      <c r="E482" s="79" t="s">
        <v>356</v>
      </c>
      <c r="F482" s="80" t="s">
        <v>359</v>
      </c>
      <c r="G482" s="73" t="str">
        <f>INDEX(Auxiliar!$B$16:$B$23,MATCH(Plano_V1!H482,Auxiliar!$C$16:$C$23,0),1)</f>
        <v>7. Por iniciar</v>
      </c>
      <c r="H482" s="73">
        <f>VLOOKUP(A482,'Aux - pivots1'!$A:$B,2,0)</f>
        <v>7</v>
      </c>
      <c r="I482" s="93">
        <f>SUMIFS(Table1[Estimação (horas)],Table1[Tabela],Plano_V1!E482,Table1[Campo],Plano_V1!F482)</f>
        <v>4.0999999999999996</v>
      </c>
      <c r="J482" s="93">
        <f t="shared" si="37"/>
        <v>0.51249999999999996</v>
      </c>
      <c r="K482" s="98" t="s">
        <v>39</v>
      </c>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100"/>
      <c r="AU482" s="87"/>
      <c r="AV482" s="87"/>
      <c r="AW482" s="87"/>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100"/>
      <c r="EJ482" s="100"/>
      <c r="EK482" s="100"/>
      <c r="EL482" s="100"/>
      <c r="EM482" s="100"/>
      <c r="EN482" s="100"/>
      <c r="EO482" s="100"/>
      <c r="EP482" s="87"/>
      <c r="EQ482" s="87"/>
      <c r="ER482" s="87"/>
      <c r="ES482" s="87"/>
      <c r="ET482" s="87"/>
      <c r="EU482" s="87"/>
      <c r="EV482" s="87"/>
      <c r="EW482" s="87"/>
      <c r="EX482" s="87"/>
      <c r="EY482" s="87"/>
      <c r="EZ482" s="87"/>
      <c r="FA482" s="87"/>
      <c r="FB482" s="87"/>
      <c r="FC482" s="87"/>
      <c r="FD482" s="87"/>
      <c r="FE482" s="87"/>
      <c r="FF482" s="87"/>
      <c r="FG482" s="87"/>
      <c r="FH482" s="87"/>
      <c r="FI482" s="87"/>
      <c r="FJ482" s="87"/>
      <c r="FK482" s="87"/>
    </row>
    <row r="483" spans="1:167" hidden="1" outlineLevel="1">
      <c r="A483" s="31" t="str">
        <f t="shared" si="38"/>
        <v>lt004_protectionepc_lbl</v>
      </c>
      <c r="B483" s="76" t="s">
        <v>28</v>
      </c>
      <c r="C483" s="77" t="s">
        <v>28</v>
      </c>
      <c r="D483" s="73" t="s">
        <v>40</v>
      </c>
      <c r="E483" s="79" t="s">
        <v>356</v>
      </c>
      <c r="F483" s="80" t="s">
        <v>360</v>
      </c>
      <c r="G483" s="73" t="str">
        <f>INDEX(Auxiliar!$B$16:$B$23,MATCH(Plano_V1!H483,Auxiliar!$C$16:$C$23,0),1)</f>
        <v>7. Por iniciar</v>
      </c>
      <c r="H483" s="73">
        <f>VLOOKUP(A483,'Aux - pivots1'!$A:$B,2,0)</f>
        <v>7</v>
      </c>
      <c r="I483" s="93">
        <f>SUMIFS(Table1[Estimação (horas)],Table1[Tabela],Plano_V1!E483,Table1[Campo],Plano_V1!F483)</f>
        <v>4.0999999999999996</v>
      </c>
      <c r="J483" s="93">
        <f t="shared" si="37"/>
        <v>0.51249999999999996</v>
      </c>
      <c r="K483" s="98" t="s">
        <v>39</v>
      </c>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100"/>
      <c r="AU483" s="87"/>
      <c r="AV483" s="87"/>
      <c r="AW483" s="87"/>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100"/>
      <c r="EJ483" s="100"/>
      <c r="EK483" s="100"/>
      <c r="EL483" s="100"/>
      <c r="EM483" s="100"/>
      <c r="EN483" s="100"/>
      <c r="EO483" s="100"/>
      <c r="EP483" s="87"/>
      <c r="EQ483" s="87"/>
      <c r="ER483" s="87"/>
      <c r="ES483" s="87"/>
      <c r="ET483" s="87"/>
      <c r="EU483" s="87"/>
      <c r="EV483" s="87"/>
      <c r="EW483" s="87"/>
      <c r="EX483" s="87"/>
      <c r="EY483" s="87"/>
      <c r="EZ483" s="87"/>
      <c r="FA483" s="87"/>
      <c r="FB483" s="87"/>
      <c r="FC483" s="87"/>
      <c r="FD483" s="87"/>
      <c r="FE483" s="87"/>
      <c r="FF483" s="87"/>
      <c r="FG483" s="87"/>
      <c r="FH483" s="87"/>
      <c r="FI483" s="87"/>
      <c r="FJ483" s="87"/>
      <c r="FK483" s="87"/>
    </row>
    <row r="484" spans="1:167" hidden="1" outlineLevel="1">
      <c r="A484" s="31" t="str">
        <f t="shared" si="38"/>
        <v>lt004_protectionemssns_scp1_prtctn</v>
      </c>
      <c r="B484" s="76" t="s">
        <v>28</v>
      </c>
      <c r="C484" s="77" t="s">
        <v>28</v>
      </c>
      <c r="D484" s="73" t="s">
        <v>40</v>
      </c>
      <c r="E484" s="79" t="s">
        <v>356</v>
      </c>
      <c r="F484" s="80" t="s">
        <v>361</v>
      </c>
      <c r="G484" s="73" t="str">
        <f>INDEX(Auxiliar!$B$16:$B$23,MATCH(Plano_V1!H484,Auxiliar!$C$16:$C$23,0),1)</f>
        <v>7. Por iniciar</v>
      </c>
      <c r="H484" s="73">
        <f>VLOOKUP(A484,'Aux - pivots1'!$A:$B,2,0)</f>
        <v>7</v>
      </c>
      <c r="I484" s="93">
        <f>SUMIFS(Table1[Estimação (horas)],Table1[Tabela],Plano_V1!E484,Table1[Campo],Plano_V1!F484)</f>
        <v>4.0999999999999996</v>
      </c>
      <c r="J484" s="93">
        <f t="shared" si="37"/>
        <v>0.51249999999999996</v>
      </c>
      <c r="K484" s="98" t="s">
        <v>39</v>
      </c>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100"/>
      <c r="AU484" s="87"/>
      <c r="AV484" s="87"/>
      <c r="AW484" s="87"/>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100"/>
      <c r="EJ484" s="100"/>
      <c r="EK484" s="100"/>
      <c r="EL484" s="100"/>
      <c r="EM484" s="100"/>
      <c r="EN484" s="100"/>
      <c r="EO484" s="100"/>
      <c r="EP484" s="87"/>
      <c r="EQ484" s="87"/>
      <c r="ER484" s="87"/>
      <c r="ES484" s="87"/>
      <c r="ET484" s="87"/>
      <c r="EU484" s="87"/>
      <c r="EV484" s="87"/>
      <c r="EW484" s="87"/>
      <c r="EX484" s="87"/>
      <c r="EY484" s="87"/>
      <c r="EZ484" s="87"/>
      <c r="FA484" s="87"/>
      <c r="FB484" s="87"/>
      <c r="FC484" s="87"/>
      <c r="FD484" s="87"/>
      <c r="FE484" s="87"/>
      <c r="FF484" s="87"/>
      <c r="FG484" s="87"/>
      <c r="FH484" s="87"/>
      <c r="FI484" s="87"/>
      <c r="FJ484" s="87"/>
      <c r="FK484" s="87"/>
    </row>
    <row r="485" spans="1:167" hidden="1" outlineLevel="1">
      <c r="A485" s="31" t="str">
        <f t="shared" si="38"/>
        <v>lt004_protectionemssns_scp2_prtctn</v>
      </c>
      <c r="B485" s="76" t="s">
        <v>28</v>
      </c>
      <c r="C485" s="77" t="s">
        <v>28</v>
      </c>
      <c r="D485" s="73" t="s">
        <v>40</v>
      </c>
      <c r="E485" s="79" t="s">
        <v>356</v>
      </c>
      <c r="F485" s="80" t="s">
        <v>362</v>
      </c>
      <c r="G485" s="73" t="str">
        <f>INDEX(Auxiliar!$B$16:$B$23,MATCH(Plano_V1!H485,Auxiliar!$C$16:$C$23,0),1)</f>
        <v>7. Por iniciar</v>
      </c>
      <c r="H485" s="73">
        <f>VLOOKUP(A485,'Aux - pivots1'!$A:$B,2,0)</f>
        <v>7</v>
      </c>
      <c r="I485" s="93">
        <f>SUMIFS(Table1[Estimação (horas)],Table1[Tabela],Plano_V1!E485,Table1[Campo],Plano_V1!F485)</f>
        <v>4.0999999999999996</v>
      </c>
      <c r="J485" s="93">
        <f t="shared" si="37"/>
        <v>0.51249999999999996</v>
      </c>
      <c r="K485" s="98" t="s">
        <v>39</v>
      </c>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100"/>
      <c r="AU485" s="87"/>
      <c r="AV485" s="87"/>
      <c r="AW485" s="87"/>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100"/>
      <c r="EJ485" s="100"/>
      <c r="EK485" s="100"/>
      <c r="EL485" s="100"/>
      <c r="EM485" s="100"/>
      <c r="EN485" s="100"/>
      <c r="EO485" s="100"/>
      <c r="EP485" s="87"/>
      <c r="EQ485" s="87"/>
      <c r="ER485" s="87"/>
      <c r="ES485" s="87"/>
      <c r="ET485" s="87"/>
      <c r="EU485" s="87"/>
      <c r="EV485" s="87"/>
      <c r="EW485" s="87"/>
      <c r="EX485" s="87"/>
      <c r="EY485" s="87"/>
      <c r="EZ485" s="87"/>
      <c r="FA485" s="87"/>
      <c r="FB485" s="87"/>
      <c r="FC485" s="87"/>
      <c r="FD485" s="87"/>
      <c r="FE485" s="87"/>
      <c r="FF485" s="87"/>
      <c r="FG485" s="87"/>
      <c r="FH485" s="87"/>
      <c r="FI485" s="87"/>
      <c r="FJ485" s="87"/>
      <c r="FK485" s="87"/>
    </row>
    <row r="486" spans="1:167" hidden="1" outlineLevel="1">
      <c r="A486" s="31" t="str">
        <f t="shared" si="38"/>
        <v>lt004_protectionemssns_scp3_prtctn</v>
      </c>
      <c r="B486" s="76" t="s">
        <v>28</v>
      </c>
      <c r="C486" s="77" t="s">
        <v>28</v>
      </c>
      <c r="D486" s="73" t="s">
        <v>40</v>
      </c>
      <c r="E486" s="79" t="s">
        <v>356</v>
      </c>
      <c r="F486" s="80" t="s">
        <v>363</v>
      </c>
      <c r="G486" s="73" t="str">
        <f>INDEX(Auxiliar!$B$16:$B$23,MATCH(Plano_V1!H486,Auxiliar!$C$16:$C$23,0),1)</f>
        <v>7. Por iniciar</v>
      </c>
      <c r="H486" s="73">
        <f>VLOOKUP(A486,'Aux - pivots1'!$A:$B,2,0)</f>
        <v>7</v>
      </c>
      <c r="I486" s="93">
        <f>SUMIFS(Table1[Estimação (horas)],Table1[Tabela],Plano_V1!E486,Table1[Campo],Plano_V1!F486)</f>
        <v>4.0999999999999996</v>
      </c>
      <c r="J486" s="93">
        <f t="shared" si="37"/>
        <v>0.51249999999999996</v>
      </c>
      <c r="K486" s="98" t="s">
        <v>39</v>
      </c>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100"/>
      <c r="AU486" s="87"/>
      <c r="AV486" s="87"/>
      <c r="AW486" s="87"/>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100"/>
      <c r="EJ486" s="100"/>
      <c r="EK486" s="100"/>
      <c r="EL486" s="100"/>
      <c r="EM486" s="100"/>
      <c r="EN486" s="100"/>
      <c r="EO486" s="100"/>
      <c r="EP486" s="87"/>
      <c r="EQ486" s="87"/>
      <c r="ER486" s="87"/>
      <c r="ES486" s="87"/>
      <c r="ET486" s="87"/>
      <c r="EU486" s="87"/>
      <c r="EV486" s="87"/>
      <c r="EW486" s="87"/>
      <c r="EX486" s="87"/>
      <c r="EY486" s="87"/>
      <c r="EZ486" s="87"/>
      <c r="FA486" s="87"/>
      <c r="FB486" s="87"/>
      <c r="FC486" s="87"/>
      <c r="FD486" s="87"/>
      <c r="FE486" s="87"/>
      <c r="FF486" s="87"/>
      <c r="FG486" s="87"/>
      <c r="FH486" s="87"/>
      <c r="FI486" s="87"/>
      <c r="FJ486" s="87"/>
      <c r="FK486" s="87"/>
    </row>
    <row r="487" spans="1:167" hidden="1" outlineLevel="1">
      <c r="A487" s="31" t="str">
        <f t="shared" si="38"/>
        <v>lt004_protectionmthd_usd_prtctn_scp_1</v>
      </c>
      <c r="B487" s="76" t="s">
        <v>28</v>
      </c>
      <c r="C487" s="77" t="s">
        <v>28</v>
      </c>
      <c r="D487" s="73" t="s">
        <v>40</v>
      </c>
      <c r="E487" s="79" t="s">
        <v>356</v>
      </c>
      <c r="F487" s="80" t="s">
        <v>364</v>
      </c>
      <c r="G487" s="73" t="str">
        <f>INDEX(Auxiliar!$B$16:$B$23,MATCH(Plano_V1!H487,Auxiliar!$C$16:$C$23,0),1)</f>
        <v>7. Por iniciar</v>
      </c>
      <c r="H487" s="73">
        <f>VLOOKUP(A487,'Aux - pivots1'!$A:$B,2,0)</f>
        <v>7</v>
      </c>
      <c r="I487" s="93">
        <f>SUMIFS(Table1[Estimação (horas)],Table1[Tabela],Plano_V1!E487,Table1[Campo],Plano_V1!F487)</f>
        <v>4.0999999999999996</v>
      </c>
      <c r="J487" s="93">
        <f t="shared" si="37"/>
        <v>0.51249999999999996</v>
      </c>
      <c r="K487" s="98" t="s">
        <v>39</v>
      </c>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100"/>
      <c r="AU487" s="87"/>
      <c r="AV487" s="87"/>
      <c r="AW487" s="87"/>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100"/>
      <c r="EJ487" s="100"/>
      <c r="EK487" s="100"/>
      <c r="EL487" s="100"/>
      <c r="EM487" s="100"/>
      <c r="EN487" s="100"/>
      <c r="EO487" s="100"/>
      <c r="EP487" s="87"/>
      <c r="EQ487" s="87"/>
      <c r="ER487" s="87"/>
      <c r="ES487" s="87"/>
      <c r="ET487" s="87"/>
      <c r="EU487" s="87"/>
      <c r="EV487" s="87"/>
      <c r="EW487" s="87"/>
      <c r="EX487" s="87"/>
      <c r="EY487" s="87"/>
      <c r="EZ487" s="87"/>
      <c r="FA487" s="87"/>
      <c r="FB487" s="87"/>
      <c r="FC487" s="87"/>
      <c r="FD487" s="87"/>
      <c r="FE487" s="87"/>
      <c r="FF487" s="87"/>
      <c r="FG487" s="87"/>
      <c r="FH487" s="87"/>
      <c r="FI487" s="87"/>
      <c r="FJ487" s="87"/>
      <c r="FK487" s="87"/>
    </row>
    <row r="488" spans="1:167" hidden="1" outlineLevel="1">
      <c r="A488" s="31" t="str">
        <f t="shared" si="38"/>
        <v>lt004_protectionmthd_usd_prtctn_scp_2</v>
      </c>
      <c r="B488" s="76" t="s">
        <v>28</v>
      </c>
      <c r="C488" s="77" t="s">
        <v>28</v>
      </c>
      <c r="D488" s="73" t="s">
        <v>40</v>
      </c>
      <c r="E488" s="79" t="s">
        <v>356</v>
      </c>
      <c r="F488" s="80" t="s">
        <v>365</v>
      </c>
      <c r="G488" s="73" t="str">
        <f>INDEX(Auxiliar!$B$16:$B$23,MATCH(Plano_V1!H488,Auxiliar!$C$16:$C$23,0),1)</f>
        <v>7. Por iniciar</v>
      </c>
      <c r="H488" s="73">
        <f>VLOOKUP(A488,'Aux - pivots1'!$A:$B,2,0)</f>
        <v>7</v>
      </c>
      <c r="I488" s="93">
        <f>SUMIFS(Table1[Estimação (horas)],Table1[Tabela],Plano_V1!E488,Table1[Campo],Plano_V1!F488)</f>
        <v>4.0999999999999996</v>
      </c>
      <c r="J488" s="93">
        <f t="shared" si="37"/>
        <v>0.51249999999999996</v>
      </c>
      <c r="K488" s="98" t="s">
        <v>39</v>
      </c>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100"/>
      <c r="AU488" s="87"/>
      <c r="AV488" s="87"/>
      <c r="AW488" s="87"/>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100"/>
      <c r="EJ488" s="100"/>
      <c r="EK488" s="100"/>
      <c r="EL488" s="100"/>
      <c r="EM488" s="100"/>
      <c r="EN488" s="100"/>
      <c r="EO488" s="100"/>
      <c r="EP488" s="87"/>
      <c r="EQ488" s="87"/>
      <c r="ER488" s="87"/>
      <c r="ES488" s="87"/>
      <c r="ET488" s="87"/>
      <c r="EU488" s="87"/>
      <c r="EV488" s="87"/>
      <c r="EW488" s="87"/>
      <c r="EX488" s="87"/>
      <c r="EY488" s="87"/>
      <c r="EZ488" s="87"/>
      <c r="FA488" s="87"/>
      <c r="FB488" s="87"/>
      <c r="FC488" s="87"/>
      <c r="FD488" s="87"/>
      <c r="FE488" s="87"/>
      <c r="FF488" s="87"/>
      <c r="FG488" s="87"/>
      <c r="FH488" s="87"/>
      <c r="FI488" s="87"/>
      <c r="FJ488" s="87"/>
      <c r="FK488" s="87"/>
    </row>
    <row r="489" spans="1:167" hidden="1" outlineLevel="1">
      <c r="A489" s="31" t="str">
        <f t="shared" si="38"/>
        <v>lt004_protectionmthd_usd_prtctn_scp_3</v>
      </c>
      <c r="B489" s="76" t="s">
        <v>28</v>
      </c>
      <c r="C489" s="77" t="s">
        <v>28</v>
      </c>
      <c r="D489" s="73" t="s">
        <v>40</v>
      </c>
      <c r="E489" s="79" t="s">
        <v>356</v>
      </c>
      <c r="F489" s="80" t="s">
        <v>366</v>
      </c>
      <c r="G489" s="73" t="str">
        <f>INDEX(Auxiliar!$B$16:$B$23,MATCH(Plano_V1!H489,Auxiliar!$C$16:$C$23,0),1)</f>
        <v>7. Por iniciar</v>
      </c>
      <c r="H489" s="73">
        <f>VLOOKUP(A489,'Aux - pivots1'!$A:$B,2,0)</f>
        <v>7</v>
      </c>
      <c r="I489" s="93">
        <f>SUMIFS(Table1[Estimação (horas)],Table1[Tabela],Plano_V1!E489,Table1[Campo],Plano_V1!F489)</f>
        <v>4.0999999999999996</v>
      </c>
      <c r="J489" s="93">
        <f t="shared" si="37"/>
        <v>0.51249999999999996</v>
      </c>
      <c r="K489" s="98" t="s">
        <v>39</v>
      </c>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100"/>
      <c r="AU489" s="87"/>
      <c r="AV489" s="87"/>
      <c r="AW489" s="87"/>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100"/>
      <c r="EJ489" s="100"/>
      <c r="EK489" s="100"/>
      <c r="EL489" s="100"/>
      <c r="EM489" s="100"/>
      <c r="EN489" s="100"/>
      <c r="EO489" s="100"/>
      <c r="EP489" s="87"/>
      <c r="EQ489" s="87"/>
      <c r="ER489" s="87"/>
      <c r="ES489" s="87"/>
      <c r="ET489" s="87"/>
      <c r="EU489" s="87"/>
      <c r="EV489" s="87"/>
      <c r="EW489" s="87"/>
      <c r="EX489" s="87"/>
      <c r="EY489" s="87"/>
      <c r="EZ489" s="87"/>
      <c r="FA489" s="87"/>
      <c r="FB489" s="87"/>
      <c r="FC489" s="87"/>
      <c r="FD489" s="87"/>
      <c r="FE489" s="87"/>
      <c r="FF489" s="87"/>
      <c r="FG489" s="87"/>
      <c r="FH489" s="87"/>
      <c r="FI489" s="87"/>
      <c r="FJ489" s="87"/>
      <c r="FK489" s="87"/>
    </row>
    <row r="490" spans="1:167" hidden="1" outlineLevel="1">
      <c r="A490" s="31" t="str">
        <f t="shared" si="38"/>
        <v>lt004_protectionflg_act_physcl_rsk</v>
      </c>
      <c r="B490" s="76" t="s">
        <v>28</v>
      </c>
      <c r="C490" s="77" t="s">
        <v>28</v>
      </c>
      <c r="D490" s="73" t="s">
        <v>40</v>
      </c>
      <c r="E490" s="79" t="s">
        <v>356</v>
      </c>
      <c r="F490" s="80" t="s">
        <v>345</v>
      </c>
      <c r="G490" s="73" t="str">
        <f>INDEX(Auxiliar!$B$16:$B$23,MATCH(Plano_V1!H490,Auxiliar!$C$16:$C$23,0),1)</f>
        <v>4. Validação EF</v>
      </c>
      <c r="H490" s="73">
        <f>VLOOKUP(A490,'Aux - pivots1'!$A:$B,2,0)</f>
        <v>4</v>
      </c>
      <c r="I490" s="93">
        <f>SUMIFS(Table1[Estimação (horas)],Table1[Tabela],Plano_V1!E490,Table1[Campo],Plano_V1!F490)</f>
        <v>4.0999999999999996</v>
      </c>
      <c r="J490" s="93">
        <f t="shared" si="37"/>
        <v>0.51249999999999996</v>
      </c>
      <c r="K490" s="98" t="s">
        <v>39</v>
      </c>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100"/>
      <c r="AU490" s="87"/>
      <c r="AV490" s="87"/>
      <c r="AW490" s="87"/>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100"/>
      <c r="EJ490" s="100"/>
      <c r="EK490" s="100"/>
      <c r="EL490" s="100"/>
      <c r="EM490" s="100"/>
      <c r="EN490" s="100"/>
      <c r="EO490" s="100"/>
      <c r="EP490" s="87"/>
      <c r="EQ490" s="87"/>
      <c r="ER490" s="87"/>
      <c r="ES490" s="87"/>
      <c r="ET490" s="87"/>
      <c r="EU490" s="87"/>
      <c r="EV490" s="87"/>
      <c r="EW490" s="87"/>
      <c r="EX490" s="87"/>
      <c r="EY490" s="87"/>
      <c r="EZ490" s="87"/>
      <c r="FA490" s="87"/>
      <c r="FB490" s="87"/>
      <c r="FC490" s="87"/>
      <c r="FD490" s="87"/>
      <c r="FE490" s="87"/>
      <c r="FF490" s="87"/>
      <c r="FG490" s="87"/>
      <c r="FH490" s="87"/>
      <c r="FI490" s="87"/>
      <c r="FJ490" s="87"/>
      <c r="FK490" s="87"/>
    </row>
    <row r="491" spans="1:167" hidden="1" outlineLevel="1">
      <c r="A491" s="31" t="str">
        <f t="shared" si="38"/>
        <v>lt004_protectionflg_chrnc_physcl_rsk</v>
      </c>
      <c r="B491" s="76" t="s">
        <v>28</v>
      </c>
      <c r="C491" s="77" t="s">
        <v>28</v>
      </c>
      <c r="D491" s="73" t="s">
        <v>40</v>
      </c>
      <c r="E491" s="79" t="s">
        <v>356</v>
      </c>
      <c r="F491" s="80" t="s">
        <v>346</v>
      </c>
      <c r="G491" s="73" t="str">
        <f>INDEX(Auxiliar!$B$16:$B$23,MATCH(Plano_V1!H491,Auxiliar!$C$16:$C$23,0),1)</f>
        <v>4. Validação EF</v>
      </c>
      <c r="H491" s="73">
        <f>VLOOKUP(A491,'Aux - pivots1'!$A:$B,2,0)</f>
        <v>4</v>
      </c>
      <c r="I491" s="93">
        <f>SUMIFS(Table1[Estimação (horas)],Table1[Tabela],Plano_V1!E491,Table1[Campo],Plano_V1!F491)</f>
        <v>4.0999999999999996</v>
      </c>
      <c r="J491" s="93">
        <f t="shared" si="37"/>
        <v>0.51249999999999996</v>
      </c>
      <c r="K491" s="98" t="s">
        <v>39</v>
      </c>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100"/>
      <c r="AU491" s="87"/>
      <c r="AV491" s="87"/>
      <c r="AW491" s="87"/>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100"/>
      <c r="EJ491" s="100"/>
      <c r="EK491" s="100"/>
      <c r="EL491" s="100"/>
      <c r="EM491" s="100"/>
      <c r="EN491" s="100"/>
      <c r="EO491" s="100"/>
      <c r="EP491" s="87"/>
      <c r="EQ491" s="87"/>
      <c r="ER491" s="87"/>
      <c r="ES491" s="87"/>
      <c r="ET491" s="87"/>
      <c r="EU491" s="87"/>
      <c r="EV491" s="87"/>
      <c r="EW491" s="87"/>
      <c r="EX491" s="87"/>
      <c r="EY491" s="87"/>
      <c r="EZ491" s="87"/>
      <c r="FA491" s="87"/>
      <c r="FB491" s="87"/>
      <c r="FC491" s="87"/>
      <c r="FD491" s="87"/>
      <c r="FE491" s="87"/>
      <c r="FF491" s="87"/>
      <c r="FG491" s="87"/>
      <c r="FH491" s="87"/>
      <c r="FI491" s="87"/>
      <c r="FJ491" s="87"/>
      <c r="FK491" s="87"/>
    </row>
    <row r="492" spans="1:167" hidden="1" outlineLevel="1">
      <c r="A492" s="31" t="str">
        <f t="shared" si="38"/>
        <v>lt002_instrumentrsk_mtgtd_cct</v>
      </c>
      <c r="B492" s="76" t="s">
        <v>28</v>
      </c>
      <c r="C492" s="77" t="s">
        <v>28</v>
      </c>
      <c r="D492" s="73" t="s">
        <v>40</v>
      </c>
      <c r="E492" s="79" t="s">
        <v>367</v>
      </c>
      <c r="F492" s="80" t="s">
        <v>368</v>
      </c>
      <c r="G492" s="73" t="str">
        <f>INDEX(Auxiliar!$B$16:$B$23,MATCH(Plano_V1!H492,Auxiliar!$C$16:$C$23,0),1)</f>
        <v>7. Por iniciar</v>
      </c>
      <c r="H492" s="73">
        <f>VLOOKUP(A492,'Aux - pivots1'!$A:$B,2,0)</f>
        <v>7</v>
      </c>
      <c r="I492" s="93">
        <f>SUMIFS(Table1[Estimação (horas)],Table1[Tabela],Plano_V1!E492,Table1[Campo],Plano_V1!F492)</f>
        <v>4.0999999999999996</v>
      </c>
      <c r="J492" s="93">
        <f t="shared" si="37"/>
        <v>0.51249999999999996</v>
      </c>
      <c r="K492" s="98" t="s">
        <v>39</v>
      </c>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100"/>
      <c r="AU492" s="87"/>
      <c r="AV492" s="87"/>
      <c r="AW492" s="87"/>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100"/>
      <c r="EJ492" s="100"/>
      <c r="EK492" s="100"/>
      <c r="EL492" s="100"/>
      <c r="EM492" s="100"/>
      <c r="EN492" s="100"/>
      <c r="EO492" s="100"/>
      <c r="EP492" s="87"/>
      <c r="EQ492" s="87"/>
      <c r="ER492" s="87"/>
      <c r="ES492" s="87"/>
      <c r="ET492" s="87"/>
      <c r="EU492" s="87"/>
      <c r="EV492" s="87"/>
      <c r="EW492" s="87"/>
      <c r="EX492" s="87"/>
      <c r="EY492" s="87"/>
      <c r="EZ492" s="87"/>
      <c r="FA492" s="87"/>
      <c r="FB492" s="87"/>
      <c r="FC492" s="87"/>
      <c r="FD492" s="87"/>
      <c r="FE492" s="87"/>
      <c r="FF492" s="87"/>
      <c r="FG492" s="87"/>
      <c r="FH492" s="87"/>
      <c r="FI492" s="87"/>
      <c r="FJ492" s="87"/>
      <c r="FK492" s="87"/>
    </row>
    <row r="493" spans="1:167" hidden="1" outlineLevel="1">
      <c r="A493" s="31" t="str">
        <f t="shared" si="38"/>
        <v>lt002_instrumentrsk_mtgtd_ccp</v>
      </c>
      <c r="B493" s="76" t="s">
        <v>28</v>
      </c>
      <c r="C493" s="77" t="s">
        <v>28</v>
      </c>
      <c r="D493" s="73" t="s">
        <v>40</v>
      </c>
      <c r="E493" s="79" t="s">
        <v>367</v>
      </c>
      <c r="F493" s="80" t="s">
        <v>369</v>
      </c>
      <c r="G493" s="73" t="str">
        <f>INDEX(Auxiliar!$B$16:$B$23,MATCH(Plano_V1!H493,Auxiliar!$C$16:$C$23,0),1)</f>
        <v>7. Por iniciar</v>
      </c>
      <c r="H493" s="73">
        <f>VLOOKUP(A493,'Aux - pivots1'!$A:$B,2,0)</f>
        <v>7</v>
      </c>
      <c r="I493" s="93">
        <f>SUMIFS(Table1[Estimação (horas)],Table1[Tabela],Plano_V1!E493,Table1[Campo],Plano_V1!F493)</f>
        <v>4.0999999999999996</v>
      </c>
      <c r="J493" s="93">
        <f t="shared" si="37"/>
        <v>0.51249999999999996</v>
      </c>
      <c r="K493" s="98" t="s">
        <v>39</v>
      </c>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100"/>
      <c r="AU493" s="87"/>
      <c r="AV493" s="87"/>
      <c r="AW493" s="87"/>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100"/>
      <c r="EJ493" s="100"/>
      <c r="EK493" s="100"/>
      <c r="EL493" s="100"/>
      <c r="EM493" s="100"/>
      <c r="EN493" s="100"/>
      <c r="EO493" s="100"/>
      <c r="EP493" s="87"/>
      <c r="EQ493" s="87"/>
      <c r="ER493" s="87"/>
      <c r="ES493" s="87"/>
      <c r="ET493" s="87"/>
      <c r="EU493" s="87"/>
      <c r="EV493" s="87"/>
      <c r="EW493" s="87"/>
      <c r="EX493" s="87"/>
      <c r="EY493" s="87"/>
      <c r="EZ493" s="87"/>
      <c r="FA493" s="87"/>
      <c r="FB493" s="87"/>
      <c r="FC493" s="87"/>
      <c r="FD493" s="87"/>
      <c r="FE493" s="87"/>
      <c r="FF493" s="87"/>
      <c r="FG493" s="87"/>
      <c r="FH493" s="87"/>
      <c r="FI493" s="87"/>
      <c r="FJ493" s="87"/>
      <c r="FK493" s="87"/>
    </row>
    <row r="494" spans="1:167" hidden="1" outlineLevel="1">
      <c r="A494" s="31" t="str">
        <f t="shared" si="38"/>
        <v>lt002_instrumentenvrnmntl_objctv</v>
      </c>
      <c r="B494" s="76" t="s">
        <v>28</v>
      </c>
      <c r="C494" s="77" t="s">
        <v>28</v>
      </c>
      <c r="D494" s="73" t="s">
        <v>40</v>
      </c>
      <c r="E494" s="79" t="s">
        <v>367</v>
      </c>
      <c r="F494" s="80" t="s">
        <v>370</v>
      </c>
      <c r="G494" s="73" t="str">
        <f>INDEX(Auxiliar!$B$16:$B$23,MATCH(Plano_V1!H494,Auxiliar!$C$16:$C$23,0),1)</f>
        <v>7. Por iniciar</v>
      </c>
      <c r="H494" s="73">
        <f>VLOOKUP(A494,'Aux - pivots1'!$A:$B,2,0)</f>
        <v>7</v>
      </c>
      <c r="I494" s="93">
        <f>SUMIFS(Table1[Estimação (horas)],Table1[Tabela],Plano_V1!E494,Table1[Campo],Plano_V1!F494)</f>
        <v>4.0999999999999996</v>
      </c>
      <c r="J494" s="93">
        <f t="shared" si="37"/>
        <v>0.51249999999999996</v>
      </c>
      <c r="K494" s="98" t="s">
        <v>39</v>
      </c>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100"/>
      <c r="AU494" s="87"/>
      <c r="AV494" s="87"/>
      <c r="AW494" s="87"/>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100"/>
      <c r="EJ494" s="100"/>
      <c r="EK494" s="100"/>
      <c r="EL494" s="100"/>
      <c r="EM494" s="100"/>
      <c r="EN494" s="100"/>
      <c r="EO494" s="100"/>
      <c r="EP494" s="87"/>
      <c r="EQ494" s="87"/>
      <c r="ER494" s="87"/>
      <c r="ES494" s="87"/>
      <c r="ET494" s="87"/>
      <c r="EU494" s="87"/>
      <c r="EV494" s="87"/>
      <c r="EW494" s="87"/>
      <c r="EX494" s="87"/>
      <c r="EY494" s="87"/>
      <c r="EZ494" s="87"/>
      <c r="FA494" s="87"/>
      <c r="FB494" s="87"/>
      <c r="FC494" s="87"/>
      <c r="FD494" s="87"/>
      <c r="FE494" s="87"/>
      <c r="FF494" s="87"/>
      <c r="FG494" s="87"/>
      <c r="FH494" s="87"/>
      <c r="FI494" s="87"/>
      <c r="FJ494" s="87"/>
      <c r="FK494" s="87"/>
    </row>
    <row r="495" spans="1:167" hidden="1" outlineLevel="1">
      <c r="A495" s="31" t="str">
        <f t="shared" si="38"/>
        <v>lt002_instrumenttyp_actvty</v>
      </c>
      <c r="B495" s="76" t="s">
        <v>28</v>
      </c>
      <c r="C495" s="77" t="s">
        <v>28</v>
      </c>
      <c r="D495" s="73" t="s">
        <v>40</v>
      </c>
      <c r="E495" s="79" t="s">
        <v>367</v>
      </c>
      <c r="F495" s="80" t="s">
        <v>371</v>
      </c>
      <c r="G495" s="73" t="str">
        <f>INDEX(Auxiliar!$B$16:$B$23,MATCH(Plano_V1!H495,Auxiliar!$C$16:$C$23,0),1)</f>
        <v>7. Por iniciar</v>
      </c>
      <c r="H495" s="73">
        <f>VLOOKUP(A495,'Aux - pivots1'!$A:$B,2,0)</f>
        <v>7</v>
      </c>
      <c r="I495" s="93">
        <f>SUMIFS(Table1[Estimação (horas)],Table1[Tabela],Plano_V1!E495,Table1[Campo],Plano_V1!F495)</f>
        <v>4.0999999999999996</v>
      </c>
      <c r="J495" s="93">
        <f t="shared" si="37"/>
        <v>0.51249999999999996</v>
      </c>
      <c r="K495" s="98" t="s">
        <v>39</v>
      </c>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100"/>
      <c r="AU495" s="87"/>
      <c r="AV495" s="87"/>
      <c r="AW495" s="87"/>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100"/>
      <c r="EJ495" s="100"/>
      <c r="EK495" s="100"/>
      <c r="EL495" s="100"/>
      <c r="EM495" s="100"/>
      <c r="EN495" s="100"/>
      <c r="EO495" s="100"/>
      <c r="EP495" s="87"/>
      <c r="EQ495" s="87"/>
      <c r="ER495" s="87"/>
      <c r="ES495" s="87"/>
      <c r="ET495" s="87"/>
      <c r="EU495" s="87"/>
      <c r="EV495" s="87"/>
      <c r="EW495" s="87"/>
      <c r="EX495" s="87"/>
      <c r="EY495" s="87"/>
      <c r="EZ495" s="87"/>
      <c r="FA495" s="87"/>
      <c r="FB495" s="87"/>
      <c r="FC495" s="87"/>
      <c r="FD495" s="87"/>
      <c r="FE495" s="87"/>
      <c r="FF495" s="87"/>
      <c r="FG495" s="87"/>
      <c r="FH495" s="87"/>
      <c r="FI495" s="87"/>
      <c r="FJ495" s="87"/>
      <c r="FK495" s="87"/>
    </row>
    <row r="496" spans="1:167" hidden="1" outlineLevel="1">
      <c r="A496" s="31" t="str">
        <f t="shared" si="38"/>
        <v>lt002_instrumentlns_clltrlzd_clssfctn</v>
      </c>
      <c r="B496" s="76" t="s">
        <v>28</v>
      </c>
      <c r="C496" s="77" t="s">
        <v>28</v>
      </c>
      <c r="D496" s="73" t="s">
        <v>40</v>
      </c>
      <c r="E496" s="79" t="s">
        <v>367</v>
      </c>
      <c r="F496" s="80" t="s">
        <v>372</v>
      </c>
      <c r="G496" s="73" t="str">
        <f>INDEX(Auxiliar!$B$16:$B$23,MATCH(Plano_V1!H496,Auxiliar!$C$16:$C$23,0),1)</f>
        <v>7. Por iniciar</v>
      </c>
      <c r="H496" s="73">
        <f>VLOOKUP(A496,'Aux - pivots1'!$A:$B,2,0)</f>
        <v>7</v>
      </c>
      <c r="I496" s="93">
        <f>SUMIFS(Table1[Estimação (horas)],Table1[Tabela],Plano_V1!E496,Table1[Campo],Plano_V1!F496)</f>
        <v>4.0999999999999996</v>
      </c>
      <c r="J496" s="93">
        <f t="shared" si="37"/>
        <v>0.51249999999999996</v>
      </c>
      <c r="K496" s="98" t="s">
        <v>39</v>
      </c>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100"/>
      <c r="AU496" s="87"/>
      <c r="AV496" s="87"/>
      <c r="AW496" s="87"/>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100"/>
      <c r="EJ496" s="100"/>
      <c r="EK496" s="100"/>
      <c r="EL496" s="100"/>
      <c r="EM496" s="100"/>
      <c r="EN496" s="100"/>
      <c r="EO496" s="100"/>
      <c r="EP496" s="87"/>
      <c r="EQ496" s="87"/>
      <c r="ER496" s="87"/>
      <c r="ES496" s="87"/>
      <c r="ET496" s="87"/>
      <c r="EU496" s="87"/>
      <c r="EV496" s="87"/>
      <c r="EW496" s="87"/>
      <c r="EX496" s="87"/>
      <c r="EY496" s="87"/>
      <c r="EZ496" s="87"/>
      <c r="FA496" s="87"/>
      <c r="FB496" s="87"/>
      <c r="FC496" s="87"/>
      <c r="FD496" s="87"/>
      <c r="FE496" s="87"/>
      <c r="FF496" s="87"/>
      <c r="FG496" s="87"/>
      <c r="FH496" s="87"/>
      <c r="FI496" s="87"/>
      <c r="FJ496" s="87"/>
      <c r="FK496" s="87"/>
    </row>
    <row r="497" spans="1:167" hidden="1" outlineLevel="1">
      <c r="A497" s="31" t="str">
        <f t="shared" si="38"/>
        <v>lt002_instrumentmthd_usd_instrmnt_scp_1</v>
      </c>
      <c r="B497" s="76" t="s">
        <v>28</v>
      </c>
      <c r="C497" s="77" t="s">
        <v>28</v>
      </c>
      <c r="D497" s="73" t="s">
        <v>40</v>
      </c>
      <c r="E497" s="79" t="s">
        <v>367</v>
      </c>
      <c r="F497" s="80" t="s">
        <v>373</v>
      </c>
      <c r="G497" s="73" t="str">
        <f>INDEX(Auxiliar!$B$16:$B$23,MATCH(Plano_V1!H497,Auxiliar!$C$16:$C$23,0),1)</f>
        <v>7. Por iniciar</v>
      </c>
      <c r="H497" s="73">
        <f>VLOOKUP(A497,'Aux - pivots1'!$A:$B,2,0)</f>
        <v>7</v>
      </c>
      <c r="I497" s="93">
        <f>SUMIFS(Table1[Estimação (horas)],Table1[Tabela],Plano_V1!E497,Table1[Campo],Plano_V1!F497)</f>
        <v>4.0999999999999996</v>
      </c>
      <c r="J497" s="93">
        <f t="shared" si="37"/>
        <v>0.51249999999999996</v>
      </c>
      <c r="K497" s="98" t="s">
        <v>39</v>
      </c>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100"/>
      <c r="AU497" s="87"/>
      <c r="AV497" s="87"/>
      <c r="AW497" s="87"/>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100"/>
      <c r="EJ497" s="100"/>
      <c r="EK497" s="100"/>
      <c r="EL497" s="100"/>
      <c r="EM497" s="100"/>
      <c r="EN497" s="100"/>
      <c r="EO497" s="100"/>
      <c r="EP497" s="87"/>
      <c r="EQ497" s="87"/>
      <c r="ER497" s="87"/>
      <c r="ES497" s="87"/>
      <c r="ET497" s="87"/>
      <c r="EU497" s="87"/>
      <c r="EV497" s="87"/>
      <c r="EW497" s="87"/>
      <c r="EX497" s="87"/>
      <c r="EY497" s="87"/>
      <c r="EZ497" s="87"/>
      <c r="FA497" s="87"/>
      <c r="FB497" s="87"/>
      <c r="FC497" s="87"/>
      <c r="FD497" s="87"/>
      <c r="FE497" s="87"/>
      <c r="FF497" s="87"/>
      <c r="FG497" s="87"/>
      <c r="FH497" s="87"/>
      <c r="FI497" s="87"/>
      <c r="FJ497" s="87"/>
      <c r="FK497" s="87"/>
    </row>
    <row r="498" spans="1:167" hidden="1" outlineLevel="1">
      <c r="A498" s="31" t="str">
        <f t="shared" si="38"/>
        <v>lt002_instrumentmthd_usd_instrmnt_scp_2</v>
      </c>
      <c r="B498" s="76" t="s">
        <v>28</v>
      </c>
      <c r="C498" s="77" t="s">
        <v>28</v>
      </c>
      <c r="D498" s="73" t="s">
        <v>40</v>
      </c>
      <c r="E498" s="79" t="s">
        <v>367</v>
      </c>
      <c r="F498" s="80" t="s">
        <v>374</v>
      </c>
      <c r="G498" s="73" t="str">
        <f>INDEX(Auxiliar!$B$16:$B$23,MATCH(Plano_V1!H498,Auxiliar!$C$16:$C$23,0),1)</f>
        <v>7. Por iniciar</v>
      </c>
      <c r="H498" s="73">
        <f>VLOOKUP(A498,'Aux - pivots1'!$A:$B,2,0)</f>
        <v>7</v>
      </c>
      <c r="I498" s="93">
        <f>SUMIFS(Table1[Estimação (horas)],Table1[Tabela],Plano_V1!E498,Table1[Campo],Plano_V1!F498)</f>
        <v>4.0999999999999996</v>
      </c>
      <c r="J498" s="93">
        <f t="shared" si="37"/>
        <v>0.51249999999999996</v>
      </c>
      <c r="K498" s="98" t="s">
        <v>39</v>
      </c>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100"/>
      <c r="AU498" s="87"/>
      <c r="AV498" s="87"/>
      <c r="AW498" s="87"/>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100"/>
      <c r="EJ498" s="100"/>
      <c r="EK498" s="100"/>
      <c r="EL498" s="100"/>
      <c r="EM498" s="100"/>
      <c r="EN498" s="100"/>
      <c r="EO498" s="100"/>
      <c r="EP498" s="87"/>
      <c r="EQ498" s="87"/>
      <c r="ER498" s="87"/>
      <c r="ES498" s="87"/>
      <c r="ET498" s="87"/>
      <c r="EU498" s="87"/>
      <c r="EV498" s="87"/>
      <c r="EW498" s="87"/>
      <c r="EX498" s="87"/>
      <c r="EY498" s="87"/>
      <c r="EZ498" s="87"/>
      <c r="FA498" s="87"/>
      <c r="FB498" s="87"/>
      <c r="FC498" s="87"/>
      <c r="FD498" s="87"/>
      <c r="FE498" s="87"/>
      <c r="FF498" s="87"/>
      <c r="FG498" s="87"/>
      <c r="FH498" s="87"/>
      <c r="FI498" s="87"/>
      <c r="FJ498" s="87"/>
      <c r="FK498" s="87"/>
    </row>
    <row r="499" spans="1:167" hidden="1" outlineLevel="1">
      <c r="A499" s="31" t="str">
        <f t="shared" si="38"/>
        <v>lt002_instrumentmthd_usd_instrmnt_scp_3</v>
      </c>
      <c r="B499" s="76" t="s">
        <v>28</v>
      </c>
      <c r="C499" s="77" t="s">
        <v>28</v>
      </c>
      <c r="D499" s="73" t="s">
        <v>40</v>
      </c>
      <c r="E499" s="79" t="s">
        <v>367</v>
      </c>
      <c r="F499" s="80" t="s">
        <v>375</v>
      </c>
      <c r="G499" s="73" t="str">
        <f>INDEX(Auxiliar!$B$16:$B$23,MATCH(Plano_V1!H499,Auxiliar!$C$16:$C$23,0),1)</f>
        <v>7. Por iniciar</v>
      </c>
      <c r="H499" s="73">
        <f>VLOOKUP(A499,'Aux - pivots1'!$A:$B,2,0)</f>
        <v>7</v>
      </c>
      <c r="I499" s="93">
        <f>SUMIFS(Table1[Estimação (horas)],Table1[Tabela],Plano_V1!E499,Table1[Campo],Plano_V1!F499)</f>
        <v>4.0999999999999996</v>
      </c>
      <c r="J499" s="93">
        <f t="shared" si="37"/>
        <v>0.51249999999999996</v>
      </c>
      <c r="K499" s="98" t="s">
        <v>39</v>
      </c>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100"/>
      <c r="AU499" s="87"/>
      <c r="AV499" s="87"/>
      <c r="AW499" s="87"/>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100"/>
      <c r="EJ499" s="100"/>
      <c r="EK499" s="100"/>
      <c r="EL499" s="100"/>
      <c r="EM499" s="100"/>
      <c r="EN499" s="100"/>
      <c r="EO499" s="100"/>
      <c r="EP499" s="87"/>
      <c r="EQ499" s="87"/>
      <c r="ER499" s="87"/>
      <c r="ES499" s="87"/>
      <c r="ET499" s="87"/>
      <c r="EU499" s="87"/>
      <c r="EV499" s="87"/>
      <c r="EW499" s="87"/>
      <c r="EX499" s="87"/>
      <c r="EY499" s="87"/>
      <c r="EZ499" s="87"/>
      <c r="FA499" s="87"/>
      <c r="FB499" s="87"/>
      <c r="FC499" s="87"/>
      <c r="FD499" s="87"/>
      <c r="FE499" s="87"/>
      <c r="FF499" s="87"/>
      <c r="FG499" s="87"/>
      <c r="FH499" s="87"/>
      <c r="FI499" s="87"/>
      <c r="FJ499" s="87"/>
      <c r="FK499" s="87"/>
    </row>
    <row r="500" spans="1:167" hidden="1" outlineLevel="1">
      <c r="A500" s="31" t="str">
        <f t="shared" si="38"/>
        <v>lt002_instrumentsstnbl_ctgry_txnmy</v>
      </c>
      <c r="B500" s="76" t="s">
        <v>28</v>
      </c>
      <c r="C500" s="77" t="s">
        <v>28</v>
      </c>
      <c r="D500" s="73" t="s">
        <v>40</v>
      </c>
      <c r="E500" s="79" t="s">
        <v>367</v>
      </c>
      <c r="F500" s="80" t="s">
        <v>376</v>
      </c>
      <c r="G500" s="73" t="str">
        <f>INDEX(Auxiliar!$B$16:$B$23,MATCH(Plano_V1!H500,Auxiliar!$C$16:$C$23,0),1)</f>
        <v>7. Por iniciar</v>
      </c>
      <c r="H500" s="73">
        <f>VLOOKUP(A500,'Aux - pivots1'!$A:$B,2,0)</f>
        <v>7</v>
      </c>
      <c r="I500" s="93">
        <f>SUMIFS(Table1[Estimação (horas)],Table1[Tabela],Plano_V1!E500,Table1[Campo],Plano_V1!F500)</f>
        <v>4.0999999999999996</v>
      </c>
      <c r="J500" s="93">
        <f t="shared" si="37"/>
        <v>0.51249999999999996</v>
      </c>
      <c r="K500" s="98" t="s">
        <v>39</v>
      </c>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100"/>
      <c r="AU500" s="87"/>
      <c r="AV500" s="87"/>
      <c r="AW500" s="87"/>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100"/>
      <c r="EJ500" s="100"/>
      <c r="EK500" s="100"/>
      <c r="EL500" s="100"/>
      <c r="EM500" s="100"/>
      <c r="EN500" s="100"/>
      <c r="EO500" s="100"/>
      <c r="EP500" s="87"/>
      <c r="EQ500" s="87"/>
      <c r="ER500" s="87"/>
      <c r="ES500" s="87"/>
      <c r="ET500" s="87"/>
      <c r="EU500" s="87"/>
      <c r="EV500" s="87"/>
      <c r="EW500" s="87"/>
      <c r="EX500" s="87"/>
      <c r="EY500" s="87"/>
      <c r="EZ500" s="87"/>
      <c r="FA500" s="87"/>
      <c r="FB500" s="87"/>
      <c r="FC500" s="87"/>
      <c r="FD500" s="87"/>
      <c r="FE500" s="87"/>
      <c r="FF500" s="87"/>
      <c r="FG500" s="87"/>
      <c r="FH500" s="87"/>
      <c r="FI500" s="87"/>
      <c r="FJ500" s="87"/>
      <c r="FK500" s="87"/>
    </row>
    <row r="501" spans="1:167" hidden="1" outlineLevel="1">
      <c r="A501" s="31" t="str">
        <f t="shared" si="38"/>
        <v>lt825_mthd_usd_instrmntambito</v>
      </c>
      <c r="B501" s="76" t="s">
        <v>28</v>
      </c>
      <c r="C501" s="77" t="s">
        <v>28</v>
      </c>
      <c r="D501" s="73" t="s">
        <v>40</v>
      </c>
      <c r="E501" s="79" t="s">
        <v>377</v>
      </c>
      <c r="F501" s="81" t="s">
        <v>378</v>
      </c>
      <c r="G501" s="73" t="str">
        <f>INDEX(Auxiliar!$B$16:$B$23,MATCH(Plano_V1!H501,Auxiliar!$C$16:$C$23,0),1)</f>
        <v>7. Por iniciar</v>
      </c>
      <c r="H501" s="73">
        <f>VLOOKUP(A501,'Aux - pivots1'!$A:$B,2,0)</f>
        <v>7</v>
      </c>
      <c r="I501" s="93">
        <f>SUMIFS(Table1[Estimação (horas)],Table1[Tabela],Plano_V1!E501,Table1[Campo],Plano_V1!F501)</f>
        <v>4.0999999999999996</v>
      </c>
      <c r="J501" s="93">
        <f t="shared" si="37"/>
        <v>0.51249999999999996</v>
      </c>
      <c r="K501" s="98" t="s">
        <v>39</v>
      </c>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100"/>
      <c r="AU501" s="87"/>
      <c r="AV501" s="87"/>
      <c r="AW501" s="87"/>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100"/>
      <c r="EJ501" s="100"/>
      <c r="EK501" s="100"/>
      <c r="EL501" s="100"/>
      <c r="EM501" s="100"/>
      <c r="EN501" s="100"/>
      <c r="EO501" s="100"/>
      <c r="EP501" s="87"/>
      <c r="EQ501" s="87"/>
      <c r="ER501" s="87"/>
      <c r="ES501" s="87"/>
      <c r="ET501" s="87"/>
      <c r="EU501" s="87"/>
      <c r="EV501" s="87"/>
      <c r="EW501" s="87"/>
      <c r="EX501" s="87"/>
      <c r="EY501" s="87"/>
      <c r="EZ501" s="87"/>
      <c r="FA501" s="87"/>
      <c r="FB501" s="87"/>
      <c r="FC501" s="87"/>
      <c r="FD501" s="87"/>
      <c r="FE501" s="87"/>
      <c r="FF501" s="87"/>
      <c r="FG501" s="87"/>
      <c r="FH501" s="87"/>
      <c r="FI501" s="87"/>
      <c r="FJ501" s="87"/>
      <c r="FK501" s="87"/>
    </row>
    <row r="502" spans="1:167" hidden="1" outlineLevel="1">
      <c r="A502" s="31" t="str">
        <f t="shared" si="38"/>
        <v>lt825_mthd_usd_instrmntref_date</v>
      </c>
      <c r="B502" s="76" t="s">
        <v>28</v>
      </c>
      <c r="C502" s="77" t="s">
        <v>28</v>
      </c>
      <c r="D502" s="73" t="s">
        <v>40</v>
      </c>
      <c r="E502" s="79" t="s">
        <v>377</v>
      </c>
      <c r="F502" s="81" t="s">
        <v>73</v>
      </c>
      <c r="G502" s="73" t="str">
        <f>INDEX(Auxiliar!$B$16:$B$23,MATCH(Plano_V1!H502,Auxiliar!$C$16:$C$23,0),1)</f>
        <v>7. Por iniciar</v>
      </c>
      <c r="H502" s="73">
        <f>VLOOKUP(A502,'Aux - pivots1'!$A:$B,2,0)</f>
        <v>7</v>
      </c>
      <c r="I502" s="93">
        <f>SUMIFS(Table1[Estimação (horas)],Table1[Tabela],Plano_V1!E502,Table1[Campo],Plano_V1!F502)</f>
        <v>4.0999999999999996</v>
      </c>
      <c r="J502" s="93">
        <f t="shared" si="37"/>
        <v>0.51249999999999996</v>
      </c>
      <c r="K502" s="98" t="s">
        <v>39</v>
      </c>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100"/>
      <c r="AU502" s="87"/>
      <c r="AV502" s="87"/>
      <c r="AW502" s="87"/>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100"/>
      <c r="EJ502" s="100"/>
      <c r="EK502" s="100"/>
      <c r="EL502" s="100"/>
      <c r="EM502" s="100"/>
      <c r="EN502" s="100"/>
      <c r="EO502" s="100"/>
      <c r="EP502" s="87"/>
      <c r="EQ502" s="87"/>
      <c r="ER502" s="87"/>
      <c r="ES502" s="87"/>
      <c r="ET502" s="87"/>
      <c r="EU502" s="87"/>
      <c r="EV502" s="87"/>
      <c r="EW502" s="87"/>
      <c r="EX502" s="87"/>
      <c r="EY502" s="87"/>
      <c r="EZ502" s="87"/>
      <c r="FA502" s="87"/>
      <c r="FB502" s="87"/>
      <c r="FC502" s="87"/>
      <c r="FD502" s="87"/>
      <c r="FE502" s="87"/>
      <c r="FF502" s="87"/>
      <c r="FG502" s="87"/>
      <c r="FH502" s="87"/>
      <c r="FI502" s="87"/>
      <c r="FJ502" s="87"/>
      <c r="FK502" s="87"/>
    </row>
    <row r="503" spans="1:167" hidden="1" outlineLevel="1">
      <c r="A503" s="31" t="str">
        <f t="shared" si="38"/>
        <v>lt825_mthd_usd_instrmntordem</v>
      </c>
      <c r="B503" s="76" t="s">
        <v>28</v>
      </c>
      <c r="C503" s="77" t="s">
        <v>28</v>
      </c>
      <c r="D503" s="73" t="s">
        <v>40</v>
      </c>
      <c r="E503" s="79" t="s">
        <v>377</v>
      </c>
      <c r="F503" s="81" t="s">
        <v>322</v>
      </c>
      <c r="G503" s="73" t="str">
        <f>INDEX(Auxiliar!$B$16:$B$23,MATCH(Plano_V1!H503,Auxiliar!$C$16:$C$23,0),1)</f>
        <v>7. Por iniciar</v>
      </c>
      <c r="H503" s="73">
        <f>VLOOKUP(A503,'Aux - pivots1'!$A:$B,2,0)</f>
        <v>7</v>
      </c>
      <c r="I503" s="93">
        <f>SUMIFS(Table1[Estimação (horas)],Table1[Tabela],Plano_V1!E503,Table1[Campo],Plano_V1!F503)</f>
        <v>4.0999999999999996</v>
      </c>
      <c r="J503" s="93">
        <f t="shared" si="37"/>
        <v>0.51249999999999996</v>
      </c>
      <c r="K503" s="98" t="s">
        <v>39</v>
      </c>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100"/>
      <c r="AU503" s="87"/>
      <c r="AV503" s="87"/>
      <c r="AW503" s="87"/>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100"/>
      <c r="EJ503" s="100"/>
      <c r="EK503" s="100"/>
      <c r="EL503" s="100"/>
      <c r="EM503" s="100"/>
      <c r="EN503" s="100"/>
      <c r="EO503" s="100"/>
      <c r="EP503" s="87"/>
      <c r="EQ503" s="87"/>
      <c r="ER503" s="87"/>
      <c r="ES503" s="87"/>
      <c r="ET503" s="87"/>
      <c r="EU503" s="87"/>
      <c r="EV503" s="87"/>
      <c r="EW503" s="87"/>
      <c r="EX503" s="87"/>
      <c r="EY503" s="87"/>
      <c r="EZ503" s="87"/>
      <c r="FA503" s="87"/>
      <c r="FB503" s="87"/>
      <c r="FC503" s="87"/>
      <c r="FD503" s="87"/>
      <c r="FE503" s="87"/>
      <c r="FF503" s="87"/>
      <c r="FG503" s="87"/>
      <c r="FH503" s="87"/>
      <c r="FI503" s="87"/>
      <c r="FJ503" s="87"/>
      <c r="FK503" s="87"/>
    </row>
    <row r="504" spans="1:167" hidden="1" outlineLevel="1">
      <c r="A504" s="31" t="str">
        <f t="shared" si="38"/>
        <v>lt825_mthd_usd_instrmnttabela</v>
      </c>
      <c r="B504" s="76" t="s">
        <v>28</v>
      </c>
      <c r="C504" s="77" t="s">
        <v>28</v>
      </c>
      <c r="D504" s="73" t="s">
        <v>40</v>
      </c>
      <c r="E504" s="79" t="s">
        <v>377</v>
      </c>
      <c r="F504" s="81" t="s">
        <v>379</v>
      </c>
      <c r="G504" s="73" t="str">
        <f>INDEX(Auxiliar!$B$16:$B$23,MATCH(Plano_V1!H504,Auxiliar!$C$16:$C$23,0),1)</f>
        <v>7. Por iniciar</v>
      </c>
      <c r="H504" s="73">
        <f>VLOOKUP(A504,'Aux - pivots1'!$A:$B,2,0)</f>
        <v>7</v>
      </c>
      <c r="I504" s="93">
        <f>SUMIFS(Table1[Estimação (horas)],Table1[Tabela],Plano_V1!E504,Table1[Campo],Plano_V1!F504)</f>
        <v>4.0999999999999996</v>
      </c>
      <c r="J504" s="93">
        <f t="shared" si="37"/>
        <v>0.51249999999999996</v>
      </c>
      <c r="K504" s="98" t="s">
        <v>39</v>
      </c>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100"/>
      <c r="AU504" s="87"/>
      <c r="AV504" s="87"/>
      <c r="AW504" s="87"/>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100"/>
      <c r="EJ504" s="100"/>
      <c r="EK504" s="100"/>
      <c r="EL504" s="100"/>
      <c r="EM504" s="100"/>
      <c r="EN504" s="100"/>
      <c r="EO504" s="100"/>
      <c r="EP504" s="87"/>
      <c r="EQ504" s="87"/>
      <c r="ER504" s="87"/>
      <c r="ES504" s="87"/>
      <c r="ET504" s="87"/>
      <c r="EU504" s="87"/>
      <c r="EV504" s="87"/>
      <c r="EW504" s="87"/>
      <c r="EX504" s="87"/>
      <c r="EY504" s="87"/>
      <c r="EZ504" s="87"/>
      <c r="FA504" s="87"/>
      <c r="FB504" s="87"/>
      <c r="FC504" s="87"/>
      <c r="FD504" s="87"/>
      <c r="FE504" s="87"/>
      <c r="FF504" s="87"/>
      <c r="FG504" s="87"/>
      <c r="FH504" s="87"/>
      <c r="FI504" s="87"/>
      <c r="FJ504" s="87"/>
      <c r="FK504" s="87"/>
    </row>
    <row r="505" spans="1:167" hidden="1" outlineLevel="1">
      <c r="A505" s="31" t="str">
        <f t="shared" si="38"/>
        <v>lt825_mthd_usd_instrmntorigem_scp1_emss</v>
      </c>
      <c r="B505" s="76" t="s">
        <v>28</v>
      </c>
      <c r="C505" s="77" t="s">
        <v>28</v>
      </c>
      <c r="D505" s="73" t="s">
        <v>40</v>
      </c>
      <c r="E505" s="79" t="s">
        <v>377</v>
      </c>
      <c r="F505" s="80" t="s">
        <v>306</v>
      </c>
      <c r="G505" s="73" t="str">
        <f>INDEX(Auxiliar!$B$16:$B$23,MATCH(Plano_V1!H505,Auxiliar!$C$16:$C$23,0),1)</f>
        <v>7. Por iniciar</v>
      </c>
      <c r="H505" s="73">
        <f>VLOOKUP(A505,'Aux - pivots1'!$A:$B,2,0)</f>
        <v>7</v>
      </c>
      <c r="I505" s="93">
        <f>SUMIFS(Table1[Estimação (horas)],Table1[Tabela],Plano_V1!E505,Table1[Campo],Plano_V1!F505)</f>
        <v>4.0999999999999996</v>
      </c>
      <c r="J505" s="93">
        <f t="shared" si="37"/>
        <v>0.51249999999999996</v>
      </c>
      <c r="K505" s="98" t="s">
        <v>39</v>
      </c>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100"/>
      <c r="AU505" s="87"/>
      <c r="AV505" s="87"/>
      <c r="AW505" s="87"/>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100"/>
      <c r="EJ505" s="100"/>
      <c r="EK505" s="100"/>
      <c r="EL505" s="100"/>
      <c r="EM505" s="100"/>
      <c r="EN505" s="100"/>
      <c r="EO505" s="100"/>
      <c r="EP505" s="87"/>
      <c r="EQ505" s="87"/>
      <c r="ER505" s="87"/>
      <c r="ES505" s="87"/>
      <c r="ET505" s="87"/>
      <c r="EU505" s="87"/>
      <c r="EV505" s="87"/>
      <c r="EW505" s="87"/>
      <c r="EX505" s="87"/>
      <c r="EY505" s="87"/>
      <c r="EZ505" s="87"/>
      <c r="FA505" s="87"/>
      <c r="FB505" s="87"/>
      <c r="FC505" s="87"/>
      <c r="FD505" s="87"/>
      <c r="FE505" s="87"/>
      <c r="FF505" s="87"/>
      <c r="FG505" s="87"/>
      <c r="FH505" s="87"/>
      <c r="FI505" s="87"/>
      <c r="FJ505" s="87"/>
      <c r="FK505" s="87"/>
    </row>
    <row r="506" spans="1:167" hidden="1" outlineLevel="1">
      <c r="A506" s="31" t="str">
        <f t="shared" si="38"/>
        <v>lt825_mthd_usd_instrmntorigem_scp2_emss</v>
      </c>
      <c r="B506" s="76" t="s">
        <v>28</v>
      </c>
      <c r="C506" s="77" t="s">
        <v>28</v>
      </c>
      <c r="D506" s="73" t="s">
        <v>40</v>
      </c>
      <c r="E506" s="79" t="s">
        <v>377</v>
      </c>
      <c r="F506" s="80" t="s">
        <v>307</v>
      </c>
      <c r="G506" s="73" t="str">
        <f>INDEX(Auxiliar!$B$16:$B$23,MATCH(Plano_V1!H506,Auxiliar!$C$16:$C$23,0),1)</f>
        <v>7. Por iniciar</v>
      </c>
      <c r="H506" s="73">
        <f>VLOOKUP(A506,'Aux - pivots1'!$A:$B,2,0)</f>
        <v>7</v>
      </c>
      <c r="I506" s="93">
        <f>SUMIFS(Table1[Estimação (horas)],Table1[Tabela],Plano_V1!E506,Table1[Campo],Plano_V1!F506)</f>
        <v>4.0999999999999996</v>
      </c>
      <c r="J506" s="93">
        <f t="shared" si="37"/>
        <v>0.51249999999999996</v>
      </c>
      <c r="K506" s="98" t="s">
        <v>39</v>
      </c>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100"/>
      <c r="AU506" s="87"/>
      <c r="AV506" s="87"/>
      <c r="AW506" s="87"/>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100"/>
      <c r="EJ506" s="100"/>
      <c r="EK506" s="100"/>
      <c r="EL506" s="100"/>
      <c r="EM506" s="100"/>
      <c r="EN506" s="100"/>
      <c r="EO506" s="100"/>
      <c r="EP506" s="87"/>
      <c r="EQ506" s="87"/>
      <c r="ER506" s="87"/>
      <c r="ES506" s="87"/>
      <c r="ET506" s="87"/>
      <c r="EU506" s="87"/>
      <c r="EV506" s="87"/>
      <c r="EW506" s="87"/>
      <c r="EX506" s="87"/>
      <c r="EY506" s="87"/>
      <c r="EZ506" s="87"/>
      <c r="FA506" s="87"/>
      <c r="FB506" s="87"/>
      <c r="FC506" s="87"/>
      <c r="FD506" s="87"/>
      <c r="FE506" s="87"/>
      <c r="FF506" s="87"/>
      <c r="FG506" s="87"/>
      <c r="FH506" s="87"/>
      <c r="FI506" s="87"/>
      <c r="FJ506" s="87"/>
      <c r="FK506" s="87"/>
    </row>
    <row r="507" spans="1:167" hidden="1" outlineLevel="1">
      <c r="A507" s="31" t="str">
        <f t="shared" si="38"/>
        <v>lt825_mthd_usd_instrmntorigem_scp3_emss</v>
      </c>
      <c r="B507" s="76" t="s">
        <v>28</v>
      </c>
      <c r="C507" s="77" t="s">
        <v>28</v>
      </c>
      <c r="D507" s="73" t="s">
        <v>40</v>
      </c>
      <c r="E507" s="79" t="s">
        <v>377</v>
      </c>
      <c r="F507" s="80" t="s">
        <v>308</v>
      </c>
      <c r="G507" s="73" t="str">
        <f>INDEX(Auxiliar!$B$16:$B$23,MATCH(Plano_V1!H507,Auxiliar!$C$16:$C$23,0),1)</f>
        <v>7. Por iniciar</v>
      </c>
      <c r="H507" s="73">
        <f>VLOOKUP(A507,'Aux - pivots1'!$A:$B,2,0)</f>
        <v>7</v>
      </c>
      <c r="I507" s="93">
        <f>SUMIFS(Table1[Estimação (horas)],Table1[Tabela],Plano_V1!E507,Table1[Campo],Plano_V1!F507)</f>
        <v>4.0999999999999996</v>
      </c>
      <c r="J507" s="93">
        <f t="shared" si="37"/>
        <v>0.51249999999999996</v>
      </c>
      <c r="K507" s="98" t="s">
        <v>39</v>
      </c>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100"/>
      <c r="AU507" s="87"/>
      <c r="AV507" s="87"/>
      <c r="AW507" s="87"/>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100"/>
      <c r="EJ507" s="100"/>
      <c r="EK507" s="100"/>
      <c r="EL507" s="100"/>
      <c r="EM507" s="100"/>
      <c r="EN507" s="100"/>
      <c r="EO507" s="100"/>
      <c r="EP507" s="87"/>
      <c r="EQ507" s="87"/>
      <c r="ER507" s="87"/>
      <c r="ES507" s="87"/>
      <c r="ET507" s="87"/>
      <c r="EU507" s="87"/>
      <c r="EV507" s="87"/>
      <c r="EW507" s="87"/>
      <c r="EX507" s="87"/>
      <c r="EY507" s="87"/>
      <c r="EZ507" s="87"/>
      <c r="FA507" s="87"/>
      <c r="FB507" s="87"/>
      <c r="FC507" s="87"/>
      <c r="FD507" s="87"/>
      <c r="FE507" s="87"/>
      <c r="FF507" s="87"/>
      <c r="FG507" s="87"/>
      <c r="FH507" s="87"/>
      <c r="FI507" s="87"/>
      <c r="FJ507" s="87"/>
      <c r="FK507" s="87"/>
    </row>
    <row r="508" spans="1:167" hidden="1" outlineLevel="1">
      <c r="A508" s="31" t="str">
        <f t="shared" si="38"/>
        <v>lt825_mthd_usd_instrmntmthd_usd_instrmnt_scp_1</v>
      </c>
      <c r="B508" s="76" t="s">
        <v>28</v>
      </c>
      <c r="C508" s="77" t="s">
        <v>28</v>
      </c>
      <c r="D508" s="73" t="s">
        <v>40</v>
      </c>
      <c r="E508" s="79" t="s">
        <v>377</v>
      </c>
      <c r="F508" s="80" t="s">
        <v>373</v>
      </c>
      <c r="G508" s="73" t="str">
        <f>INDEX(Auxiliar!$B$16:$B$23,MATCH(Plano_V1!H508,Auxiliar!$C$16:$C$23,0),1)</f>
        <v>7. Por iniciar</v>
      </c>
      <c r="H508" s="73">
        <f>VLOOKUP(A508,'Aux - pivots1'!$A:$B,2,0)</f>
        <v>7</v>
      </c>
      <c r="I508" s="93">
        <f>SUMIFS(Table1[Estimação (horas)],Table1[Tabela],Plano_V1!E508,Table1[Campo],Plano_V1!F508)</f>
        <v>4.0999999999999996</v>
      </c>
      <c r="J508" s="93">
        <f t="shared" si="37"/>
        <v>0.51249999999999996</v>
      </c>
      <c r="K508" s="98" t="s">
        <v>39</v>
      </c>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100"/>
      <c r="AU508" s="87"/>
      <c r="AV508" s="87"/>
      <c r="AW508" s="87"/>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100"/>
      <c r="EJ508" s="100"/>
      <c r="EK508" s="100"/>
      <c r="EL508" s="100"/>
      <c r="EM508" s="100"/>
      <c r="EN508" s="100"/>
      <c r="EO508" s="100"/>
      <c r="EP508" s="87"/>
      <c r="EQ508" s="87"/>
      <c r="ER508" s="87"/>
      <c r="ES508" s="87"/>
      <c r="ET508" s="87"/>
      <c r="EU508" s="87"/>
      <c r="EV508" s="87"/>
      <c r="EW508" s="87"/>
      <c r="EX508" s="87"/>
      <c r="EY508" s="87"/>
      <c r="EZ508" s="87"/>
      <c r="FA508" s="87"/>
      <c r="FB508" s="87"/>
      <c r="FC508" s="87"/>
      <c r="FD508" s="87"/>
      <c r="FE508" s="87"/>
      <c r="FF508" s="87"/>
      <c r="FG508" s="87"/>
      <c r="FH508" s="87"/>
      <c r="FI508" s="87"/>
      <c r="FJ508" s="87"/>
      <c r="FK508" s="87"/>
    </row>
    <row r="509" spans="1:167" hidden="1" outlineLevel="1">
      <c r="A509" s="31" t="str">
        <f t="shared" si="38"/>
        <v>lt825_mthd_usd_instrmntmthd_usd_instrmnt_scp_2</v>
      </c>
      <c r="B509" s="76" t="s">
        <v>28</v>
      </c>
      <c r="C509" s="77" t="s">
        <v>28</v>
      </c>
      <c r="D509" s="73" t="s">
        <v>40</v>
      </c>
      <c r="E509" s="79" t="s">
        <v>377</v>
      </c>
      <c r="F509" s="80" t="s">
        <v>374</v>
      </c>
      <c r="G509" s="73" t="str">
        <f>INDEX(Auxiliar!$B$16:$B$23,MATCH(Plano_V1!H509,Auxiliar!$C$16:$C$23,0),1)</f>
        <v>7. Por iniciar</v>
      </c>
      <c r="H509" s="73">
        <f>VLOOKUP(A509,'Aux - pivots1'!$A:$B,2,0)</f>
        <v>7</v>
      </c>
      <c r="I509" s="93">
        <f>SUMIFS(Table1[Estimação (horas)],Table1[Tabela],Plano_V1!E509,Table1[Campo],Plano_V1!F509)</f>
        <v>4.0999999999999996</v>
      </c>
      <c r="J509" s="93">
        <f t="shared" si="37"/>
        <v>0.51249999999999996</v>
      </c>
      <c r="K509" s="98" t="s">
        <v>39</v>
      </c>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100"/>
      <c r="AU509" s="87"/>
      <c r="AV509" s="87"/>
      <c r="AW509" s="87"/>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100"/>
      <c r="EJ509" s="100"/>
      <c r="EK509" s="100"/>
      <c r="EL509" s="100"/>
      <c r="EM509" s="100"/>
      <c r="EN509" s="100"/>
      <c r="EO509" s="100"/>
      <c r="EP509" s="87"/>
      <c r="EQ509" s="87"/>
      <c r="ER509" s="87"/>
      <c r="ES509" s="87"/>
      <c r="ET509" s="87"/>
      <c r="EU509" s="87"/>
      <c r="EV509" s="87"/>
      <c r="EW509" s="87"/>
      <c r="EX509" s="87"/>
      <c r="EY509" s="87"/>
      <c r="EZ509" s="87"/>
      <c r="FA509" s="87"/>
      <c r="FB509" s="87"/>
      <c r="FC509" s="87"/>
      <c r="FD509" s="87"/>
      <c r="FE509" s="87"/>
      <c r="FF509" s="87"/>
      <c r="FG509" s="87"/>
      <c r="FH509" s="87"/>
      <c r="FI509" s="87"/>
      <c r="FJ509" s="87"/>
      <c r="FK509" s="87"/>
    </row>
    <row r="510" spans="1:167" hidden="1" outlineLevel="1">
      <c r="A510" s="31" t="str">
        <f t="shared" si="38"/>
        <v>lt825_mthd_usd_instrmntmthd_usd_instrmnt_scp_3</v>
      </c>
      <c r="B510" s="76" t="s">
        <v>28</v>
      </c>
      <c r="C510" s="77" t="s">
        <v>28</v>
      </c>
      <c r="D510" s="73" t="s">
        <v>40</v>
      </c>
      <c r="E510" s="79" t="s">
        <v>377</v>
      </c>
      <c r="F510" s="80" t="s">
        <v>375</v>
      </c>
      <c r="G510" s="73" t="str">
        <f>INDEX(Auxiliar!$B$16:$B$23,MATCH(Plano_V1!H510,Auxiliar!$C$16:$C$23,0),1)</f>
        <v>7. Por iniciar</v>
      </c>
      <c r="H510" s="73">
        <f>VLOOKUP(A510,'Aux - pivots1'!$A:$B,2,0)</f>
        <v>7</v>
      </c>
      <c r="I510" s="93">
        <f>SUMIFS(Table1[Estimação (horas)],Table1[Tabela],Plano_V1!E510,Table1[Campo],Plano_V1!F510)</f>
        <v>4.0999999999999996</v>
      </c>
      <c r="J510" s="93">
        <f t="shared" si="37"/>
        <v>0.51249999999999996</v>
      </c>
      <c r="K510" s="98" t="s">
        <v>39</v>
      </c>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100"/>
      <c r="AU510" s="87"/>
      <c r="AV510" s="87"/>
      <c r="AW510" s="87"/>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100"/>
      <c r="EJ510" s="100"/>
      <c r="EK510" s="100"/>
      <c r="EL510" s="100"/>
      <c r="EM510" s="100"/>
      <c r="EN510" s="100"/>
      <c r="EO510" s="100"/>
      <c r="EP510" s="87"/>
      <c r="EQ510" s="87"/>
      <c r="ER510" s="87"/>
      <c r="ES510" s="87"/>
      <c r="ET510" s="87"/>
      <c r="EU510" s="87"/>
      <c r="EV510" s="87"/>
      <c r="EW510" s="87"/>
      <c r="EX510" s="87"/>
      <c r="EY510" s="87"/>
      <c r="EZ510" s="87"/>
      <c r="FA510" s="87"/>
      <c r="FB510" s="87"/>
      <c r="FC510" s="87"/>
      <c r="FD510" s="87"/>
      <c r="FE510" s="87"/>
      <c r="FF510" s="87"/>
      <c r="FG510" s="87"/>
      <c r="FH510" s="87"/>
      <c r="FI510" s="87"/>
      <c r="FJ510" s="87"/>
      <c r="FK510" s="87"/>
    </row>
    <row r="511" spans="1:167" hidden="1" outlineLevel="1">
      <c r="A511" s="31" t="str">
        <f t="shared" si="38"/>
        <v>lt826_esg_sbsctrambito</v>
      </c>
      <c r="B511" s="76" t="s">
        <v>28</v>
      </c>
      <c r="C511" s="77" t="s">
        <v>28</v>
      </c>
      <c r="D511" s="73" t="s">
        <v>40</v>
      </c>
      <c r="E511" s="79" t="s">
        <v>380</v>
      </c>
      <c r="F511" s="81" t="s">
        <v>378</v>
      </c>
      <c r="G511" s="73" t="str">
        <f>INDEX(Auxiliar!$B$16:$B$23,MATCH(Plano_V1!H511,Auxiliar!$C$16:$C$23,0),1)</f>
        <v>7. Por iniciar</v>
      </c>
      <c r="H511" s="73">
        <f>VLOOKUP(A511,'Aux - pivots1'!$A:$B,2,0)</f>
        <v>7</v>
      </c>
      <c r="I511" s="93">
        <f>SUMIFS(Table1[Estimação (horas)],Table1[Tabela],Plano_V1!E511,Table1[Campo],Plano_V1!F511)</f>
        <v>4.0999999999999996</v>
      </c>
      <c r="J511" s="93">
        <f t="shared" si="37"/>
        <v>0.51249999999999996</v>
      </c>
      <c r="K511" s="98" t="s">
        <v>39</v>
      </c>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100"/>
      <c r="AU511" s="87"/>
      <c r="AV511" s="87"/>
      <c r="AW511" s="87"/>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100"/>
      <c r="EJ511" s="100"/>
      <c r="EK511" s="100"/>
      <c r="EL511" s="100"/>
      <c r="EM511" s="100"/>
      <c r="EN511" s="100"/>
      <c r="EO511" s="100"/>
      <c r="EP511" s="87"/>
      <c r="EQ511" s="87"/>
      <c r="ER511" s="87"/>
      <c r="ES511" s="87"/>
      <c r="ET511" s="87"/>
      <c r="EU511" s="87"/>
      <c r="EV511" s="87"/>
      <c r="EW511" s="87"/>
      <c r="EX511" s="87"/>
      <c r="EY511" s="87"/>
      <c r="EZ511" s="87"/>
      <c r="FA511" s="87"/>
      <c r="FB511" s="87"/>
      <c r="FC511" s="87"/>
      <c r="FD511" s="87"/>
      <c r="FE511" s="87"/>
      <c r="FF511" s="87"/>
      <c r="FG511" s="87"/>
      <c r="FH511" s="87"/>
      <c r="FI511" s="87"/>
      <c r="FJ511" s="87"/>
      <c r="FK511" s="87"/>
    </row>
    <row r="512" spans="1:167" hidden="1" outlineLevel="1">
      <c r="A512" s="31" t="str">
        <f t="shared" si="38"/>
        <v>lt826_esg_sbsctrref_date</v>
      </c>
      <c r="B512" s="76" t="s">
        <v>28</v>
      </c>
      <c r="C512" s="77" t="s">
        <v>28</v>
      </c>
      <c r="D512" s="73" t="s">
        <v>40</v>
      </c>
      <c r="E512" s="79" t="s">
        <v>380</v>
      </c>
      <c r="F512" s="81" t="s">
        <v>73</v>
      </c>
      <c r="G512" s="73" t="str">
        <f>INDEX(Auxiliar!$B$16:$B$23,MATCH(Plano_V1!H512,Auxiliar!$C$16:$C$23,0),1)</f>
        <v>7. Por iniciar</v>
      </c>
      <c r="H512" s="73">
        <f>VLOOKUP(A512,'Aux - pivots1'!$A:$B,2,0)</f>
        <v>7</v>
      </c>
      <c r="I512" s="93">
        <f>SUMIFS(Table1[Estimação (horas)],Table1[Tabela],Plano_V1!E512,Table1[Campo],Plano_V1!F512)</f>
        <v>4.0999999999999996</v>
      </c>
      <c r="J512" s="93">
        <f t="shared" ref="J512:J573" si="39">I512/8</f>
        <v>0.51249999999999996</v>
      </c>
      <c r="K512" s="98" t="s">
        <v>39</v>
      </c>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100"/>
      <c r="AU512" s="87"/>
      <c r="AV512" s="87"/>
      <c r="AW512" s="87"/>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100"/>
      <c r="EJ512" s="100"/>
      <c r="EK512" s="100"/>
      <c r="EL512" s="100"/>
      <c r="EM512" s="100"/>
      <c r="EN512" s="100"/>
      <c r="EO512" s="100"/>
      <c r="EP512" s="87"/>
      <c r="EQ512" s="87"/>
      <c r="ER512" s="87"/>
      <c r="ES512" s="87"/>
      <c r="ET512" s="87"/>
      <c r="EU512" s="87"/>
      <c r="EV512" s="87"/>
      <c r="EW512" s="87"/>
      <c r="EX512" s="87"/>
      <c r="EY512" s="87"/>
      <c r="EZ512" s="87"/>
      <c r="FA512" s="87"/>
      <c r="FB512" s="87"/>
      <c r="FC512" s="87"/>
      <c r="FD512" s="87"/>
      <c r="FE512" s="87"/>
      <c r="FF512" s="87"/>
      <c r="FG512" s="87"/>
      <c r="FH512" s="87"/>
      <c r="FI512" s="87"/>
      <c r="FJ512" s="87"/>
      <c r="FK512" s="87"/>
    </row>
    <row r="513" spans="1:167" hidden="1" outlineLevel="1">
      <c r="A513" s="31" t="str">
        <f t="shared" si="38"/>
        <v>lt826_esg_sbsctrordem</v>
      </c>
      <c r="B513" s="76" t="s">
        <v>28</v>
      </c>
      <c r="C513" s="77" t="s">
        <v>28</v>
      </c>
      <c r="D513" s="73" t="s">
        <v>40</v>
      </c>
      <c r="E513" s="79" t="s">
        <v>380</v>
      </c>
      <c r="F513" s="81" t="s">
        <v>322</v>
      </c>
      <c r="G513" s="73" t="str">
        <f>INDEX(Auxiliar!$B$16:$B$23,MATCH(Plano_V1!H513,Auxiliar!$C$16:$C$23,0),1)</f>
        <v>7. Por iniciar</v>
      </c>
      <c r="H513" s="73">
        <f>VLOOKUP(A513,'Aux - pivots1'!$A:$B,2,0)</f>
        <v>7</v>
      </c>
      <c r="I513" s="93">
        <f>SUMIFS(Table1[Estimação (horas)],Table1[Tabela],Plano_V1!E513,Table1[Campo],Plano_V1!F513)</f>
        <v>4.0999999999999996</v>
      </c>
      <c r="J513" s="93">
        <f t="shared" si="39"/>
        <v>0.51249999999999996</v>
      </c>
      <c r="K513" s="98" t="s">
        <v>39</v>
      </c>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100"/>
      <c r="AU513" s="87"/>
      <c r="AV513" s="87"/>
      <c r="AW513" s="87"/>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100"/>
      <c r="EJ513" s="100"/>
      <c r="EK513" s="100"/>
      <c r="EL513" s="100"/>
      <c r="EM513" s="100"/>
      <c r="EN513" s="100"/>
      <c r="EO513" s="100"/>
      <c r="EP513" s="87"/>
      <c r="EQ513" s="87"/>
      <c r="ER513" s="87"/>
      <c r="ES513" s="87"/>
      <c r="ET513" s="87"/>
      <c r="EU513" s="87"/>
      <c r="EV513" s="87"/>
      <c r="EW513" s="87"/>
      <c r="EX513" s="87"/>
      <c r="EY513" s="87"/>
      <c r="EZ513" s="87"/>
      <c r="FA513" s="87"/>
      <c r="FB513" s="87"/>
      <c r="FC513" s="87"/>
      <c r="FD513" s="87"/>
      <c r="FE513" s="87"/>
      <c r="FF513" s="87"/>
      <c r="FG513" s="87"/>
      <c r="FH513" s="87"/>
      <c r="FI513" s="87"/>
      <c r="FJ513" s="87"/>
      <c r="FK513" s="87"/>
    </row>
    <row r="514" spans="1:167" hidden="1" outlineLevel="1">
      <c r="A514" s="31" t="str">
        <f t="shared" si="38"/>
        <v>lt826_esg_sbsctrnace_code</v>
      </c>
      <c r="B514" s="76" t="s">
        <v>28</v>
      </c>
      <c r="C514" s="77" t="s">
        <v>28</v>
      </c>
      <c r="D514" s="73" t="s">
        <v>40</v>
      </c>
      <c r="E514" s="79" t="s">
        <v>380</v>
      </c>
      <c r="F514" s="80" t="s">
        <v>381</v>
      </c>
      <c r="G514" s="73" t="str">
        <f>INDEX(Auxiliar!$B$16:$B$23,MATCH(Plano_V1!H514,Auxiliar!$C$16:$C$23,0),1)</f>
        <v>7. Por iniciar</v>
      </c>
      <c r="H514" s="73">
        <f>VLOOKUP(A514,'Aux - pivots1'!$A:$B,2,0)</f>
        <v>7</v>
      </c>
      <c r="I514" s="93">
        <f>SUMIFS(Table1[Estimação (horas)],Table1[Tabela],Plano_V1!E514,Table1[Campo],Plano_V1!F514)</f>
        <v>4.0999999999999996</v>
      </c>
      <c r="J514" s="93">
        <f t="shared" si="39"/>
        <v>0.51249999999999996</v>
      </c>
      <c r="K514" s="98" t="s">
        <v>39</v>
      </c>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100"/>
      <c r="AU514" s="87"/>
      <c r="AV514" s="87"/>
      <c r="AW514" s="87"/>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100"/>
      <c r="EJ514" s="100"/>
      <c r="EK514" s="100"/>
      <c r="EL514" s="100"/>
      <c r="EM514" s="100"/>
      <c r="EN514" s="100"/>
      <c r="EO514" s="100"/>
      <c r="EP514" s="87"/>
      <c r="EQ514" s="87"/>
      <c r="ER514" s="87"/>
      <c r="ES514" s="87"/>
      <c r="ET514" s="87"/>
      <c r="EU514" s="87"/>
      <c r="EV514" s="87"/>
      <c r="EW514" s="87"/>
      <c r="EX514" s="87"/>
      <c r="EY514" s="87"/>
      <c r="EZ514" s="87"/>
      <c r="FA514" s="87"/>
      <c r="FB514" s="87"/>
      <c r="FC514" s="87"/>
      <c r="FD514" s="87"/>
      <c r="FE514" s="87"/>
      <c r="FF514" s="87"/>
      <c r="FG514" s="87"/>
      <c r="FH514" s="87"/>
      <c r="FI514" s="87"/>
      <c r="FJ514" s="87"/>
      <c r="FK514" s="87"/>
    </row>
    <row r="515" spans="1:167" hidden="1" outlineLevel="1">
      <c r="A515" s="31" t="str">
        <f t="shared" si="38"/>
        <v>lt826_esg_sbsctrcontraparte</v>
      </c>
      <c r="B515" s="76" t="s">
        <v>28</v>
      </c>
      <c r="C515" s="77" t="s">
        <v>28</v>
      </c>
      <c r="D515" s="73" t="s">
        <v>40</v>
      </c>
      <c r="E515" s="79" t="s">
        <v>380</v>
      </c>
      <c r="F515" s="80" t="s">
        <v>382</v>
      </c>
      <c r="G515" s="73" t="str">
        <f>INDEX(Auxiliar!$B$16:$B$23,MATCH(Plano_V1!H515,Auxiliar!$C$16:$C$23,0),1)</f>
        <v>7. Por iniciar</v>
      </c>
      <c r="H515" s="73">
        <f>VLOOKUP(A515,'Aux - pivots1'!$A:$B,2,0)</f>
        <v>7</v>
      </c>
      <c r="I515" s="93">
        <f>SUMIFS(Table1[Estimação (horas)],Table1[Tabela],Plano_V1!E515,Table1[Campo],Plano_V1!F515)</f>
        <v>4.0999999999999996</v>
      </c>
      <c r="J515" s="93">
        <f t="shared" si="39"/>
        <v>0.51249999999999996</v>
      </c>
      <c r="K515" s="98" t="s">
        <v>39</v>
      </c>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100"/>
      <c r="AU515" s="87"/>
      <c r="AV515" s="87"/>
      <c r="AW515" s="87"/>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100"/>
      <c r="EJ515" s="100"/>
      <c r="EK515" s="100"/>
      <c r="EL515" s="100"/>
      <c r="EM515" s="100"/>
      <c r="EN515" s="100"/>
      <c r="EO515" s="100"/>
      <c r="EP515" s="87"/>
      <c r="EQ515" s="87"/>
      <c r="ER515" s="87"/>
      <c r="ES515" s="87"/>
      <c r="ET515" s="87"/>
      <c r="EU515" s="87"/>
      <c r="EV515" s="87"/>
      <c r="EW515" s="87"/>
      <c r="EX515" s="87"/>
      <c r="EY515" s="87"/>
      <c r="EZ515" s="87"/>
      <c r="FA515" s="87"/>
      <c r="FB515" s="87"/>
      <c r="FC515" s="87"/>
      <c r="FD515" s="87"/>
      <c r="FE515" s="87"/>
      <c r="FF515" s="87"/>
      <c r="FG515" s="87"/>
      <c r="FH515" s="87"/>
      <c r="FI515" s="87"/>
      <c r="FJ515" s="87"/>
      <c r="FK515" s="87"/>
    </row>
    <row r="516" spans="1:167" hidden="1" outlineLevel="1">
      <c r="A516" s="31" t="str">
        <f t="shared" si="38"/>
        <v>lt826_esg_sbsctrcnatureza_juri</v>
      </c>
      <c r="B516" s="76" t="s">
        <v>28</v>
      </c>
      <c r="C516" s="77" t="s">
        <v>28</v>
      </c>
      <c r="D516" s="73" t="s">
        <v>40</v>
      </c>
      <c r="E516" s="79" t="s">
        <v>380</v>
      </c>
      <c r="F516" s="80" t="s">
        <v>383</v>
      </c>
      <c r="G516" s="73" t="str">
        <f>INDEX(Auxiliar!$B$16:$B$23,MATCH(Plano_V1!H516,Auxiliar!$C$16:$C$23,0),1)</f>
        <v>7. Por iniciar</v>
      </c>
      <c r="H516" s="73">
        <f>VLOOKUP(A516,'Aux - pivots1'!$A:$B,2,0)</f>
        <v>7</v>
      </c>
      <c r="I516" s="93">
        <f>SUMIFS(Table1[Estimação (horas)],Table1[Tabela],Plano_V1!E516,Table1[Campo],Plano_V1!F516)</f>
        <v>4.0999999999999996</v>
      </c>
      <c r="J516" s="93">
        <f t="shared" si="39"/>
        <v>0.51249999999999996</v>
      </c>
      <c r="K516" s="98" t="s">
        <v>39</v>
      </c>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100"/>
      <c r="AU516" s="87"/>
      <c r="AV516" s="87"/>
      <c r="AW516" s="87"/>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100"/>
      <c r="EJ516" s="100"/>
      <c r="EK516" s="100"/>
      <c r="EL516" s="100"/>
      <c r="EM516" s="100"/>
      <c r="EN516" s="100"/>
      <c r="EO516" s="100"/>
      <c r="EP516" s="87"/>
      <c r="EQ516" s="87"/>
      <c r="ER516" s="87"/>
      <c r="ES516" s="87"/>
      <c r="ET516" s="87"/>
      <c r="EU516" s="87"/>
      <c r="EV516" s="87"/>
      <c r="EW516" s="87"/>
      <c r="EX516" s="87"/>
      <c r="EY516" s="87"/>
      <c r="EZ516" s="87"/>
      <c r="FA516" s="87"/>
      <c r="FB516" s="87"/>
      <c r="FC516" s="87"/>
      <c r="FD516" s="87"/>
      <c r="FE516" s="87"/>
      <c r="FF516" s="87"/>
      <c r="FG516" s="87"/>
      <c r="FH516" s="87"/>
      <c r="FI516" s="87"/>
      <c r="FJ516" s="87"/>
      <c r="FK516" s="87"/>
    </row>
    <row r="517" spans="1:167" hidden="1" outlineLevel="1">
      <c r="A517" s="31" t="str">
        <f t="shared" si="38"/>
        <v>lt826_esg_sbsctridcomb</v>
      </c>
      <c r="B517" s="76" t="s">
        <v>28</v>
      </c>
      <c r="C517" s="77" t="s">
        <v>28</v>
      </c>
      <c r="D517" s="73" t="s">
        <v>40</v>
      </c>
      <c r="E517" s="79" t="s">
        <v>380</v>
      </c>
      <c r="F517" s="80" t="s">
        <v>384</v>
      </c>
      <c r="G517" s="73" t="str">
        <f>INDEX(Auxiliar!$B$16:$B$23,MATCH(Plano_V1!H517,Auxiliar!$C$16:$C$23,0),1)</f>
        <v>7. Por iniciar</v>
      </c>
      <c r="H517" s="73">
        <f>VLOOKUP(A517,'Aux - pivots1'!$A:$B,2,0)</f>
        <v>7</v>
      </c>
      <c r="I517" s="93">
        <f>SUMIFS(Table1[Estimação (horas)],Table1[Tabela],Plano_V1!E517,Table1[Campo],Plano_V1!F517)</f>
        <v>4.0999999999999996</v>
      </c>
      <c r="J517" s="93">
        <f t="shared" si="39"/>
        <v>0.51249999999999996</v>
      </c>
      <c r="K517" s="98" t="s">
        <v>39</v>
      </c>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100"/>
      <c r="AU517" s="87"/>
      <c r="AV517" s="87"/>
      <c r="AW517" s="87"/>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100"/>
      <c r="EJ517" s="100"/>
      <c r="EK517" s="100"/>
      <c r="EL517" s="100"/>
      <c r="EM517" s="100"/>
      <c r="EN517" s="100"/>
      <c r="EO517" s="100"/>
      <c r="EP517" s="87"/>
      <c r="EQ517" s="87"/>
      <c r="ER517" s="87"/>
      <c r="ES517" s="87"/>
      <c r="ET517" s="87"/>
      <c r="EU517" s="87"/>
      <c r="EV517" s="87"/>
      <c r="EW517" s="87"/>
      <c r="EX517" s="87"/>
      <c r="EY517" s="87"/>
      <c r="EZ517" s="87"/>
      <c r="FA517" s="87"/>
      <c r="FB517" s="87"/>
      <c r="FC517" s="87"/>
      <c r="FD517" s="87"/>
      <c r="FE517" s="87"/>
      <c r="FF517" s="87"/>
      <c r="FG517" s="87"/>
      <c r="FH517" s="87"/>
      <c r="FI517" s="87"/>
      <c r="FJ517" s="87"/>
      <c r="FK517" s="87"/>
    </row>
    <row r="518" spans="1:167" hidden="1" outlineLevel="1">
      <c r="A518" s="31" t="str">
        <f t="shared" si="38"/>
        <v>lt826_esg_sbsctresg_sbsctr</v>
      </c>
      <c r="B518" s="76" t="s">
        <v>28</v>
      </c>
      <c r="C518" s="77" t="s">
        <v>28</v>
      </c>
      <c r="D518" s="73" t="s">
        <v>40</v>
      </c>
      <c r="E518" s="79" t="s">
        <v>380</v>
      </c>
      <c r="F518" s="80" t="s">
        <v>348</v>
      </c>
      <c r="G518" s="73" t="str">
        <f>INDEX(Auxiliar!$B$16:$B$23,MATCH(Plano_V1!H518,Auxiliar!$C$16:$C$23,0),1)</f>
        <v>7. Por iniciar</v>
      </c>
      <c r="H518" s="73">
        <f>VLOOKUP(A518,'Aux - pivots1'!$A:$B,2,0)</f>
        <v>7</v>
      </c>
      <c r="I518" s="93">
        <f>SUMIFS(Table1[Estimação (horas)],Table1[Tabela],Plano_V1!E518,Table1[Campo],Plano_V1!F518)</f>
        <v>4.0999999999999996</v>
      </c>
      <c r="J518" s="93">
        <f t="shared" si="39"/>
        <v>0.51249999999999996</v>
      </c>
      <c r="K518" s="98" t="s">
        <v>39</v>
      </c>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100"/>
      <c r="AU518" s="87"/>
      <c r="AV518" s="87"/>
      <c r="AW518" s="87"/>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100"/>
      <c r="EJ518" s="100"/>
      <c r="EK518" s="100"/>
      <c r="EL518" s="100"/>
      <c r="EM518" s="100"/>
      <c r="EN518" s="100"/>
      <c r="EO518" s="100"/>
      <c r="EP518" s="87"/>
      <c r="EQ518" s="87"/>
      <c r="ER518" s="87"/>
      <c r="ES518" s="87"/>
      <c r="ET518" s="87"/>
      <c r="EU518" s="87"/>
      <c r="EV518" s="87"/>
      <c r="EW518" s="87"/>
      <c r="EX518" s="87"/>
      <c r="EY518" s="87"/>
      <c r="EZ518" s="87"/>
      <c r="FA518" s="87"/>
      <c r="FB518" s="87"/>
      <c r="FC518" s="87"/>
      <c r="FD518" s="87"/>
      <c r="FE518" s="87"/>
      <c r="FF518" s="87"/>
      <c r="FG518" s="87"/>
      <c r="FH518" s="87"/>
      <c r="FI518" s="87"/>
      <c r="FJ518" s="87"/>
      <c r="FK518" s="87"/>
    </row>
    <row r="519" spans="1:167" hidden="1" outlineLevel="1">
      <c r="A519" s="31" t="str">
        <f t="shared" si="38"/>
        <v>lt826_esg_sbsctrdescrição</v>
      </c>
      <c r="B519" s="76" t="s">
        <v>28</v>
      </c>
      <c r="C519" s="77" t="s">
        <v>28</v>
      </c>
      <c r="D519" s="73" t="s">
        <v>40</v>
      </c>
      <c r="E519" s="79" t="s">
        <v>380</v>
      </c>
      <c r="F519" s="80" t="s">
        <v>385</v>
      </c>
      <c r="G519" s="73" t="str">
        <f>INDEX(Auxiliar!$B$16:$B$23,MATCH(Plano_V1!H519,Auxiliar!$C$16:$C$23,0),1)</f>
        <v>7. Por iniciar</v>
      </c>
      <c r="H519" s="73">
        <f>VLOOKUP(A519,'Aux - pivots1'!$A:$B,2,0)</f>
        <v>7</v>
      </c>
      <c r="I519" s="93">
        <f>SUMIFS(Table1[Estimação (horas)],Table1[Tabela],Plano_V1!E519,Table1[Campo],Plano_V1!F519)</f>
        <v>4.0999999999999996</v>
      </c>
      <c r="J519" s="93">
        <f t="shared" si="39"/>
        <v>0.51249999999999996</v>
      </c>
      <c r="K519" s="98" t="s">
        <v>39</v>
      </c>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100"/>
      <c r="AU519" s="87"/>
      <c r="AV519" s="87"/>
      <c r="AW519" s="87"/>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100"/>
      <c r="EJ519" s="100"/>
      <c r="EK519" s="100"/>
      <c r="EL519" s="100"/>
      <c r="EM519" s="100"/>
      <c r="EN519" s="100"/>
      <c r="EO519" s="100"/>
      <c r="EP519" s="87"/>
      <c r="EQ519" s="87"/>
      <c r="ER519" s="87"/>
      <c r="ES519" s="87"/>
      <c r="ET519" s="87"/>
      <c r="EU519" s="87"/>
      <c r="EV519" s="87"/>
      <c r="EW519" s="87"/>
      <c r="EX519" s="87"/>
      <c r="EY519" s="87"/>
      <c r="EZ519" s="87"/>
      <c r="FA519" s="87"/>
      <c r="FB519" s="87"/>
      <c r="FC519" s="87"/>
      <c r="FD519" s="87"/>
      <c r="FE519" s="87"/>
      <c r="FF519" s="87"/>
      <c r="FG519" s="87"/>
      <c r="FH519" s="87"/>
      <c r="FI519" s="87"/>
      <c r="FJ519" s="87"/>
      <c r="FK519" s="87"/>
    </row>
    <row r="520" spans="1:167" hidden="1" outlineLevel="1">
      <c r="A520" s="31" t="str">
        <f t="shared" si="38"/>
        <v>lt002_instrumentdt_rfrnc</v>
      </c>
      <c r="B520" s="76" t="s">
        <v>28</v>
      </c>
      <c r="C520" s="77" t="s">
        <v>28</v>
      </c>
      <c r="D520" s="73" t="s">
        <v>40</v>
      </c>
      <c r="E520" s="79" t="s">
        <v>367</v>
      </c>
      <c r="F520" s="80" t="s">
        <v>386</v>
      </c>
      <c r="G520" s="73" t="str">
        <f>INDEX(Auxiliar!$B$16:$B$23,MATCH(Plano_V1!H520,Auxiliar!$C$16:$C$23,0),1)</f>
        <v>1. Concluído</v>
      </c>
      <c r="H520" s="73">
        <f>VLOOKUP(A520,'Aux - pivots1'!$A:$B,2,0)</f>
        <v>1</v>
      </c>
      <c r="I520" s="93">
        <f>SUMIFS(Table1[Estimação (horas)],Table1[Tabela],Plano_V1!E520,Table1[Campo],Plano_V1!F520)</f>
        <v>0.1</v>
      </c>
      <c r="J520" s="93">
        <f t="shared" si="39"/>
        <v>1.2500000000000001E-2</v>
      </c>
      <c r="K520" s="98" t="s">
        <v>387</v>
      </c>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100"/>
      <c r="AU520" s="87"/>
      <c r="AV520" s="87"/>
      <c r="AW520" s="87"/>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100"/>
      <c r="EJ520" s="100"/>
      <c r="EK520" s="100"/>
      <c r="EL520" s="100"/>
      <c r="EM520" s="100"/>
      <c r="EN520" s="100"/>
      <c r="EO520" s="100"/>
      <c r="EP520" s="87"/>
      <c r="EQ520" s="87"/>
      <c r="ER520" s="87"/>
      <c r="ES520" s="87"/>
      <c r="ET520" s="87"/>
      <c r="EU520" s="87"/>
      <c r="EV520" s="87"/>
      <c r="EW520" s="87"/>
      <c r="EX520" s="87"/>
      <c r="EY520" s="87"/>
      <c r="EZ520" s="87"/>
      <c r="FA520" s="87"/>
      <c r="FB520" s="87"/>
      <c r="FC520" s="87"/>
      <c r="FD520" s="87"/>
      <c r="FE520" s="87"/>
      <c r="FF520" s="87"/>
      <c r="FG520" s="87"/>
      <c r="FH520" s="87"/>
      <c r="FI520" s="87"/>
      <c r="FJ520" s="87"/>
      <c r="FK520" s="87"/>
    </row>
    <row r="521" spans="1:167" hidden="1" outlineLevel="1">
      <c r="A521" s="31" t="str">
        <f t="shared" si="38"/>
        <v>lt002_instrumentinstrmnt_id</v>
      </c>
      <c r="B521" s="76" t="s">
        <v>28</v>
      </c>
      <c r="C521" s="77" t="s">
        <v>28</v>
      </c>
      <c r="D521" s="73" t="s">
        <v>40</v>
      </c>
      <c r="E521" s="79" t="s">
        <v>367</v>
      </c>
      <c r="F521" s="80" t="s">
        <v>388</v>
      </c>
      <c r="G521" s="73" t="str">
        <f>INDEX(Auxiliar!$B$16:$B$23,MATCH(Plano_V1!H521,Auxiliar!$C$16:$C$23,0),1)</f>
        <v>1. Concluído</v>
      </c>
      <c r="H521" s="73">
        <f>VLOOKUP(A521,'Aux - pivots1'!$A:$B,2,0)</f>
        <v>1</v>
      </c>
      <c r="I521" s="93">
        <f>SUMIFS(Table1[Estimação (horas)],Table1[Tabela],Plano_V1!E521,Table1[Campo],Plano_V1!F521)</f>
        <v>0.1</v>
      </c>
      <c r="J521" s="93">
        <f t="shared" si="39"/>
        <v>1.2500000000000001E-2</v>
      </c>
      <c r="K521" s="98" t="s">
        <v>387</v>
      </c>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100"/>
      <c r="AU521" s="87"/>
      <c r="AV521" s="87"/>
      <c r="AW521" s="87"/>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100"/>
      <c r="EJ521" s="100"/>
      <c r="EK521" s="100"/>
      <c r="EL521" s="100"/>
      <c r="EM521" s="100"/>
      <c r="EN521" s="100"/>
      <c r="EO521" s="100"/>
      <c r="EP521" s="87"/>
      <c r="EQ521" s="87"/>
      <c r="ER521" s="87"/>
      <c r="ES521" s="87"/>
      <c r="ET521" s="87"/>
      <c r="EU521" s="87"/>
      <c r="EV521" s="87"/>
      <c r="EW521" s="87"/>
      <c r="EX521" s="87"/>
      <c r="EY521" s="87"/>
      <c r="EZ521" s="87"/>
      <c r="FA521" s="87"/>
      <c r="FB521" s="87"/>
      <c r="FC521" s="87"/>
      <c r="FD521" s="87"/>
      <c r="FE521" s="87"/>
      <c r="FF521" s="87"/>
      <c r="FG521" s="87"/>
      <c r="FH521" s="87"/>
      <c r="FI521" s="87"/>
      <c r="FJ521" s="87"/>
      <c r="FK521" s="87"/>
    </row>
    <row r="522" spans="1:167" hidden="1" outlineLevel="1">
      <c r="A522" s="31" t="str">
        <f t="shared" si="38"/>
        <v>lt002_instrumentdt_incptn</v>
      </c>
      <c r="B522" s="76" t="s">
        <v>28</v>
      </c>
      <c r="C522" s="77" t="s">
        <v>28</v>
      </c>
      <c r="D522" s="73" t="s">
        <v>40</v>
      </c>
      <c r="E522" s="79" t="s">
        <v>367</v>
      </c>
      <c r="F522" s="80" t="s">
        <v>389</v>
      </c>
      <c r="G522" s="73" t="str">
        <f>INDEX(Auxiliar!$B$16:$B$23,MATCH(Plano_V1!H522,Auxiliar!$C$16:$C$23,0),1)</f>
        <v>1. Concluído</v>
      </c>
      <c r="H522" s="73">
        <f>VLOOKUP(A522,'Aux - pivots1'!$A:$B,2,0)</f>
        <v>1</v>
      </c>
      <c r="I522" s="93">
        <f>SUMIFS(Table1[Estimação (horas)],Table1[Tabela],Plano_V1!E522,Table1[Campo],Plano_V1!F522)</f>
        <v>0.1</v>
      </c>
      <c r="J522" s="93">
        <f t="shared" si="39"/>
        <v>1.2500000000000001E-2</v>
      </c>
      <c r="K522" s="98" t="s">
        <v>387</v>
      </c>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100"/>
      <c r="AU522" s="87"/>
      <c r="AV522" s="87"/>
      <c r="AW522" s="87"/>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100"/>
      <c r="EJ522" s="100"/>
      <c r="EK522" s="100"/>
      <c r="EL522" s="100"/>
      <c r="EM522" s="100"/>
      <c r="EN522" s="100"/>
      <c r="EO522" s="100"/>
      <c r="EP522" s="87"/>
      <c r="EQ522" s="87"/>
      <c r="ER522" s="87"/>
      <c r="ES522" s="87"/>
      <c r="ET522" s="87"/>
      <c r="EU522" s="87"/>
      <c r="EV522" s="87"/>
      <c r="EW522" s="87"/>
      <c r="EX522" s="87"/>
      <c r="EY522" s="87"/>
      <c r="EZ522" s="87"/>
      <c r="FA522" s="87"/>
      <c r="FB522" s="87"/>
      <c r="FC522" s="87"/>
      <c r="FD522" s="87"/>
      <c r="FE522" s="87"/>
      <c r="FF522" s="87"/>
      <c r="FG522" s="87"/>
      <c r="FH522" s="87"/>
      <c r="FI522" s="87"/>
      <c r="FJ522" s="87"/>
      <c r="FK522" s="87"/>
    </row>
    <row r="523" spans="1:167" hidden="1" outlineLevel="1">
      <c r="A523" s="31" t="str">
        <f t="shared" si="38"/>
        <v>lt002_instrumentdflt_stts_instrmnt</v>
      </c>
      <c r="B523" s="76" t="s">
        <v>28</v>
      </c>
      <c r="C523" s="77" t="s">
        <v>28</v>
      </c>
      <c r="D523" s="73" t="s">
        <v>40</v>
      </c>
      <c r="E523" s="79" t="s">
        <v>367</v>
      </c>
      <c r="F523" s="80" t="s">
        <v>390</v>
      </c>
      <c r="G523" s="73" t="str">
        <f>INDEX(Auxiliar!$B$16:$B$23,MATCH(Plano_V1!H523,Auxiliar!$C$16:$C$23,0),1)</f>
        <v>1. Concluído</v>
      </c>
      <c r="H523" s="73">
        <f>VLOOKUP(A523,'Aux - pivots1'!$A:$B,2,0)</f>
        <v>1</v>
      </c>
      <c r="I523" s="93">
        <f>SUMIFS(Table1[Estimação (horas)],Table1[Tabela],Plano_V1!E523,Table1[Campo],Plano_V1!F523)</f>
        <v>0.1</v>
      </c>
      <c r="J523" s="93">
        <f t="shared" si="39"/>
        <v>1.2500000000000001E-2</v>
      </c>
      <c r="K523" s="98" t="s">
        <v>387</v>
      </c>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100"/>
      <c r="AU523" s="87"/>
      <c r="AV523" s="87"/>
      <c r="AW523" s="87"/>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100"/>
      <c r="EJ523" s="100"/>
      <c r="EK523" s="100"/>
      <c r="EL523" s="100"/>
      <c r="EM523" s="100"/>
      <c r="EN523" s="100"/>
      <c r="EO523" s="100"/>
      <c r="EP523" s="87"/>
      <c r="EQ523" s="87"/>
      <c r="ER523" s="87"/>
      <c r="ES523" s="87"/>
      <c r="ET523" s="87"/>
      <c r="EU523" s="87"/>
      <c r="EV523" s="87"/>
      <c r="EW523" s="87"/>
      <c r="EX523" s="87"/>
      <c r="EY523" s="87"/>
      <c r="EZ523" s="87"/>
      <c r="FA523" s="87"/>
      <c r="FB523" s="87"/>
      <c r="FC523" s="87"/>
      <c r="FD523" s="87"/>
      <c r="FE523" s="87"/>
      <c r="FF523" s="87"/>
      <c r="FG523" s="87"/>
      <c r="FH523" s="87"/>
      <c r="FI523" s="87"/>
      <c r="FJ523" s="87"/>
      <c r="FK523" s="87"/>
    </row>
    <row r="524" spans="1:167" hidden="1" outlineLevel="1">
      <c r="A524" s="31" t="str">
        <f t="shared" si="38"/>
        <v>lt002_instrumentimprmnt_stts</v>
      </c>
      <c r="B524" s="76" t="s">
        <v>28</v>
      </c>
      <c r="C524" s="77" t="s">
        <v>28</v>
      </c>
      <c r="D524" s="73" t="s">
        <v>40</v>
      </c>
      <c r="E524" s="79" t="s">
        <v>367</v>
      </c>
      <c r="F524" s="80" t="s">
        <v>391</v>
      </c>
      <c r="G524" s="73" t="str">
        <f>INDEX(Auxiliar!$B$16:$B$23,MATCH(Plano_V1!H524,Auxiliar!$C$16:$C$23,0),1)</f>
        <v>1. Concluído</v>
      </c>
      <c r="H524" s="73">
        <f>VLOOKUP(A524,'Aux - pivots1'!$A:$B,2,0)</f>
        <v>1</v>
      </c>
      <c r="I524" s="93">
        <f>SUMIFS(Table1[Estimação (horas)],Table1[Tabela],Plano_V1!E524,Table1[Campo],Plano_V1!F524)</f>
        <v>0.1</v>
      </c>
      <c r="J524" s="93">
        <f t="shared" si="39"/>
        <v>1.2500000000000001E-2</v>
      </c>
      <c r="K524" s="98" t="s">
        <v>387</v>
      </c>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100"/>
      <c r="AU524" s="87"/>
      <c r="AV524" s="87"/>
      <c r="AW524" s="87"/>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100"/>
      <c r="EJ524" s="100"/>
      <c r="EK524" s="100"/>
      <c r="EL524" s="100"/>
      <c r="EM524" s="100"/>
      <c r="EN524" s="100"/>
      <c r="EO524" s="100"/>
      <c r="EP524" s="87"/>
      <c r="EQ524" s="87"/>
      <c r="ER524" s="87"/>
      <c r="ES524" s="87"/>
      <c r="ET524" s="87"/>
      <c r="EU524" s="87"/>
      <c r="EV524" s="87"/>
      <c r="EW524" s="87"/>
      <c r="EX524" s="87"/>
      <c r="EY524" s="87"/>
      <c r="EZ524" s="87"/>
      <c r="FA524" s="87"/>
      <c r="FB524" s="87"/>
      <c r="FC524" s="87"/>
      <c r="FD524" s="87"/>
      <c r="FE524" s="87"/>
      <c r="FF524" s="87"/>
      <c r="FG524" s="87"/>
      <c r="FH524" s="87"/>
      <c r="FI524" s="87"/>
      <c r="FJ524" s="87"/>
      <c r="FK524" s="87"/>
    </row>
    <row r="525" spans="1:167" hidden="1" outlineLevel="1">
      <c r="A525" s="31" t="str">
        <f t="shared" si="38"/>
        <v>lt002_instrumentprfrmng_stts</v>
      </c>
      <c r="B525" s="76" t="s">
        <v>28</v>
      </c>
      <c r="C525" s="77" t="s">
        <v>28</v>
      </c>
      <c r="D525" s="73" t="s">
        <v>40</v>
      </c>
      <c r="E525" s="79" t="s">
        <v>367</v>
      </c>
      <c r="F525" s="80" t="s">
        <v>392</v>
      </c>
      <c r="G525" s="73" t="str">
        <f>INDEX(Auxiliar!$B$16:$B$23,MATCH(Plano_V1!H525,Auxiliar!$C$16:$C$23,0),1)</f>
        <v>1. Concluído</v>
      </c>
      <c r="H525" s="73">
        <f>VLOOKUP(A525,'Aux - pivots1'!$A:$B,2,0)</f>
        <v>1</v>
      </c>
      <c r="I525" s="93">
        <f>SUMIFS(Table1[Estimação (horas)],Table1[Tabela],Plano_V1!E525,Table1[Campo],Plano_V1!F525)</f>
        <v>0.1</v>
      </c>
      <c r="J525" s="93">
        <f t="shared" si="39"/>
        <v>1.2500000000000001E-2</v>
      </c>
      <c r="K525" s="98" t="s">
        <v>387</v>
      </c>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100"/>
      <c r="AU525" s="87"/>
      <c r="AV525" s="87"/>
      <c r="AW525" s="87"/>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100"/>
      <c r="EJ525" s="100"/>
      <c r="EK525" s="100"/>
      <c r="EL525" s="100"/>
      <c r="EM525" s="100"/>
      <c r="EN525" s="100"/>
      <c r="EO525" s="100"/>
      <c r="EP525" s="87"/>
      <c r="EQ525" s="87"/>
      <c r="ER525" s="87"/>
      <c r="ES525" s="87"/>
      <c r="ET525" s="87"/>
      <c r="EU525" s="87"/>
      <c r="EV525" s="87"/>
      <c r="EW525" s="87"/>
      <c r="EX525" s="87"/>
      <c r="EY525" s="87"/>
      <c r="EZ525" s="87"/>
      <c r="FA525" s="87"/>
      <c r="FB525" s="87"/>
      <c r="FC525" s="87"/>
      <c r="FD525" s="87"/>
      <c r="FE525" s="87"/>
      <c r="FF525" s="87"/>
      <c r="FG525" s="87"/>
      <c r="FH525" s="87"/>
      <c r="FI525" s="87"/>
      <c r="FJ525" s="87"/>
      <c r="FK525" s="87"/>
    </row>
    <row r="526" spans="1:167" hidden="1" outlineLevel="1">
      <c r="A526" s="31" t="str">
        <f t="shared" si="38"/>
        <v>lt002_instrumentprjct_fnnc_ln</v>
      </c>
      <c r="B526" s="76" t="s">
        <v>28</v>
      </c>
      <c r="C526" s="77" t="s">
        <v>28</v>
      </c>
      <c r="D526" s="73" t="s">
        <v>40</v>
      </c>
      <c r="E526" s="79" t="s">
        <v>367</v>
      </c>
      <c r="F526" s="80" t="s">
        <v>393</v>
      </c>
      <c r="G526" s="73" t="str">
        <f>INDEX(Auxiliar!$B$16:$B$23,MATCH(Plano_V1!H526,Auxiliar!$C$16:$C$23,0),1)</f>
        <v>1. Concluído</v>
      </c>
      <c r="H526" s="73">
        <f>VLOOKUP(A526,'Aux - pivots1'!$A:$B,2,0)</f>
        <v>1</v>
      </c>
      <c r="I526" s="93">
        <f>SUMIFS(Table1[Estimação (horas)],Table1[Tabela],Plano_V1!E526,Table1[Campo],Plano_V1!F526)</f>
        <v>0.1</v>
      </c>
      <c r="J526" s="93">
        <f t="shared" si="39"/>
        <v>1.2500000000000001E-2</v>
      </c>
      <c r="K526" s="98" t="s">
        <v>387</v>
      </c>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100"/>
      <c r="AU526" s="87"/>
      <c r="AV526" s="87"/>
      <c r="AW526" s="87"/>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100"/>
      <c r="EJ526" s="100"/>
      <c r="EK526" s="100"/>
      <c r="EL526" s="100"/>
      <c r="EM526" s="100"/>
      <c r="EN526" s="100"/>
      <c r="EO526" s="100"/>
      <c r="EP526" s="87"/>
      <c r="EQ526" s="87"/>
      <c r="ER526" s="87"/>
      <c r="ES526" s="87"/>
      <c r="ET526" s="87"/>
      <c r="EU526" s="87"/>
      <c r="EV526" s="87"/>
      <c r="EW526" s="87"/>
      <c r="EX526" s="87"/>
      <c r="EY526" s="87"/>
      <c r="EZ526" s="87"/>
      <c r="FA526" s="87"/>
      <c r="FB526" s="87"/>
      <c r="FC526" s="87"/>
      <c r="FD526" s="87"/>
      <c r="FE526" s="87"/>
      <c r="FF526" s="87"/>
      <c r="FG526" s="87"/>
      <c r="FH526" s="87"/>
      <c r="FI526" s="87"/>
      <c r="FJ526" s="87"/>
      <c r="FK526" s="87"/>
    </row>
    <row r="527" spans="1:167" hidden="1" outlineLevel="1">
      <c r="A527" s="31" t="str">
        <f t="shared" si="38"/>
        <v>lt002_instrumenttyp_instrmnt</v>
      </c>
      <c r="B527" s="76" t="s">
        <v>28</v>
      </c>
      <c r="C527" s="77" t="s">
        <v>28</v>
      </c>
      <c r="D527" s="73" t="s">
        <v>40</v>
      </c>
      <c r="E527" s="79" t="s">
        <v>367</v>
      </c>
      <c r="F527" s="80" t="s">
        <v>394</v>
      </c>
      <c r="G527" s="73" t="str">
        <f>INDEX(Auxiliar!$B$16:$B$23,MATCH(Plano_V1!H527,Auxiliar!$C$16:$C$23,0),1)</f>
        <v>1. Concluído</v>
      </c>
      <c r="H527" s="73">
        <f>VLOOKUP(A527,'Aux - pivots1'!$A:$B,2,0)</f>
        <v>1</v>
      </c>
      <c r="I527" s="93">
        <f>SUMIFS(Table1[Estimação (horas)],Table1[Tabela],Plano_V1!E527,Table1[Campo],Plano_V1!F527)</f>
        <v>0.1</v>
      </c>
      <c r="J527" s="93">
        <f t="shared" si="39"/>
        <v>1.2500000000000001E-2</v>
      </c>
      <c r="K527" s="98" t="s">
        <v>387</v>
      </c>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100"/>
      <c r="AU527" s="87"/>
      <c r="AV527" s="87"/>
      <c r="AW527" s="87"/>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100"/>
      <c r="EJ527" s="100"/>
      <c r="EK527" s="100"/>
      <c r="EL527" s="100"/>
      <c r="EM527" s="100"/>
      <c r="EN527" s="100"/>
      <c r="EO527" s="100"/>
      <c r="EP527" s="87"/>
      <c r="EQ527" s="87"/>
      <c r="ER527" s="87"/>
      <c r="ES527" s="87"/>
      <c r="ET527" s="87"/>
      <c r="EU527" s="87"/>
      <c r="EV527" s="87"/>
      <c r="EW527" s="87"/>
      <c r="EX527" s="87"/>
      <c r="EY527" s="87"/>
      <c r="EZ527" s="87"/>
      <c r="FA527" s="87"/>
      <c r="FB527" s="87"/>
      <c r="FC527" s="87"/>
      <c r="FD527" s="87"/>
      <c r="FE527" s="87"/>
      <c r="FF527" s="87"/>
      <c r="FG527" s="87"/>
      <c r="FH527" s="87"/>
      <c r="FI527" s="87"/>
      <c r="FJ527" s="87"/>
      <c r="FK527" s="87"/>
    </row>
    <row r="528" spans="1:167" hidden="1" outlineLevel="1">
      <c r="A528" s="31" t="str">
        <f t="shared" si="38"/>
        <v>lt002_instrumentgrss_crryng_amnt_instrmnt</v>
      </c>
      <c r="B528" s="76" t="s">
        <v>28</v>
      </c>
      <c r="C528" s="77" t="s">
        <v>28</v>
      </c>
      <c r="D528" s="73" t="s">
        <v>40</v>
      </c>
      <c r="E528" s="79" t="s">
        <v>367</v>
      </c>
      <c r="F528" s="80" t="s">
        <v>395</v>
      </c>
      <c r="G528" s="73" t="str">
        <f>INDEX(Auxiliar!$B$16:$B$23,MATCH(Plano_V1!H528,Auxiliar!$C$16:$C$23,0),1)</f>
        <v>1. Concluído</v>
      </c>
      <c r="H528" s="73">
        <f>VLOOKUP(A528,'Aux - pivots1'!$A:$B,2,0)</f>
        <v>1</v>
      </c>
      <c r="I528" s="93">
        <f>SUMIFS(Table1[Estimação (horas)],Table1[Tabela],Plano_V1!E528,Table1[Campo],Plano_V1!F528)</f>
        <v>0.1</v>
      </c>
      <c r="J528" s="93">
        <f t="shared" si="39"/>
        <v>1.2500000000000001E-2</v>
      </c>
      <c r="K528" s="98" t="s">
        <v>387</v>
      </c>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100"/>
      <c r="AU528" s="87"/>
      <c r="AV528" s="87"/>
      <c r="AW528" s="87"/>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100"/>
      <c r="EJ528" s="100"/>
      <c r="EK528" s="100"/>
      <c r="EL528" s="100"/>
      <c r="EM528" s="100"/>
      <c r="EN528" s="100"/>
      <c r="EO528" s="100"/>
      <c r="EP528" s="87"/>
      <c r="EQ528" s="87"/>
      <c r="ER528" s="87"/>
      <c r="ES528" s="87"/>
      <c r="ET528" s="87"/>
      <c r="EU528" s="87"/>
      <c r="EV528" s="87"/>
      <c r="EW528" s="87"/>
      <c r="EX528" s="87"/>
      <c r="EY528" s="87"/>
      <c r="EZ528" s="87"/>
      <c r="FA528" s="87"/>
      <c r="FB528" s="87"/>
      <c r="FC528" s="87"/>
      <c r="FD528" s="87"/>
      <c r="FE528" s="87"/>
      <c r="FF528" s="87"/>
      <c r="FG528" s="87"/>
      <c r="FH528" s="87"/>
      <c r="FI528" s="87"/>
      <c r="FJ528" s="87"/>
      <c r="FK528" s="87"/>
    </row>
    <row r="529" spans="1:167" hidden="1" outlineLevel="1">
      <c r="A529" s="31" t="str">
        <f t="shared" si="38"/>
        <v>lt002_instrumentaccmltd_chngs_fv_cr_instrmnt</v>
      </c>
      <c r="B529" s="76" t="s">
        <v>28</v>
      </c>
      <c r="C529" s="77" t="s">
        <v>28</v>
      </c>
      <c r="D529" s="73" t="s">
        <v>40</v>
      </c>
      <c r="E529" s="79" t="s">
        <v>367</v>
      </c>
      <c r="F529" s="80" t="s">
        <v>396</v>
      </c>
      <c r="G529" s="73" t="str">
        <f>INDEX(Auxiliar!$B$16:$B$23,MATCH(Plano_V1!H529,Auxiliar!$C$16:$C$23,0),1)</f>
        <v>1. Concluído</v>
      </c>
      <c r="H529" s="73">
        <f>VLOOKUP(A529,'Aux - pivots1'!$A:$B,2,0)</f>
        <v>1</v>
      </c>
      <c r="I529" s="93">
        <f>SUMIFS(Table1[Estimação (horas)],Table1[Tabela],Plano_V1!E529,Table1[Campo],Plano_V1!F529)</f>
        <v>0.1</v>
      </c>
      <c r="J529" s="93">
        <f t="shared" si="39"/>
        <v>1.2500000000000001E-2</v>
      </c>
      <c r="K529" s="98" t="s">
        <v>387</v>
      </c>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100"/>
      <c r="AU529" s="87"/>
      <c r="AV529" s="87"/>
      <c r="AW529" s="87"/>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100"/>
      <c r="EJ529" s="100"/>
      <c r="EK529" s="100"/>
      <c r="EL529" s="100"/>
      <c r="EM529" s="100"/>
      <c r="EN529" s="100"/>
      <c r="EO529" s="100"/>
      <c r="EP529" s="87"/>
      <c r="EQ529" s="87"/>
      <c r="ER529" s="87"/>
      <c r="ES529" s="87"/>
      <c r="ET529" s="87"/>
      <c r="EU529" s="87"/>
      <c r="EV529" s="87"/>
      <c r="EW529" s="87"/>
      <c r="EX529" s="87"/>
      <c r="EY529" s="87"/>
      <c r="EZ529" s="87"/>
      <c r="FA529" s="87"/>
      <c r="FB529" s="87"/>
      <c r="FC529" s="87"/>
      <c r="FD529" s="87"/>
      <c r="FE529" s="87"/>
      <c r="FF529" s="87"/>
      <c r="FG529" s="87"/>
      <c r="FH529" s="87"/>
      <c r="FI529" s="87"/>
      <c r="FJ529" s="87"/>
      <c r="FK529" s="87"/>
    </row>
    <row r="530" spans="1:167" hidden="1" outlineLevel="1">
      <c r="A530" s="31" t="str">
        <f t="shared" si="38"/>
        <v>lt002_instrumentaccntng_clssfctn</v>
      </c>
      <c r="B530" s="76" t="s">
        <v>28</v>
      </c>
      <c r="C530" s="77" t="s">
        <v>28</v>
      </c>
      <c r="D530" s="73" t="s">
        <v>40</v>
      </c>
      <c r="E530" s="79" t="s">
        <v>367</v>
      </c>
      <c r="F530" s="80" t="s">
        <v>397</v>
      </c>
      <c r="G530" s="73" t="str">
        <f>INDEX(Auxiliar!$B$16:$B$23,MATCH(Plano_V1!H530,Auxiliar!$C$16:$C$23,0),1)</f>
        <v>1. Concluído</v>
      </c>
      <c r="H530" s="73">
        <f>VLOOKUP(A530,'Aux - pivots1'!$A:$B,2,0)</f>
        <v>1</v>
      </c>
      <c r="I530" s="93">
        <f>SUMIFS(Table1[Estimação (horas)],Table1[Tabela],Plano_V1!E530,Table1[Campo],Plano_V1!F530)</f>
        <v>0.1</v>
      </c>
      <c r="J530" s="93">
        <f t="shared" si="39"/>
        <v>1.2500000000000001E-2</v>
      </c>
      <c r="K530" s="98" t="s">
        <v>387</v>
      </c>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100"/>
      <c r="AU530" s="87"/>
      <c r="AV530" s="87"/>
      <c r="AW530" s="87"/>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100"/>
      <c r="EJ530" s="100"/>
      <c r="EK530" s="100"/>
      <c r="EL530" s="100"/>
      <c r="EM530" s="100"/>
      <c r="EN530" s="100"/>
      <c r="EO530" s="100"/>
      <c r="EP530" s="87"/>
      <c r="EQ530" s="87"/>
      <c r="ER530" s="87"/>
      <c r="ES530" s="87"/>
      <c r="ET530" s="87"/>
      <c r="EU530" s="87"/>
      <c r="EV530" s="87"/>
      <c r="EW530" s="87"/>
      <c r="EX530" s="87"/>
      <c r="EY530" s="87"/>
      <c r="EZ530" s="87"/>
      <c r="FA530" s="87"/>
      <c r="FB530" s="87"/>
      <c r="FC530" s="87"/>
      <c r="FD530" s="87"/>
      <c r="FE530" s="87"/>
      <c r="FF530" s="87"/>
      <c r="FG530" s="87"/>
      <c r="FH530" s="87"/>
      <c r="FI530" s="87"/>
      <c r="FJ530" s="87"/>
      <c r="FK530" s="87"/>
    </row>
    <row r="531" spans="1:167" hidden="1" outlineLevel="1">
      <c r="A531" s="31" t="str">
        <f t="shared" si="38"/>
        <v>lt002_instrumentdt_lgl_fnl_mtrty</v>
      </c>
      <c r="B531" s="76" t="s">
        <v>28</v>
      </c>
      <c r="C531" s="77" t="s">
        <v>28</v>
      </c>
      <c r="D531" s="73" t="s">
        <v>40</v>
      </c>
      <c r="E531" s="79" t="s">
        <v>367</v>
      </c>
      <c r="F531" s="80" t="s">
        <v>398</v>
      </c>
      <c r="G531" s="73" t="str">
        <f>INDEX(Auxiliar!$B$16:$B$23,MATCH(Plano_V1!H531,Auxiliar!$C$16:$C$23,0),1)</f>
        <v>1. Concluído</v>
      </c>
      <c r="H531" s="73">
        <f>VLOOKUP(A531,'Aux - pivots1'!$A:$B,2,0)</f>
        <v>1</v>
      </c>
      <c r="I531" s="93">
        <f>SUMIFS(Table1[Estimação (horas)],Table1[Tabela],Plano_V1!E531,Table1[Campo],Plano_V1!F531)</f>
        <v>0.1</v>
      </c>
      <c r="J531" s="93">
        <f t="shared" si="39"/>
        <v>1.2500000000000001E-2</v>
      </c>
      <c r="K531" s="98" t="s">
        <v>387</v>
      </c>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100"/>
      <c r="AU531" s="87"/>
      <c r="AV531" s="87"/>
      <c r="AW531" s="87"/>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100"/>
      <c r="EJ531" s="100"/>
      <c r="EK531" s="100"/>
      <c r="EL531" s="100"/>
      <c r="EM531" s="100"/>
      <c r="EN531" s="100"/>
      <c r="EO531" s="100"/>
      <c r="EP531" s="87"/>
      <c r="EQ531" s="87"/>
      <c r="ER531" s="87"/>
      <c r="ES531" s="87"/>
      <c r="ET531" s="87"/>
      <c r="EU531" s="87"/>
      <c r="EV531" s="87"/>
      <c r="EW531" s="87"/>
      <c r="EX531" s="87"/>
      <c r="EY531" s="87"/>
      <c r="EZ531" s="87"/>
      <c r="FA531" s="87"/>
      <c r="FB531" s="87"/>
      <c r="FC531" s="87"/>
      <c r="FD531" s="87"/>
      <c r="FE531" s="87"/>
      <c r="FF531" s="87"/>
      <c r="FG531" s="87"/>
      <c r="FH531" s="87"/>
      <c r="FI531" s="87"/>
      <c r="FJ531" s="87"/>
      <c r="FK531" s="87"/>
    </row>
    <row r="532" spans="1:167" hidden="1" outlineLevel="1">
      <c r="A532" s="31" t="str">
        <f t="shared" si="38"/>
        <v>lt002_instrumentaccmltd_imprmnt_instrmnt</v>
      </c>
      <c r="B532" s="76" t="s">
        <v>28</v>
      </c>
      <c r="C532" s="77" t="s">
        <v>28</v>
      </c>
      <c r="D532" s="73" t="s">
        <v>40</v>
      </c>
      <c r="E532" s="79" t="s">
        <v>367</v>
      </c>
      <c r="F532" s="80" t="s">
        <v>399</v>
      </c>
      <c r="G532" s="73" t="str">
        <f>INDEX(Auxiliar!$B$16:$B$23,MATCH(Plano_V1!H532,Auxiliar!$C$16:$C$23,0),1)</f>
        <v>1. Concluído</v>
      </c>
      <c r="H532" s="73">
        <f>VLOOKUP(A532,'Aux - pivots1'!$A:$B,2,0)</f>
        <v>1</v>
      </c>
      <c r="I532" s="93">
        <f>SUMIFS(Table1[Estimação (horas)],Table1[Tabela],Plano_V1!E532,Table1[Campo],Plano_V1!F532)</f>
        <v>0.1</v>
      </c>
      <c r="J532" s="93">
        <f t="shared" si="39"/>
        <v>1.2500000000000001E-2</v>
      </c>
      <c r="K532" s="98" t="s">
        <v>387</v>
      </c>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100"/>
      <c r="AU532" s="87"/>
      <c r="AV532" s="87"/>
      <c r="AW532" s="87"/>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100"/>
      <c r="EJ532" s="100"/>
      <c r="EK532" s="100"/>
      <c r="EL532" s="100"/>
      <c r="EM532" s="100"/>
      <c r="EN532" s="100"/>
      <c r="EO532" s="100"/>
      <c r="EP532" s="87"/>
      <c r="EQ532" s="87"/>
      <c r="ER532" s="87"/>
      <c r="ES532" s="87"/>
      <c r="ET532" s="87"/>
      <c r="EU532" s="87"/>
      <c r="EV532" s="87"/>
      <c r="EW532" s="87"/>
      <c r="EX532" s="87"/>
      <c r="EY532" s="87"/>
      <c r="EZ532" s="87"/>
      <c r="FA532" s="87"/>
      <c r="FB532" s="87"/>
      <c r="FC532" s="87"/>
      <c r="FD532" s="87"/>
      <c r="FE532" s="87"/>
      <c r="FF532" s="87"/>
      <c r="FG532" s="87"/>
      <c r="FH532" s="87"/>
      <c r="FI532" s="87"/>
      <c r="FJ532" s="87"/>
      <c r="FK532" s="87"/>
    </row>
    <row r="533" spans="1:167" hidden="1" outlineLevel="1">
      <c r="A533" s="31" t="str">
        <f t="shared" si="38"/>
        <v>lt002_instrumentissr_cntry</v>
      </c>
      <c r="B533" s="76" t="s">
        <v>28</v>
      </c>
      <c r="C533" s="77" t="s">
        <v>28</v>
      </c>
      <c r="D533" s="73" t="s">
        <v>40</v>
      </c>
      <c r="E533" s="79" t="s">
        <v>367</v>
      </c>
      <c r="F533" s="80" t="s">
        <v>400</v>
      </c>
      <c r="G533" s="73" t="str">
        <f>INDEX(Auxiliar!$B$16:$B$23,MATCH(Plano_V1!H533,Auxiliar!$C$16:$C$23,0),1)</f>
        <v>1. Concluído</v>
      </c>
      <c r="H533" s="73">
        <f>VLOOKUP(A533,'Aux - pivots1'!$A:$B,2,0)</f>
        <v>1</v>
      </c>
      <c r="I533" s="93">
        <f>SUMIFS(Table1[Estimação (horas)],Table1[Tabela],Plano_V1!E533,Table1[Campo],Plano_V1!F533)</f>
        <v>0.1</v>
      </c>
      <c r="J533" s="93">
        <f t="shared" si="39"/>
        <v>1.2500000000000001E-2</v>
      </c>
      <c r="K533" s="98" t="s">
        <v>387</v>
      </c>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100"/>
      <c r="AU533" s="87"/>
      <c r="AV533" s="87"/>
      <c r="AW533" s="87"/>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100"/>
      <c r="EJ533" s="100"/>
      <c r="EK533" s="100"/>
      <c r="EL533" s="100"/>
      <c r="EM533" s="100"/>
      <c r="EN533" s="100"/>
      <c r="EO533" s="100"/>
      <c r="EP533" s="87"/>
      <c r="EQ533" s="87"/>
      <c r="ER533" s="87"/>
      <c r="ES533" s="87"/>
      <c r="ET533" s="87"/>
      <c r="EU533" s="87"/>
      <c r="EV533" s="87"/>
      <c r="EW533" s="87"/>
      <c r="EX533" s="87"/>
      <c r="EY533" s="87"/>
      <c r="EZ533" s="87"/>
      <c r="FA533" s="87"/>
      <c r="FB533" s="87"/>
      <c r="FC533" s="87"/>
      <c r="FD533" s="87"/>
      <c r="FE533" s="87"/>
      <c r="FF533" s="87"/>
      <c r="FG533" s="87"/>
      <c r="FH533" s="87"/>
      <c r="FI533" s="87"/>
      <c r="FJ533" s="87"/>
      <c r="FK533" s="87"/>
    </row>
    <row r="534" spans="1:167" hidden="1" outlineLevel="1">
      <c r="A534" s="31" t="str">
        <f t="shared" si="38"/>
        <v>lt002_instrumentissr_nace_sctr</v>
      </c>
      <c r="B534" s="76" t="s">
        <v>28</v>
      </c>
      <c r="C534" s="77" t="s">
        <v>28</v>
      </c>
      <c r="D534" s="73" t="s">
        <v>40</v>
      </c>
      <c r="E534" s="79" t="s">
        <v>367</v>
      </c>
      <c r="F534" s="80" t="s">
        <v>401</v>
      </c>
      <c r="G534" s="73" t="str">
        <f>INDEX(Auxiliar!$B$16:$B$23,MATCH(Plano_V1!H534,Auxiliar!$C$16:$C$23,0),1)</f>
        <v>1. Concluído</v>
      </c>
      <c r="H534" s="73">
        <f>VLOOKUP(A534,'Aux - pivots1'!$A:$B,2,0)</f>
        <v>1</v>
      </c>
      <c r="I534" s="93">
        <f>SUMIFS(Table1[Estimação (horas)],Table1[Tabela],Plano_V1!E534,Table1[Campo],Plano_V1!F534)</f>
        <v>0.1</v>
      </c>
      <c r="J534" s="93">
        <f t="shared" si="39"/>
        <v>1.2500000000000001E-2</v>
      </c>
      <c r="K534" s="98" t="s">
        <v>387</v>
      </c>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100"/>
      <c r="AU534" s="87"/>
      <c r="AV534" s="87"/>
      <c r="AW534" s="87"/>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100"/>
      <c r="EJ534" s="100"/>
      <c r="EK534" s="100"/>
      <c r="EL534" s="100"/>
      <c r="EM534" s="100"/>
      <c r="EN534" s="100"/>
      <c r="EO534" s="100"/>
      <c r="EP534" s="87"/>
      <c r="EQ534" s="87"/>
      <c r="ER534" s="87"/>
      <c r="ES534" s="87"/>
      <c r="ET534" s="87"/>
      <c r="EU534" s="87"/>
      <c r="EV534" s="87"/>
      <c r="EW534" s="87"/>
      <c r="EX534" s="87"/>
      <c r="EY534" s="87"/>
      <c r="EZ534" s="87"/>
      <c r="FA534" s="87"/>
      <c r="FB534" s="87"/>
      <c r="FC534" s="87"/>
      <c r="FD534" s="87"/>
      <c r="FE534" s="87"/>
      <c r="FF534" s="87"/>
      <c r="FG534" s="87"/>
      <c r="FH534" s="87"/>
      <c r="FI534" s="87"/>
      <c r="FJ534" s="87"/>
      <c r="FK534" s="87"/>
    </row>
    <row r="535" spans="1:167" hidden="1" outlineLevel="1">
      <c r="A535" s="31" t="str">
        <f t="shared" si="38"/>
        <v>lt002_instrumentprmry_asst_clssf</v>
      </c>
      <c r="B535" s="76" t="s">
        <v>28</v>
      </c>
      <c r="C535" s="77" t="s">
        <v>28</v>
      </c>
      <c r="D535" s="73" t="s">
        <v>40</v>
      </c>
      <c r="E535" s="79" t="s">
        <v>367</v>
      </c>
      <c r="F535" s="80" t="s">
        <v>402</v>
      </c>
      <c r="G535" s="73" t="str">
        <f>INDEX(Auxiliar!$B$16:$B$23,MATCH(Plano_V1!H535,Auxiliar!$C$16:$C$23,0),1)</f>
        <v>1. Concluído</v>
      </c>
      <c r="H535" s="73">
        <f>VLOOKUP(A535,'Aux - pivots1'!$A:$B,2,0)</f>
        <v>1</v>
      </c>
      <c r="I535" s="93">
        <f>SUMIFS(Table1[Estimação (horas)],Table1[Tabela],Plano_V1!E535,Table1[Campo],Plano_V1!F535)</f>
        <v>0.1</v>
      </c>
      <c r="J535" s="93">
        <f t="shared" si="39"/>
        <v>1.2500000000000001E-2</v>
      </c>
      <c r="K535" s="98" t="s">
        <v>387</v>
      </c>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100"/>
      <c r="AU535" s="87"/>
      <c r="AV535" s="87"/>
      <c r="AW535" s="87"/>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100"/>
      <c r="EJ535" s="100"/>
      <c r="EK535" s="100"/>
      <c r="EL535" s="100"/>
      <c r="EM535" s="100"/>
      <c r="EN535" s="100"/>
      <c r="EO535" s="100"/>
      <c r="EP535" s="87"/>
      <c r="EQ535" s="87"/>
      <c r="ER535" s="87"/>
      <c r="ES535" s="87"/>
      <c r="ET535" s="87"/>
      <c r="EU535" s="87"/>
      <c r="EV535" s="87"/>
      <c r="EW535" s="87"/>
      <c r="EX535" s="87"/>
      <c r="EY535" s="87"/>
      <c r="EZ535" s="87"/>
      <c r="FA535" s="87"/>
      <c r="FB535" s="87"/>
      <c r="FC535" s="87"/>
      <c r="FD535" s="87"/>
      <c r="FE535" s="87"/>
      <c r="FF535" s="87"/>
      <c r="FG535" s="87"/>
      <c r="FH535" s="87"/>
      <c r="FI535" s="87"/>
      <c r="FJ535" s="87"/>
      <c r="FK535" s="87"/>
    </row>
    <row r="536" spans="1:167" hidden="1" outlineLevel="1">
      <c r="A536" s="31" t="str">
        <f t="shared" si="38"/>
        <v>lt002_instrumentsubportfolio_id</v>
      </c>
      <c r="B536" s="76" t="s">
        <v>28</v>
      </c>
      <c r="C536" s="77" t="s">
        <v>28</v>
      </c>
      <c r="D536" s="73" t="s">
        <v>40</v>
      </c>
      <c r="E536" s="79" t="s">
        <v>367</v>
      </c>
      <c r="F536" s="80" t="s">
        <v>403</v>
      </c>
      <c r="G536" s="73" t="str">
        <f>INDEX(Auxiliar!$B$16:$B$23,MATCH(Plano_V1!H536,Auxiliar!$C$16:$C$23,0),1)</f>
        <v>1. Concluído</v>
      </c>
      <c r="H536" s="73">
        <f>VLOOKUP(A536,'Aux - pivots1'!$A:$B,2,0)</f>
        <v>1</v>
      </c>
      <c r="I536" s="93">
        <f>SUMIFS(Table1[Estimação (horas)],Table1[Tabela],Plano_V1!E536,Table1[Campo],Plano_V1!F536)</f>
        <v>0.1</v>
      </c>
      <c r="J536" s="93">
        <f t="shared" si="39"/>
        <v>1.2500000000000001E-2</v>
      </c>
      <c r="K536" s="98" t="s">
        <v>387</v>
      </c>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100"/>
      <c r="AU536" s="87"/>
      <c r="AV536" s="87"/>
      <c r="AW536" s="87"/>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100"/>
      <c r="EJ536" s="100"/>
      <c r="EK536" s="100"/>
      <c r="EL536" s="100"/>
      <c r="EM536" s="100"/>
      <c r="EN536" s="100"/>
      <c r="EO536" s="100"/>
      <c r="EP536" s="87"/>
      <c r="EQ536" s="87"/>
      <c r="ER536" s="87"/>
      <c r="ES536" s="87"/>
      <c r="ET536" s="87"/>
      <c r="EU536" s="87"/>
      <c r="EV536" s="87"/>
      <c r="EW536" s="87"/>
      <c r="EX536" s="87"/>
      <c r="EY536" s="87"/>
      <c r="EZ536" s="87"/>
      <c r="FA536" s="87"/>
      <c r="FB536" s="87"/>
      <c r="FC536" s="87"/>
      <c r="FD536" s="87"/>
      <c r="FE536" s="87"/>
      <c r="FF536" s="87"/>
      <c r="FG536" s="87"/>
      <c r="FH536" s="87"/>
      <c r="FI536" s="87"/>
      <c r="FJ536" s="87"/>
      <c r="FK536" s="87"/>
    </row>
    <row r="537" spans="1:167" hidden="1" outlineLevel="1">
      <c r="A537" s="31" t="str">
        <f t="shared" si="38"/>
        <v>lt002_instrumentcod_soc</v>
      </c>
      <c r="B537" s="76" t="s">
        <v>28</v>
      </c>
      <c r="C537" s="77" t="s">
        <v>28</v>
      </c>
      <c r="D537" s="73" t="s">
        <v>40</v>
      </c>
      <c r="E537" s="79" t="s">
        <v>367</v>
      </c>
      <c r="F537" s="80" t="s">
        <v>404</v>
      </c>
      <c r="G537" s="73" t="str">
        <f>INDEX(Auxiliar!$B$16:$B$23,MATCH(Plano_V1!H537,Auxiliar!$C$16:$C$23,0),1)</f>
        <v>1. Concluído</v>
      </c>
      <c r="H537" s="73">
        <f>VLOOKUP(A537,'Aux - pivots1'!$A:$B,2,0)</f>
        <v>1</v>
      </c>
      <c r="I537" s="93">
        <f>SUMIFS(Table1[Estimação (horas)],Table1[Tabela],Plano_V1!E537,Table1[Campo],Plano_V1!F537)</f>
        <v>0.1</v>
      </c>
      <c r="J537" s="93">
        <f t="shared" si="39"/>
        <v>1.2500000000000001E-2</v>
      </c>
      <c r="K537" s="98" t="s">
        <v>387</v>
      </c>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100"/>
      <c r="AU537" s="87"/>
      <c r="AV537" s="87"/>
      <c r="AW537" s="87"/>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100"/>
      <c r="EJ537" s="100"/>
      <c r="EK537" s="100"/>
      <c r="EL537" s="100"/>
      <c r="EM537" s="100"/>
      <c r="EN537" s="100"/>
      <c r="EO537" s="100"/>
      <c r="EP537" s="87"/>
      <c r="EQ537" s="87"/>
      <c r="ER537" s="87"/>
      <c r="ES537" s="87"/>
      <c r="ET537" s="87"/>
      <c r="EU537" s="87"/>
      <c r="EV537" s="87"/>
      <c r="EW537" s="87"/>
      <c r="EX537" s="87"/>
      <c r="EY537" s="87"/>
      <c r="EZ537" s="87"/>
      <c r="FA537" s="87"/>
      <c r="FB537" s="87"/>
      <c r="FC537" s="87"/>
      <c r="FD537" s="87"/>
      <c r="FE537" s="87"/>
      <c r="FF537" s="87"/>
      <c r="FG537" s="87"/>
      <c r="FH537" s="87"/>
      <c r="FI537" s="87"/>
      <c r="FJ537" s="87"/>
      <c r="FK537" s="87"/>
    </row>
    <row r="538" spans="1:167" hidden="1" outlineLevel="1">
      <c r="A538" s="31" t="str">
        <f t="shared" si="38"/>
        <v>lt002_instrumentlcl_instmrnt_id</v>
      </c>
      <c r="B538" s="76" t="s">
        <v>28</v>
      </c>
      <c r="C538" s="77" t="s">
        <v>28</v>
      </c>
      <c r="D538" s="73" t="s">
        <v>40</v>
      </c>
      <c r="E538" s="79" t="s">
        <v>367</v>
      </c>
      <c r="F538" s="80" t="s">
        <v>405</v>
      </c>
      <c r="G538" s="73" t="str">
        <f>INDEX(Auxiliar!$B$16:$B$23,MATCH(Plano_V1!H538,Auxiliar!$C$16:$C$23,0),1)</f>
        <v>1. Concluído</v>
      </c>
      <c r="H538" s="73">
        <f>VLOOKUP(A538,'Aux - pivots1'!$A:$B,2,0)</f>
        <v>1</v>
      </c>
      <c r="I538" s="93">
        <f>SUMIFS(Table1[Estimação (horas)],Table1[Tabela],Plano_V1!E538,Table1[Campo],Plano_V1!F538)</f>
        <v>0.1</v>
      </c>
      <c r="J538" s="93">
        <f t="shared" si="39"/>
        <v>1.2500000000000001E-2</v>
      </c>
      <c r="K538" s="98" t="s">
        <v>387</v>
      </c>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100"/>
      <c r="AU538" s="87"/>
      <c r="AV538" s="87"/>
      <c r="AW538" s="87"/>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100"/>
      <c r="EJ538" s="100"/>
      <c r="EK538" s="100"/>
      <c r="EL538" s="100"/>
      <c r="EM538" s="100"/>
      <c r="EN538" s="100"/>
      <c r="EO538" s="100"/>
      <c r="EP538" s="87"/>
      <c r="EQ538" s="87"/>
      <c r="ER538" s="87"/>
      <c r="ES538" s="87"/>
      <c r="ET538" s="87"/>
      <c r="EU538" s="87"/>
      <c r="EV538" s="87"/>
      <c r="EW538" s="87"/>
      <c r="EX538" s="87"/>
      <c r="EY538" s="87"/>
      <c r="EZ538" s="87"/>
      <c r="FA538" s="87"/>
      <c r="FB538" s="87"/>
      <c r="FC538" s="87"/>
      <c r="FD538" s="87"/>
      <c r="FE538" s="87"/>
      <c r="FF538" s="87"/>
      <c r="FG538" s="87"/>
      <c r="FH538" s="87"/>
      <c r="FI538" s="87"/>
      <c r="FJ538" s="87"/>
      <c r="FK538" s="87"/>
    </row>
    <row r="539" spans="1:167" hidden="1" outlineLevel="1">
      <c r="A539" s="31" t="str">
        <f t="shared" si="38"/>
        <v>lt002_instrumentsstnbl_indctr</v>
      </c>
      <c r="B539" s="76" t="s">
        <v>28</v>
      </c>
      <c r="C539" s="77" t="s">
        <v>28</v>
      </c>
      <c r="D539" s="73" t="s">
        <v>40</v>
      </c>
      <c r="E539" s="79" t="s">
        <v>367</v>
      </c>
      <c r="F539" s="80" t="s">
        <v>406</v>
      </c>
      <c r="G539" s="73" t="str">
        <f>INDEX(Auxiliar!$B$16:$B$23,MATCH(Plano_V1!H539,Auxiliar!$C$16:$C$23,0),1)</f>
        <v>7. Por iniciar</v>
      </c>
      <c r="H539" s="73">
        <f>VLOOKUP(A539,'Aux - pivots1'!$A:$B,2,0)</f>
        <v>7</v>
      </c>
      <c r="I539" s="93">
        <f>SUMIFS(Table1[Estimação (horas)],Table1[Tabela],Plano_V1!E539,Table1[Campo],Plano_V1!F539)</f>
        <v>0.1</v>
      </c>
      <c r="J539" s="93">
        <f t="shared" si="39"/>
        <v>1.2500000000000001E-2</v>
      </c>
      <c r="K539" s="98" t="s">
        <v>32</v>
      </c>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100"/>
      <c r="AU539" s="87"/>
      <c r="AV539" s="87"/>
      <c r="AW539" s="87"/>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100"/>
      <c r="EJ539" s="100"/>
      <c r="EK539" s="100"/>
      <c r="EL539" s="100"/>
      <c r="EM539" s="100"/>
      <c r="EN539" s="100"/>
      <c r="EO539" s="100"/>
      <c r="EP539" s="87"/>
      <c r="EQ539" s="87"/>
      <c r="ER539" s="87"/>
      <c r="ES539" s="87"/>
      <c r="ET539" s="87"/>
      <c r="EU539" s="87"/>
      <c r="EV539" s="87"/>
      <c r="EW539" s="87"/>
      <c r="EX539" s="87"/>
      <c r="EY539" s="87"/>
      <c r="EZ539" s="87"/>
      <c r="FA539" s="87"/>
      <c r="FB539" s="87"/>
      <c r="FC539" s="87"/>
      <c r="FD539" s="87"/>
      <c r="FE539" s="87"/>
      <c r="FF539" s="87"/>
      <c r="FG539" s="87"/>
      <c r="FH539" s="87"/>
      <c r="FI539" s="87"/>
      <c r="FJ539" s="87"/>
      <c r="FK539" s="87"/>
    </row>
    <row r="540" spans="1:167" hidden="1" outlineLevel="1">
      <c r="A540" s="31" t="str">
        <f t="shared" si="38"/>
        <v>lt002_instrumentsstnbl_ctgry</v>
      </c>
      <c r="B540" s="76" t="s">
        <v>28</v>
      </c>
      <c r="C540" s="77" t="s">
        <v>28</v>
      </c>
      <c r="D540" s="73" t="s">
        <v>40</v>
      </c>
      <c r="E540" s="79" t="s">
        <v>367</v>
      </c>
      <c r="F540" s="80" t="s">
        <v>407</v>
      </c>
      <c r="G540" s="73" t="str">
        <f>INDEX(Auxiliar!$B$16:$B$23,MATCH(Plano_V1!H540,Auxiliar!$C$16:$C$23,0),1)</f>
        <v>7. Por iniciar</v>
      </c>
      <c r="H540" s="73">
        <f>VLOOKUP(A540,'Aux - pivots1'!$A:$B,2,0)</f>
        <v>7</v>
      </c>
      <c r="I540" s="93">
        <f>SUMIFS(Table1[Estimação (horas)],Table1[Tabela],Plano_V1!E540,Table1[Campo],Plano_V1!F540)</f>
        <v>0.1</v>
      </c>
      <c r="J540" s="93">
        <f t="shared" si="39"/>
        <v>1.2500000000000001E-2</v>
      </c>
      <c r="K540" s="98" t="s">
        <v>32</v>
      </c>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100"/>
      <c r="AU540" s="87"/>
      <c r="AV540" s="87"/>
      <c r="AW540" s="87"/>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100"/>
      <c r="EJ540" s="100"/>
      <c r="EK540" s="100"/>
      <c r="EL540" s="100"/>
      <c r="EM540" s="100"/>
      <c r="EN540" s="100"/>
      <c r="EO540" s="100"/>
      <c r="EP540" s="87"/>
      <c r="EQ540" s="87"/>
      <c r="ER540" s="87"/>
      <c r="ES540" s="87"/>
      <c r="ET540" s="87"/>
      <c r="EU540" s="87"/>
      <c r="EV540" s="87"/>
      <c r="EW540" s="87"/>
      <c r="EX540" s="87"/>
      <c r="EY540" s="87"/>
      <c r="EZ540" s="87"/>
      <c r="FA540" s="87"/>
      <c r="FB540" s="87"/>
      <c r="FC540" s="87"/>
      <c r="FD540" s="87"/>
      <c r="FE540" s="87"/>
      <c r="FF540" s="87"/>
      <c r="FG540" s="87"/>
      <c r="FH540" s="87"/>
      <c r="FI540" s="87"/>
      <c r="FJ540" s="87"/>
      <c r="FK540" s="87"/>
    </row>
    <row r="541" spans="1:167" hidden="1" outlineLevel="1">
      <c r="A541" s="31" t="str">
        <f t="shared" si="38"/>
        <v>lt002_instrumentgrss_intrst_incm</v>
      </c>
      <c r="B541" s="76" t="s">
        <v>28</v>
      </c>
      <c r="C541" s="77" t="s">
        <v>28</v>
      </c>
      <c r="D541" s="73" t="s">
        <v>40</v>
      </c>
      <c r="E541" s="79" t="s">
        <v>367</v>
      </c>
      <c r="F541" s="80" t="s">
        <v>408</v>
      </c>
      <c r="G541" s="73" t="str">
        <f>INDEX(Auxiliar!$B$16:$B$23,MATCH(Plano_V1!H541,Auxiliar!$C$16:$C$23,0),1)</f>
        <v>7. Por iniciar</v>
      </c>
      <c r="H541" s="73">
        <f>VLOOKUP(A541,'Aux - pivots1'!$A:$B,2,0)</f>
        <v>7</v>
      </c>
      <c r="I541" s="93">
        <f>SUMIFS(Table1[Estimação (horas)],Table1[Tabela],Plano_V1!E541,Table1[Campo],Plano_V1!F541)</f>
        <v>0.1</v>
      </c>
      <c r="J541" s="93">
        <f t="shared" si="39"/>
        <v>1.2500000000000001E-2</v>
      </c>
      <c r="K541" s="98" t="s">
        <v>32</v>
      </c>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100"/>
      <c r="AU541" s="87"/>
      <c r="AV541" s="87"/>
      <c r="AW541" s="87"/>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100"/>
      <c r="EJ541" s="100"/>
      <c r="EK541" s="100"/>
      <c r="EL541" s="100"/>
      <c r="EM541" s="100"/>
      <c r="EN541" s="100"/>
      <c r="EO541" s="100"/>
      <c r="EP541" s="87"/>
      <c r="EQ541" s="87"/>
      <c r="ER541" s="87"/>
      <c r="ES541" s="87"/>
      <c r="ET541" s="87"/>
      <c r="EU541" s="87"/>
      <c r="EV541" s="87"/>
      <c r="EW541" s="87"/>
      <c r="EX541" s="87"/>
      <c r="EY541" s="87"/>
      <c r="EZ541" s="87"/>
      <c r="FA541" s="87"/>
      <c r="FB541" s="87"/>
      <c r="FC541" s="87"/>
      <c r="FD541" s="87"/>
      <c r="FE541" s="87"/>
      <c r="FF541" s="87"/>
      <c r="FG541" s="87"/>
      <c r="FH541" s="87"/>
      <c r="FI541" s="87"/>
      <c r="FJ541" s="87"/>
      <c r="FK541" s="87"/>
    </row>
    <row r="542" spans="1:167" hidden="1" outlineLevel="1">
      <c r="A542" s="31" t="str">
        <f t="shared" si="38"/>
        <v>lt002_instrumentgrss_cmmssn_incm</v>
      </c>
      <c r="B542" s="76" t="s">
        <v>28</v>
      </c>
      <c r="C542" s="77" t="s">
        <v>28</v>
      </c>
      <c r="D542" s="73" t="s">
        <v>40</v>
      </c>
      <c r="E542" s="79" t="s">
        <v>367</v>
      </c>
      <c r="F542" s="80" t="s">
        <v>409</v>
      </c>
      <c r="G542" s="73" t="str">
        <f>INDEX(Auxiliar!$B$16:$B$23,MATCH(Plano_V1!H542,Auxiliar!$C$16:$C$23,0),1)</f>
        <v>7. Por iniciar</v>
      </c>
      <c r="H542" s="73">
        <f>VLOOKUP(A542,'Aux - pivots1'!$A:$B,2,0)</f>
        <v>7</v>
      </c>
      <c r="I542" s="93">
        <f>SUMIFS(Table1[Estimação (horas)],Table1[Tabela],Plano_V1!E542,Table1[Campo],Plano_V1!F542)</f>
        <v>0.1</v>
      </c>
      <c r="J542" s="93">
        <f t="shared" si="39"/>
        <v>1.2500000000000001E-2</v>
      </c>
      <c r="K542" s="98" t="s">
        <v>32</v>
      </c>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100"/>
      <c r="AU542" s="87"/>
      <c r="AV542" s="87"/>
      <c r="AW542" s="87"/>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100"/>
      <c r="EJ542" s="100"/>
      <c r="EK542" s="100"/>
      <c r="EL542" s="100"/>
      <c r="EM542" s="100"/>
      <c r="EN542" s="100"/>
      <c r="EO542" s="100"/>
      <c r="EP542" s="87"/>
      <c r="EQ542" s="87"/>
      <c r="ER542" s="87"/>
      <c r="ES542" s="87"/>
      <c r="ET542" s="87"/>
      <c r="EU542" s="87"/>
      <c r="EV542" s="87"/>
      <c r="EW542" s="87"/>
      <c r="EX542" s="87"/>
      <c r="EY542" s="87"/>
      <c r="EZ542" s="87"/>
      <c r="FA542" s="87"/>
      <c r="FB542" s="87"/>
      <c r="FC542" s="87"/>
      <c r="FD542" s="87"/>
      <c r="FE542" s="87"/>
      <c r="FF542" s="87"/>
      <c r="FG542" s="87"/>
      <c r="FH542" s="87"/>
      <c r="FI542" s="87"/>
      <c r="FJ542" s="87"/>
      <c r="FK542" s="87"/>
    </row>
    <row r="543" spans="1:167" hidden="1" outlineLevel="1">
      <c r="A543" s="31" t="str">
        <f t="shared" si="38"/>
        <v>lt002_instrumentgrss_cmmssn_incm_off_blnc</v>
      </c>
      <c r="B543" s="76" t="s">
        <v>28</v>
      </c>
      <c r="C543" s="77" t="s">
        <v>28</v>
      </c>
      <c r="D543" s="73" t="s">
        <v>40</v>
      </c>
      <c r="E543" s="79" t="s">
        <v>367</v>
      </c>
      <c r="F543" s="80" t="s">
        <v>410</v>
      </c>
      <c r="G543" s="73" t="str">
        <f>INDEX(Auxiliar!$B$16:$B$23,MATCH(Plano_V1!H543,Auxiliar!$C$16:$C$23,0),1)</f>
        <v>7. Por iniciar</v>
      </c>
      <c r="H543" s="73">
        <f>VLOOKUP(A543,'Aux - pivots1'!$A:$B,2,0)</f>
        <v>7</v>
      </c>
      <c r="I543" s="93">
        <f>SUMIFS(Table1[Estimação (horas)],Table1[Tabela],Plano_V1!E543,Table1[Campo],Plano_V1!F543)</f>
        <v>0.1</v>
      </c>
      <c r="J543" s="93">
        <f t="shared" si="39"/>
        <v>1.2500000000000001E-2</v>
      </c>
      <c r="K543" s="98" t="s">
        <v>32</v>
      </c>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100"/>
      <c r="AU543" s="87"/>
      <c r="AV543" s="87"/>
      <c r="AW543" s="87"/>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100"/>
      <c r="EJ543" s="100"/>
      <c r="EK543" s="100"/>
      <c r="EL543" s="100"/>
      <c r="EM543" s="100"/>
      <c r="EN543" s="100"/>
      <c r="EO543" s="100"/>
      <c r="EP543" s="87"/>
      <c r="EQ543" s="87"/>
      <c r="ER543" s="87"/>
      <c r="ES543" s="87"/>
      <c r="ET543" s="87"/>
      <c r="EU543" s="87"/>
      <c r="EV543" s="87"/>
      <c r="EW543" s="87"/>
      <c r="EX543" s="87"/>
      <c r="EY543" s="87"/>
      <c r="EZ543" s="87"/>
      <c r="FA543" s="87"/>
      <c r="FB543" s="87"/>
      <c r="FC543" s="87"/>
      <c r="FD543" s="87"/>
      <c r="FE543" s="87"/>
      <c r="FF543" s="87"/>
      <c r="FG543" s="87"/>
      <c r="FH543" s="87"/>
      <c r="FI543" s="87"/>
      <c r="FJ543" s="87"/>
      <c r="FK543" s="87"/>
    </row>
    <row r="544" spans="1:167" hidden="1" outlineLevel="1">
      <c r="A544" s="31" t="str">
        <f t="shared" si="38"/>
        <v>lt002_instrumentidcmb</v>
      </c>
      <c r="B544" s="76" t="s">
        <v>28</v>
      </c>
      <c r="C544" s="77" t="s">
        <v>28</v>
      </c>
      <c r="D544" s="73" t="s">
        <v>40</v>
      </c>
      <c r="E544" s="79" t="s">
        <v>367</v>
      </c>
      <c r="F544" s="80" t="s">
        <v>411</v>
      </c>
      <c r="G544" s="73" t="str">
        <f>INDEX(Auxiliar!$B$16:$B$23,MATCH(Plano_V1!H544,Auxiliar!$C$16:$C$23,0),1)</f>
        <v>1. Concluído</v>
      </c>
      <c r="H544" s="73">
        <f>VLOOKUP(A544,'Aux - pivots1'!$A:$B,2,0)</f>
        <v>1</v>
      </c>
      <c r="I544" s="93">
        <f>SUMIFS(Table1[Estimação (horas)],Table1[Tabela],Plano_V1!E544,Table1[Campo],Plano_V1!F544)</f>
        <v>0.1</v>
      </c>
      <c r="J544" s="93">
        <f t="shared" si="39"/>
        <v>1.2500000000000001E-2</v>
      </c>
      <c r="K544" s="98" t="s">
        <v>387</v>
      </c>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100"/>
      <c r="AU544" s="87"/>
      <c r="AV544" s="87"/>
      <c r="AW544" s="87"/>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100"/>
      <c r="EJ544" s="100"/>
      <c r="EK544" s="100"/>
      <c r="EL544" s="100"/>
      <c r="EM544" s="100"/>
      <c r="EN544" s="100"/>
      <c r="EO544" s="100"/>
      <c r="EP544" s="87"/>
      <c r="EQ544" s="87"/>
      <c r="ER544" s="87"/>
      <c r="ES544" s="87"/>
      <c r="ET544" s="87"/>
      <c r="EU544" s="87"/>
      <c r="EV544" s="87"/>
      <c r="EW544" s="87"/>
      <c r="EX544" s="87"/>
      <c r="EY544" s="87"/>
      <c r="EZ544" s="87"/>
      <c r="FA544" s="87"/>
      <c r="FB544" s="87"/>
      <c r="FC544" s="87"/>
      <c r="FD544" s="87"/>
      <c r="FE544" s="87"/>
      <c r="FF544" s="87"/>
      <c r="FG544" s="87"/>
      <c r="FH544" s="87"/>
      <c r="FI544" s="87"/>
      <c r="FJ544" s="87"/>
      <c r="FK544" s="87"/>
    </row>
    <row r="545" spans="1:167" hidden="1" outlineLevel="1">
      <c r="A545" s="31" t="str">
        <f t="shared" si="38"/>
        <v>lt003_entitycntry</v>
      </c>
      <c r="B545" s="76" t="s">
        <v>28</v>
      </c>
      <c r="C545" s="77" t="s">
        <v>28</v>
      </c>
      <c r="D545" s="73" t="s">
        <v>40</v>
      </c>
      <c r="E545" s="79" t="s">
        <v>323</v>
      </c>
      <c r="F545" s="80" t="s">
        <v>412</v>
      </c>
      <c r="G545" s="73" t="str">
        <f>INDEX(Auxiliar!$B$16:$B$23,MATCH(Plano_V1!H545,Auxiliar!$C$16:$C$23,0),1)</f>
        <v>1. Concluído</v>
      </c>
      <c r="H545" s="73">
        <f>VLOOKUP(A545,'Aux - pivots1'!$A:$B,2,0)</f>
        <v>1</v>
      </c>
      <c r="I545" s="93">
        <f>SUMIFS(Table1[Estimação (horas)],Table1[Tabela],Plano_V1!E545,Table1[Campo],Plano_V1!F545)</f>
        <v>0.1</v>
      </c>
      <c r="J545" s="93">
        <f t="shared" si="39"/>
        <v>1.2500000000000001E-2</v>
      </c>
      <c r="K545" s="98" t="s">
        <v>387</v>
      </c>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100"/>
      <c r="AU545" s="87"/>
      <c r="AV545" s="87"/>
      <c r="AW545" s="87"/>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100"/>
      <c r="EJ545" s="100"/>
      <c r="EK545" s="100"/>
      <c r="EL545" s="100"/>
      <c r="EM545" s="100"/>
      <c r="EN545" s="100"/>
      <c r="EO545" s="100"/>
      <c r="EP545" s="87"/>
      <c r="EQ545" s="87"/>
      <c r="ER545" s="87"/>
      <c r="ES545" s="87"/>
      <c r="ET545" s="87"/>
      <c r="EU545" s="87"/>
      <c r="EV545" s="87"/>
      <c r="EW545" s="87"/>
      <c r="EX545" s="87"/>
      <c r="EY545" s="87"/>
      <c r="EZ545" s="87"/>
      <c r="FA545" s="87"/>
      <c r="FB545" s="87"/>
      <c r="FC545" s="87"/>
      <c r="FD545" s="87"/>
      <c r="FE545" s="87"/>
      <c r="FF545" s="87"/>
      <c r="FG545" s="87"/>
      <c r="FH545" s="87"/>
      <c r="FI545" s="87"/>
      <c r="FJ545" s="87"/>
      <c r="FK545" s="87"/>
    </row>
    <row r="546" spans="1:167" hidden="1" outlineLevel="1">
      <c r="A546" s="31" t="str">
        <f t="shared" si="38"/>
        <v>lt003_entitydt_rfrnc</v>
      </c>
      <c r="B546" s="76" t="s">
        <v>28</v>
      </c>
      <c r="C546" s="77" t="s">
        <v>28</v>
      </c>
      <c r="D546" s="73" t="s">
        <v>40</v>
      </c>
      <c r="E546" s="79" t="s">
        <v>323</v>
      </c>
      <c r="F546" s="80" t="s">
        <v>386</v>
      </c>
      <c r="G546" s="73" t="str">
        <f>INDEX(Auxiliar!$B$16:$B$23,MATCH(Plano_V1!H546,Auxiliar!$C$16:$C$23,0),1)</f>
        <v>1. Concluído</v>
      </c>
      <c r="H546" s="73">
        <f>VLOOKUP(A546,'Aux - pivots1'!$A:$B,2,0)</f>
        <v>1</v>
      </c>
      <c r="I546" s="93">
        <f>SUMIFS(Table1[Estimação (horas)],Table1[Tabela],Plano_V1!E546,Table1[Campo],Plano_V1!F546)</f>
        <v>0.1</v>
      </c>
      <c r="J546" s="93">
        <f t="shared" si="39"/>
        <v>1.2500000000000001E-2</v>
      </c>
      <c r="K546" s="98" t="s">
        <v>387</v>
      </c>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100"/>
      <c r="AU546" s="87"/>
      <c r="AV546" s="87"/>
      <c r="AW546" s="87"/>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100"/>
      <c r="EJ546" s="100"/>
      <c r="EK546" s="100"/>
      <c r="EL546" s="100"/>
      <c r="EM546" s="100"/>
      <c r="EN546" s="100"/>
      <c r="EO546" s="100"/>
      <c r="EP546" s="87"/>
      <c r="EQ546" s="87"/>
      <c r="ER546" s="87"/>
      <c r="ES546" s="87"/>
      <c r="ET546" s="87"/>
      <c r="EU546" s="87"/>
      <c r="EV546" s="87"/>
      <c r="EW546" s="87"/>
      <c r="EX546" s="87"/>
      <c r="EY546" s="87"/>
      <c r="EZ546" s="87"/>
      <c r="FA546" s="87"/>
      <c r="FB546" s="87"/>
      <c r="FC546" s="87"/>
      <c r="FD546" s="87"/>
      <c r="FE546" s="87"/>
      <c r="FF546" s="87"/>
      <c r="FG546" s="87"/>
      <c r="FH546" s="87"/>
      <c r="FI546" s="87"/>
      <c r="FJ546" s="87"/>
      <c r="FK546" s="87"/>
    </row>
    <row r="547" spans="1:167" hidden="1" outlineLevel="1">
      <c r="A547" s="31" t="str">
        <f t="shared" si="38"/>
        <v>lt003_entityentty_id</v>
      </c>
      <c r="B547" s="76" t="s">
        <v>28</v>
      </c>
      <c r="C547" s="77" t="s">
        <v>28</v>
      </c>
      <c r="D547" s="73" t="s">
        <v>40</v>
      </c>
      <c r="E547" s="79" t="s">
        <v>323</v>
      </c>
      <c r="F547" s="80" t="s">
        <v>413</v>
      </c>
      <c r="G547" s="73" t="str">
        <f>INDEX(Auxiliar!$B$16:$B$23,MATCH(Plano_V1!H547,Auxiliar!$C$16:$C$23,0),1)</f>
        <v>1. Concluído</v>
      </c>
      <c r="H547" s="73">
        <f>VLOOKUP(A547,'Aux - pivots1'!$A:$B,2,0)</f>
        <v>1</v>
      </c>
      <c r="I547" s="93">
        <f>SUMIFS(Table1[Estimação (horas)],Table1[Tabela],Plano_V1!E547,Table1[Campo],Plano_V1!F547)</f>
        <v>0.1</v>
      </c>
      <c r="J547" s="93">
        <f t="shared" si="39"/>
        <v>1.2500000000000001E-2</v>
      </c>
      <c r="K547" s="98" t="s">
        <v>387</v>
      </c>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100"/>
      <c r="AU547" s="87"/>
      <c r="AV547" s="87"/>
      <c r="AW547" s="87"/>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100"/>
      <c r="EJ547" s="100"/>
      <c r="EK547" s="100"/>
      <c r="EL547" s="100"/>
      <c r="EM547" s="100"/>
      <c r="EN547" s="100"/>
      <c r="EO547" s="100"/>
      <c r="EP547" s="87"/>
      <c r="EQ547" s="87"/>
      <c r="ER547" s="87"/>
      <c r="ES547" s="87"/>
      <c r="ET547" s="87"/>
      <c r="EU547" s="87"/>
      <c r="EV547" s="87"/>
      <c r="EW547" s="87"/>
      <c r="EX547" s="87"/>
      <c r="EY547" s="87"/>
      <c r="EZ547" s="87"/>
      <c r="FA547" s="87"/>
      <c r="FB547" s="87"/>
      <c r="FC547" s="87"/>
      <c r="FD547" s="87"/>
      <c r="FE547" s="87"/>
      <c r="FF547" s="87"/>
      <c r="FG547" s="87"/>
      <c r="FH547" s="87"/>
      <c r="FI547" s="87"/>
      <c r="FJ547" s="87"/>
      <c r="FK547" s="87"/>
    </row>
    <row r="548" spans="1:167" hidden="1" outlineLevel="1">
      <c r="A548" s="31" t="str">
        <f t="shared" si="38"/>
        <v>lt003_entitylei</v>
      </c>
      <c r="B548" s="76" t="s">
        <v>28</v>
      </c>
      <c r="C548" s="77" t="s">
        <v>28</v>
      </c>
      <c r="D548" s="73" t="s">
        <v>40</v>
      </c>
      <c r="E548" s="79" t="s">
        <v>323</v>
      </c>
      <c r="F548" s="80" t="s">
        <v>414</v>
      </c>
      <c r="G548" s="73" t="str">
        <f>INDEX(Auxiliar!$B$16:$B$23,MATCH(Plano_V1!H548,Auxiliar!$C$16:$C$23,0),1)</f>
        <v>1. Concluído</v>
      </c>
      <c r="H548" s="73">
        <f>VLOOKUP(A548,'Aux - pivots1'!$A:$B,2,0)</f>
        <v>1</v>
      </c>
      <c r="I548" s="93">
        <f>SUMIFS(Table1[Estimação (horas)],Table1[Tabela],Plano_V1!E548,Table1[Campo],Plano_V1!F548)</f>
        <v>0.1</v>
      </c>
      <c r="J548" s="93">
        <f t="shared" si="39"/>
        <v>1.2500000000000001E-2</v>
      </c>
      <c r="K548" s="98" t="s">
        <v>387</v>
      </c>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100"/>
      <c r="AU548" s="87"/>
      <c r="AV548" s="87"/>
      <c r="AW548" s="87"/>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100"/>
      <c r="EJ548" s="100"/>
      <c r="EK548" s="100"/>
      <c r="EL548" s="100"/>
      <c r="EM548" s="100"/>
      <c r="EN548" s="100"/>
      <c r="EO548" s="100"/>
      <c r="EP548" s="87"/>
      <c r="EQ548" s="87"/>
      <c r="ER548" s="87"/>
      <c r="ES548" s="87"/>
      <c r="ET548" s="87"/>
      <c r="EU548" s="87"/>
      <c r="EV548" s="87"/>
      <c r="EW548" s="87"/>
      <c r="EX548" s="87"/>
      <c r="EY548" s="87"/>
      <c r="EZ548" s="87"/>
      <c r="FA548" s="87"/>
      <c r="FB548" s="87"/>
      <c r="FC548" s="87"/>
      <c r="FD548" s="87"/>
      <c r="FE548" s="87"/>
      <c r="FF548" s="87"/>
      <c r="FG548" s="87"/>
      <c r="FH548" s="87"/>
      <c r="FI548" s="87"/>
      <c r="FJ548" s="87"/>
      <c r="FK548" s="87"/>
    </row>
    <row r="549" spans="1:167" hidden="1" outlineLevel="1">
      <c r="A549" s="31" t="str">
        <f t="shared" si="38"/>
        <v>lt003_entityecnmc_actvty</v>
      </c>
      <c r="B549" s="76" t="s">
        <v>28</v>
      </c>
      <c r="C549" s="77" t="s">
        <v>28</v>
      </c>
      <c r="D549" s="73" t="s">
        <v>40</v>
      </c>
      <c r="E549" s="79" t="s">
        <v>323</v>
      </c>
      <c r="F549" s="80" t="s">
        <v>415</v>
      </c>
      <c r="G549" s="73" t="str">
        <f>INDEX(Auxiliar!$B$16:$B$23,MATCH(Plano_V1!H549,Auxiliar!$C$16:$C$23,0),1)</f>
        <v>1. Concluído</v>
      </c>
      <c r="H549" s="73">
        <f>VLOOKUP(A549,'Aux - pivots1'!$A:$B,2,0)</f>
        <v>1</v>
      </c>
      <c r="I549" s="93">
        <f>SUMIFS(Table1[Estimação (horas)],Table1[Tabela],Plano_V1!E549,Table1[Campo],Plano_V1!F549)</f>
        <v>0.1</v>
      </c>
      <c r="J549" s="93">
        <f t="shared" si="39"/>
        <v>1.2500000000000001E-2</v>
      </c>
      <c r="K549" s="98" t="s">
        <v>387</v>
      </c>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100"/>
      <c r="AU549" s="87"/>
      <c r="AV549" s="87"/>
      <c r="AW549" s="87"/>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100"/>
      <c r="EJ549" s="100"/>
      <c r="EK549" s="100"/>
      <c r="EL549" s="100"/>
      <c r="EM549" s="100"/>
      <c r="EN549" s="100"/>
      <c r="EO549" s="100"/>
      <c r="EP549" s="87"/>
      <c r="EQ549" s="87"/>
      <c r="ER549" s="87"/>
      <c r="ES549" s="87"/>
      <c r="ET549" s="87"/>
      <c r="EU549" s="87"/>
      <c r="EV549" s="87"/>
      <c r="EW549" s="87"/>
      <c r="EX549" s="87"/>
      <c r="EY549" s="87"/>
      <c r="EZ549" s="87"/>
      <c r="FA549" s="87"/>
      <c r="FB549" s="87"/>
      <c r="FC549" s="87"/>
      <c r="FD549" s="87"/>
      <c r="FE549" s="87"/>
      <c r="FF549" s="87"/>
      <c r="FG549" s="87"/>
      <c r="FH549" s="87"/>
      <c r="FI549" s="87"/>
      <c r="FJ549" s="87"/>
      <c r="FK549" s="87"/>
    </row>
    <row r="550" spans="1:167" hidden="1" outlineLevel="1">
      <c r="A550" s="31" t="str">
        <f t="shared" si="38"/>
        <v>lt003_entitygrp_eqty</v>
      </c>
      <c r="B550" s="76" t="s">
        <v>28</v>
      </c>
      <c r="C550" s="77" t="s">
        <v>28</v>
      </c>
      <c r="D550" s="73" t="s">
        <v>40</v>
      </c>
      <c r="E550" s="79" t="s">
        <v>323</v>
      </c>
      <c r="F550" s="80" t="s">
        <v>416</v>
      </c>
      <c r="G550" s="73" t="str">
        <f>INDEX(Auxiliar!$B$16:$B$23,MATCH(Plano_V1!H550,Auxiliar!$C$16:$C$23,0),1)</f>
        <v>1. Concluído</v>
      </c>
      <c r="H550" s="73">
        <f>VLOOKUP(A550,'Aux - pivots1'!$A:$B,2,0)</f>
        <v>1</v>
      </c>
      <c r="I550" s="93">
        <f>SUMIFS(Table1[Estimação (horas)],Table1[Tabela],Plano_V1!E550,Table1[Campo],Plano_V1!F550)</f>
        <v>0.1</v>
      </c>
      <c r="J550" s="93">
        <f t="shared" si="39"/>
        <v>1.2500000000000001E-2</v>
      </c>
      <c r="K550" s="98" t="s">
        <v>387</v>
      </c>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100"/>
      <c r="AU550" s="87"/>
      <c r="AV550" s="87"/>
      <c r="AW550" s="87"/>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100"/>
      <c r="EJ550" s="100"/>
      <c r="EK550" s="100"/>
      <c r="EL550" s="100"/>
      <c r="EM550" s="100"/>
      <c r="EN550" s="100"/>
      <c r="EO550" s="100"/>
      <c r="EP550" s="87"/>
      <c r="EQ550" s="87"/>
      <c r="ER550" s="87"/>
      <c r="ES550" s="87"/>
      <c r="ET550" s="87"/>
      <c r="EU550" s="87"/>
      <c r="EV550" s="87"/>
      <c r="EW550" s="87"/>
      <c r="EX550" s="87"/>
      <c r="EY550" s="87"/>
      <c r="EZ550" s="87"/>
      <c r="FA550" s="87"/>
      <c r="FB550" s="87"/>
      <c r="FC550" s="87"/>
      <c r="FD550" s="87"/>
      <c r="FE550" s="87"/>
      <c r="FF550" s="87"/>
      <c r="FG550" s="87"/>
      <c r="FH550" s="87"/>
      <c r="FI550" s="87"/>
      <c r="FJ550" s="87"/>
      <c r="FK550" s="87"/>
    </row>
    <row r="551" spans="1:167" hidden="1" outlineLevel="1">
      <c r="A551" s="31" t="str">
        <f t="shared" si="38"/>
        <v>lt003_entityannl_trnvr_le</v>
      </c>
      <c r="B551" s="76" t="s">
        <v>28</v>
      </c>
      <c r="C551" s="77" t="s">
        <v>28</v>
      </c>
      <c r="D551" s="73" t="s">
        <v>40</v>
      </c>
      <c r="E551" s="79" t="s">
        <v>323</v>
      </c>
      <c r="F551" s="80" t="s">
        <v>417</v>
      </c>
      <c r="G551" s="73" t="str">
        <f>INDEX(Auxiliar!$B$16:$B$23,MATCH(Plano_V1!H551,Auxiliar!$C$16:$C$23,0),1)</f>
        <v>1. Concluído</v>
      </c>
      <c r="H551" s="73">
        <f>VLOOKUP(A551,'Aux - pivots1'!$A:$B,2,0)</f>
        <v>1</v>
      </c>
      <c r="I551" s="93">
        <f>SUMIFS(Table1[Estimação (horas)],Table1[Tabela],Plano_V1!E551,Table1[Campo],Plano_V1!F551)</f>
        <v>0.1</v>
      </c>
      <c r="J551" s="93">
        <f t="shared" si="39"/>
        <v>1.2500000000000001E-2</v>
      </c>
      <c r="K551" s="98" t="s">
        <v>387</v>
      </c>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100"/>
      <c r="AU551" s="87"/>
      <c r="AV551" s="87"/>
      <c r="AW551" s="87"/>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100"/>
      <c r="EJ551" s="100"/>
      <c r="EK551" s="100"/>
      <c r="EL551" s="100"/>
      <c r="EM551" s="100"/>
      <c r="EN551" s="100"/>
      <c r="EO551" s="100"/>
      <c r="EP551" s="87"/>
      <c r="EQ551" s="87"/>
      <c r="ER551" s="87"/>
      <c r="ES551" s="87"/>
      <c r="ET551" s="87"/>
      <c r="EU551" s="87"/>
      <c r="EV551" s="87"/>
      <c r="EW551" s="87"/>
      <c r="EX551" s="87"/>
      <c r="EY551" s="87"/>
      <c r="EZ551" s="87"/>
      <c r="FA551" s="87"/>
      <c r="FB551" s="87"/>
      <c r="FC551" s="87"/>
      <c r="FD551" s="87"/>
      <c r="FE551" s="87"/>
      <c r="FF551" s="87"/>
      <c r="FG551" s="87"/>
      <c r="FH551" s="87"/>
      <c r="FI551" s="87"/>
      <c r="FJ551" s="87"/>
      <c r="FK551" s="87"/>
    </row>
    <row r="552" spans="1:167" hidden="1" outlineLevel="1">
      <c r="A552" s="31" t="str">
        <f t="shared" si="38"/>
        <v>lt003_entityeqty</v>
      </c>
      <c r="B552" s="76" t="s">
        <v>28</v>
      </c>
      <c r="C552" s="77" t="s">
        <v>28</v>
      </c>
      <c r="D552" s="73" t="s">
        <v>40</v>
      </c>
      <c r="E552" s="79" t="s">
        <v>323</v>
      </c>
      <c r="F552" s="80" t="s">
        <v>418</v>
      </c>
      <c r="G552" s="73" t="str">
        <f>INDEX(Auxiliar!$B$16:$B$23,MATCH(Plano_V1!H552,Auxiliar!$C$16:$C$23,0),1)</f>
        <v>1. Concluído</v>
      </c>
      <c r="H552" s="73">
        <f>VLOOKUP(A552,'Aux - pivots1'!$A:$B,2,0)</f>
        <v>1</v>
      </c>
      <c r="I552" s="93">
        <f>SUMIFS(Table1[Estimação (horas)],Table1[Tabela],Plano_V1!E552,Table1[Campo],Plano_V1!F552)</f>
        <v>0.1</v>
      </c>
      <c r="J552" s="93">
        <f t="shared" si="39"/>
        <v>1.2500000000000001E-2</v>
      </c>
      <c r="K552" s="98" t="s">
        <v>387</v>
      </c>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100"/>
      <c r="AU552" s="87"/>
      <c r="AV552" s="87"/>
      <c r="AW552" s="87"/>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100"/>
      <c r="EJ552" s="100"/>
      <c r="EK552" s="100"/>
      <c r="EL552" s="100"/>
      <c r="EM552" s="100"/>
      <c r="EN552" s="100"/>
      <c r="EO552" s="100"/>
      <c r="EP552" s="87"/>
      <c r="EQ552" s="87"/>
      <c r="ER552" s="87"/>
      <c r="ES552" s="87"/>
      <c r="ET552" s="87"/>
      <c r="EU552" s="87"/>
      <c r="EV552" s="87"/>
      <c r="EW552" s="87"/>
      <c r="EX552" s="87"/>
      <c r="EY552" s="87"/>
      <c r="EZ552" s="87"/>
      <c r="FA552" s="87"/>
      <c r="FB552" s="87"/>
      <c r="FC552" s="87"/>
      <c r="FD552" s="87"/>
      <c r="FE552" s="87"/>
      <c r="FF552" s="87"/>
      <c r="FG552" s="87"/>
      <c r="FH552" s="87"/>
      <c r="FI552" s="87"/>
      <c r="FJ552" s="87"/>
      <c r="FK552" s="87"/>
    </row>
    <row r="553" spans="1:167" hidden="1" outlineLevel="1">
      <c r="A553" s="31" t="str">
        <f t="shared" si="38"/>
        <v>lt003_entitygrp_ttl_dbt</v>
      </c>
      <c r="B553" s="76" t="s">
        <v>28</v>
      </c>
      <c r="C553" s="77" t="s">
        <v>28</v>
      </c>
      <c r="D553" s="73" t="s">
        <v>40</v>
      </c>
      <c r="E553" s="79" t="s">
        <v>323</v>
      </c>
      <c r="F553" s="80" t="s">
        <v>419</v>
      </c>
      <c r="G553" s="73" t="str">
        <f>INDEX(Auxiliar!$B$16:$B$23,MATCH(Plano_V1!H553,Auxiliar!$C$16:$C$23,0),1)</f>
        <v>1. Concluído</v>
      </c>
      <c r="H553" s="73">
        <f>VLOOKUP(A553,'Aux - pivots1'!$A:$B,2,0)</f>
        <v>1</v>
      </c>
      <c r="I553" s="93">
        <f>SUMIFS(Table1[Estimação (horas)],Table1[Tabela],Plano_V1!E553,Table1[Campo],Plano_V1!F553)</f>
        <v>0.1</v>
      </c>
      <c r="J553" s="93">
        <f t="shared" si="39"/>
        <v>1.2500000000000001E-2</v>
      </c>
      <c r="K553" s="98" t="s">
        <v>387</v>
      </c>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100"/>
      <c r="AU553" s="87"/>
      <c r="AV553" s="87"/>
      <c r="AW553" s="87"/>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100"/>
      <c r="EJ553" s="100"/>
      <c r="EK553" s="100"/>
      <c r="EL553" s="100"/>
      <c r="EM553" s="100"/>
      <c r="EN553" s="100"/>
      <c r="EO553" s="100"/>
      <c r="EP553" s="87"/>
      <c r="EQ553" s="87"/>
      <c r="ER553" s="87"/>
      <c r="ES553" s="87"/>
      <c r="ET553" s="87"/>
      <c r="EU553" s="87"/>
      <c r="EV553" s="87"/>
      <c r="EW553" s="87"/>
      <c r="EX553" s="87"/>
      <c r="EY553" s="87"/>
      <c r="EZ553" s="87"/>
      <c r="FA553" s="87"/>
      <c r="FB553" s="87"/>
      <c r="FC553" s="87"/>
      <c r="FD553" s="87"/>
      <c r="FE553" s="87"/>
      <c r="FF553" s="87"/>
      <c r="FG553" s="87"/>
      <c r="FH553" s="87"/>
      <c r="FI553" s="87"/>
      <c r="FJ553" s="87"/>
      <c r="FK553" s="87"/>
    </row>
    <row r="554" spans="1:167" hidden="1" outlineLevel="1">
      <c r="A554" s="31" t="str">
        <f t="shared" si="38"/>
        <v>lt003_entityttl_dbt</v>
      </c>
      <c r="B554" s="76" t="s">
        <v>28</v>
      </c>
      <c r="C554" s="77" t="s">
        <v>28</v>
      </c>
      <c r="D554" s="73" t="s">
        <v>40</v>
      </c>
      <c r="E554" s="79" t="s">
        <v>323</v>
      </c>
      <c r="F554" s="80" t="s">
        <v>420</v>
      </c>
      <c r="G554" s="73" t="str">
        <f>INDEX(Auxiliar!$B$16:$B$23,MATCH(Plano_V1!H554,Auxiliar!$C$16:$C$23,0),1)</f>
        <v>1. Concluído</v>
      </c>
      <c r="H554" s="73">
        <f>VLOOKUP(A554,'Aux - pivots1'!$A:$B,2,0)</f>
        <v>1</v>
      </c>
      <c r="I554" s="93">
        <f>SUMIFS(Table1[Estimação (horas)],Table1[Tabela],Plano_V1!E554,Table1[Campo],Plano_V1!F554)</f>
        <v>0.1</v>
      </c>
      <c r="J554" s="93">
        <f t="shared" si="39"/>
        <v>1.2500000000000001E-2</v>
      </c>
      <c r="K554" s="98" t="s">
        <v>387</v>
      </c>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100"/>
      <c r="AU554" s="87"/>
      <c r="AV554" s="87"/>
      <c r="AW554" s="87"/>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100"/>
      <c r="EJ554" s="100"/>
      <c r="EK554" s="100"/>
      <c r="EL554" s="100"/>
      <c r="EM554" s="100"/>
      <c r="EN554" s="100"/>
      <c r="EO554" s="100"/>
      <c r="EP554" s="87"/>
      <c r="EQ554" s="87"/>
      <c r="ER554" s="87"/>
      <c r="ES554" s="87"/>
      <c r="ET554" s="87"/>
      <c r="EU554" s="87"/>
      <c r="EV554" s="87"/>
      <c r="EW554" s="87"/>
      <c r="EX554" s="87"/>
      <c r="EY554" s="87"/>
      <c r="EZ554" s="87"/>
      <c r="FA554" s="87"/>
      <c r="FB554" s="87"/>
      <c r="FC554" s="87"/>
      <c r="FD554" s="87"/>
      <c r="FE554" s="87"/>
      <c r="FF554" s="87"/>
      <c r="FG554" s="87"/>
      <c r="FH554" s="87"/>
      <c r="FI554" s="87"/>
      <c r="FJ554" s="87"/>
      <c r="FK554" s="87"/>
    </row>
    <row r="555" spans="1:167" hidden="1" outlineLevel="1">
      <c r="A555" s="31" t="str">
        <f t="shared" si="38"/>
        <v>lt003_entitycod_soc</v>
      </c>
      <c r="B555" s="76" t="s">
        <v>28</v>
      </c>
      <c r="C555" s="77" t="s">
        <v>28</v>
      </c>
      <c r="D555" s="73" t="s">
        <v>40</v>
      </c>
      <c r="E555" s="79" t="s">
        <v>323</v>
      </c>
      <c r="F555" s="80" t="s">
        <v>404</v>
      </c>
      <c r="G555" s="73" t="str">
        <f>INDEX(Auxiliar!$B$16:$B$23,MATCH(Plano_V1!H555,Auxiliar!$C$16:$C$23,0),1)</f>
        <v>1. Concluído</v>
      </c>
      <c r="H555" s="73">
        <f>VLOOKUP(A555,'Aux - pivots1'!$A:$B,2,0)</f>
        <v>1</v>
      </c>
      <c r="I555" s="93">
        <f>SUMIFS(Table1[Estimação (horas)],Table1[Tabela],Plano_V1!E555,Table1[Campo],Plano_V1!F555)</f>
        <v>0.1</v>
      </c>
      <c r="J555" s="93">
        <f t="shared" si="39"/>
        <v>1.2500000000000001E-2</v>
      </c>
      <c r="K555" s="98" t="s">
        <v>387</v>
      </c>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100"/>
      <c r="AU555" s="87"/>
      <c r="AV555" s="87"/>
      <c r="AW555" s="87"/>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100"/>
      <c r="EJ555" s="100"/>
      <c r="EK555" s="100"/>
      <c r="EL555" s="100"/>
      <c r="EM555" s="100"/>
      <c r="EN555" s="100"/>
      <c r="EO555" s="100"/>
      <c r="EP555" s="87"/>
      <c r="EQ555" s="87"/>
      <c r="ER555" s="87"/>
      <c r="ES555" s="87"/>
      <c r="ET555" s="87"/>
      <c r="EU555" s="87"/>
      <c r="EV555" s="87"/>
      <c r="EW555" s="87"/>
      <c r="EX555" s="87"/>
      <c r="EY555" s="87"/>
      <c r="EZ555" s="87"/>
      <c r="FA555" s="87"/>
      <c r="FB555" s="87"/>
      <c r="FC555" s="87"/>
      <c r="FD555" s="87"/>
      <c r="FE555" s="87"/>
      <c r="FF555" s="87"/>
      <c r="FG555" s="87"/>
      <c r="FH555" s="87"/>
      <c r="FI555" s="87"/>
      <c r="FJ555" s="87"/>
      <c r="FK555" s="87"/>
    </row>
    <row r="556" spans="1:167" hidden="1" outlineLevel="1">
      <c r="A556" s="31" t="str">
        <f t="shared" si="38"/>
        <v>lt004_protectiondt_rfrnc</v>
      </c>
      <c r="B556" s="76" t="s">
        <v>28</v>
      </c>
      <c r="C556" s="77" t="s">
        <v>28</v>
      </c>
      <c r="D556" s="73" t="s">
        <v>40</v>
      </c>
      <c r="E556" s="79" t="s">
        <v>356</v>
      </c>
      <c r="F556" s="80" t="s">
        <v>386</v>
      </c>
      <c r="G556" s="73" t="str">
        <f>INDEX(Auxiliar!$B$16:$B$23,MATCH(Plano_V1!H556,Auxiliar!$C$16:$C$23,0),1)</f>
        <v>1. Concluído</v>
      </c>
      <c r="H556" s="73">
        <f>VLOOKUP(A556,'Aux - pivots1'!$A:$B,2,0)</f>
        <v>1</v>
      </c>
      <c r="I556" s="93">
        <f>SUMIFS(Table1[Estimação (horas)],Table1[Tabela],Plano_V1!E556,Table1[Campo],Plano_V1!F556)</f>
        <v>0.1</v>
      </c>
      <c r="J556" s="93">
        <f t="shared" si="39"/>
        <v>1.2500000000000001E-2</v>
      </c>
      <c r="K556" s="98" t="s">
        <v>387</v>
      </c>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100"/>
      <c r="AU556" s="87"/>
      <c r="AV556" s="87"/>
      <c r="AW556" s="87"/>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100"/>
      <c r="EJ556" s="100"/>
      <c r="EK556" s="100"/>
      <c r="EL556" s="100"/>
      <c r="EM556" s="100"/>
      <c r="EN556" s="100"/>
      <c r="EO556" s="100"/>
      <c r="EP556" s="87"/>
      <c r="EQ556" s="87"/>
      <c r="ER556" s="87"/>
      <c r="ES556" s="87"/>
      <c r="ET556" s="87"/>
      <c r="EU556" s="87"/>
      <c r="EV556" s="87"/>
      <c r="EW556" s="87"/>
      <c r="EX556" s="87"/>
      <c r="EY556" s="87"/>
      <c r="EZ556" s="87"/>
      <c r="FA556" s="87"/>
      <c r="FB556" s="87"/>
      <c r="FC556" s="87"/>
      <c r="FD556" s="87"/>
      <c r="FE556" s="87"/>
      <c r="FF556" s="87"/>
      <c r="FG556" s="87"/>
      <c r="FH556" s="87"/>
      <c r="FI556" s="87"/>
      <c r="FJ556" s="87"/>
      <c r="FK556" s="87"/>
    </row>
    <row r="557" spans="1:167" hidden="1" outlineLevel="1">
      <c r="A557" s="31" t="str">
        <f t="shared" si="38"/>
        <v>lt004_protectionprtctn_id</v>
      </c>
      <c r="B557" s="76" t="s">
        <v>28</v>
      </c>
      <c r="C557" s="77" t="s">
        <v>28</v>
      </c>
      <c r="D557" s="73" t="s">
        <v>40</v>
      </c>
      <c r="E557" s="79" t="s">
        <v>356</v>
      </c>
      <c r="F557" s="80" t="s">
        <v>421</v>
      </c>
      <c r="G557" s="73" t="str">
        <f>INDEX(Auxiliar!$B$16:$B$23,MATCH(Plano_V1!H557,Auxiliar!$C$16:$C$23,0),1)</f>
        <v>4. Validação EF</v>
      </c>
      <c r="H557" s="73">
        <f>VLOOKUP(A557,'Aux - pivots1'!$A:$B,2,0)</f>
        <v>4</v>
      </c>
      <c r="I557" s="93">
        <f>SUMIFS(Table1[Estimação (horas)],Table1[Tabela],Plano_V1!E557,Table1[Campo],Plano_V1!F557)</f>
        <v>0.1</v>
      </c>
      <c r="J557" s="93">
        <f t="shared" si="39"/>
        <v>1.2500000000000001E-2</v>
      </c>
      <c r="K557" s="98" t="s">
        <v>387</v>
      </c>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100"/>
      <c r="AU557" s="87"/>
      <c r="AV557" s="87"/>
      <c r="AW557" s="87"/>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100"/>
      <c r="EJ557" s="100"/>
      <c r="EK557" s="100"/>
      <c r="EL557" s="100"/>
      <c r="EM557" s="100"/>
      <c r="EN557" s="100"/>
      <c r="EO557" s="100"/>
      <c r="EP557" s="87"/>
      <c r="EQ557" s="87"/>
      <c r="ER557" s="87"/>
      <c r="ES557" s="87"/>
      <c r="ET557" s="87"/>
      <c r="EU557" s="87"/>
      <c r="EV557" s="87"/>
      <c r="EW557" s="87"/>
      <c r="EX557" s="87"/>
      <c r="EY557" s="87"/>
      <c r="EZ557" s="87"/>
      <c r="FA557" s="87"/>
      <c r="FB557" s="87"/>
      <c r="FC557" s="87"/>
      <c r="FD557" s="87"/>
      <c r="FE557" s="87"/>
      <c r="FF557" s="87"/>
      <c r="FG557" s="87"/>
      <c r="FH557" s="87"/>
      <c r="FI557" s="87"/>
      <c r="FJ557" s="87"/>
      <c r="FK557" s="87"/>
    </row>
    <row r="558" spans="1:167" hidden="1" outlineLevel="1">
      <c r="A558" s="31" t="str">
        <f t="shared" si="38"/>
        <v>lt004_protectionrl_estt_clltrl_lctn</v>
      </c>
      <c r="B558" s="76" t="s">
        <v>28</v>
      </c>
      <c r="C558" s="77" t="s">
        <v>28</v>
      </c>
      <c r="D558" s="73" t="s">
        <v>40</v>
      </c>
      <c r="E558" s="79" t="s">
        <v>356</v>
      </c>
      <c r="F558" s="80" t="s">
        <v>422</v>
      </c>
      <c r="G558" s="73" t="str">
        <f>INDEX(Auxiliar!$B$16:$B$23,MATCH(Plano_V1!H558,Auxiliar!$C$16:$C$23,0),1)</f>
        <v>4. Validação EF</v>
      </c>
      <c r="H558" s="73">
        <f>VLOOKUP(A558,'Aux - pivots1'!$A:$B,2,0)</f>
        <v>4</v>
      </c>
      <c r="I558" s="93">
        <f>SUMIFS(Table1[Estimação (horas)],Table1[Tabela],Plano_V1!E558,Table1[Campo],Plano_V1!F558)</f>
        <v>0.1</v>
      </c>
      <c r="J558" s="93">
        <f t="shared" si="39"/>
        <v>1.2500000000000001E-2</v>
      </c>
      <c r="K558" s="98" t="s">
        <v>387</v>
      </c>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100"/>
      <c r="AU558" s="87"/>
      <c r="AV558" s="87"/>
      <c r="AW558" s="87"/>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100"/>
      <c r="EJ558" s="100"/>
      <c r="EK558" s="100"/>
      <c r="EL558" s="100"/>
      <c r="EM558" s="100"/>
      <c r="EN558" s="100"/>
      <c r="EO558" s="100"/>
      <c r="EP558" s="87"/>
      <c r="EQ558" s="87"/>
      <c r="ER558" s="87"/>
      <c r="ES558" s="87"/>
      <c r="ET558" s="87"/>
      <c r="EU558" s="87"/>
      <c r="EV558" s="87"/>
      <c r="EW558" s="87"/>
      <c r="EX558" s="87"/>
      <c r="EY558" s="87"/>
      <c r="EZ558" s="87"/>
      <c r="FA558" s="87"/>
      <c r="FB558" s="87"/>
      <c r="FC558" s="87"/>
      <c r="FD558" s="87"/>
      <c r="FE558" s="87"/>
      <c r="FF558" s="87"/>
      <c r="FG558" s="87"/>
      <c r="FH558" s="87"/>
      <c r="FI558" s="87"/>
      <c r="FJ558" s="87"/>
      <c r="FK558" s="87"/>
    </row>
    <row r="559" spans="1:167" hidden="1" outlineLevel="1">
      <c r="A559" s="31" t="str">
        <f t="shared" si="38"/>
        <v>lt004_protectionrl_estt_pst_cd</v>
      </c>
      <c r="B559" s="76" t="s">
        <v>28</v>
      </c>
      <c r="C559" s="77" t="s">
        <v>28</v>
      </c>
      <c r="D559" s="73" t="s">
        <v>40</v>
      </c>
      <c r="E559" s="79" t="s">
        <v>356</v>
      </c>
      <c r="F559" s="80" t="s">
        <v>423</v>
      </c>
      <c r="G559" s="73" t="str">
        <f>INDEX(Auxiliar!$B$16:$B$23,MATCH(Plano_V1!H559,Auxiliar!$C$16:$C$23,0),1)</f>
        <v>4. Validação EF</v>
      </c>
      <c r="H559" s="73">
        <f>VLOOKUP(A559,'Aux - pivots1'!$A:$B,2,0)</f>
        <v>4</v>
      </c>
      <c r="I559" s="93">
        <f>SUMIFS(Table1[Estimação (horas)],Table1[Tabela],Plano_V1!E559,Table1[Campo],Plano_V1!F559)</f>
        <v>0.1</v>
      </c>
      <c r="J559" s="93">
        <f t="shared" si="39"/>
        <v>1.2500000000000001E-2</v>
      </c>
      <c r="K559" s="98" t="s">
        <v>387</v>
      </c>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100"/>
      <c r="AU559" s="87"/>
      <c r="AV559" s="87"/>
      <c r="AW559" s="87"/>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100"/>
      <c r="EJ559" s="100"/>
      <c r="EK559" s="100"/>
      <c r="EL559" s="100"/>
      <c r="EM559" s="100"/>
      <c r="EN559" s="100"/>
      <c r="EO559" s="100"/>
      <c r="EP559" s="87"/>
      <c r="EQ559" s="87"/>
      <c r="ER559" s="87"/>
      <c r="ES559" s="87"/>
      <c r="ET559" s="87"/>
      <c r="EU559" s="87"/>
      <c r="EV559" s="87"/>
      <c r="EW559" s="87"/>
      <c r="EX559" s="87"/>
      <c r="EY559" s="87"/>
      <c r="EZ559" s="87"/>
      <c r="FA559" s="87"/>
      <c r="FB559" s="87"/>
      <c r="FC559" s="87"/>
      <c r="FD559" s="87"/>
      <c r="FE559" s="87"/>
      <c r="FF559" s="87"/>
      <c r="FG559" s="87"/>
      <c r="FH559" s="87"/>
      <c r="FI559" s="87"/>
      <c r="FJ559" s="87"/>
      <c r="FK559" s="87"/>
    </row>
    <row r="560" spans="1:167" hidden="1" outlineLevel="1">
      <c r="A560" s="31" t="str">
        <f t="shared" si="38"/>
        <v>lt004_protectiontyp_prtctn</v>
      </c>
      <c r="B560" s="76" t="s">
        <v>28</v>
      </c>
      <c r="C560" s="77" t="s">
        <v>28</v>
      </c>
      <c r="D560" s="73" t="s">
        <v>40</v>
      </c>
      <c r="E560" s="79" t="s">
        <v>356</v>
      </c>
      <c r="F560" s="80" t="s">
        <v>424</v>
      </c>
      <c r="G560" s="73" t="str">
        <f>INDEX(Auxiliar!$B$16:$B$23,MATCH(Plano_V1!H560,Auxiliar!$C$16:$C$23,0),1)</f>
        <v>4. Validação EF</v>
      </c>
      <c r="H560" s="73">
        <f>VLOOKUP(A560,'Aux - pivots1'!$A:$B,2,0)</f>
        <v>4</v>
      </c>
      <c r="I560" s="93">
        <f>SUMIFS(Table1[Estimação (horas)],Table1[Tabela],Plano_V1!E560,Table1[Campo],Plano_V1!F560)</f>
        <v>0.1</v>
      </c>
      <c r="J560" s="93">
        <f t="shared" si="39"/>
        <v>1.2500000000000001E-2</v>
      </c>
      <c r="K560" s="98" t="s">
        <v>387</v>
      </c>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100"/>
      <c r="AU560" s="87"/>
      <c r="AV560" s="87"/>
      <c r="AW560" s="87"/>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100"/>
      <c r="EJ560" s="100"/>
      <c r="EK560" s="100"/>
      <c r="EL560" s="100"/>
      <c r="EM560" s="100"/>
      <c r="EN560" s="100"/>
      <c r="EO560" s="100"/>
      <c r="EP560" s="87"/>
      <c r="EQ560" s="87"/>
      <c r="ER560" s="87"/>
      <c r="ES560" s="87"/>
      <c r="ET560" s="87"/>
      <c r="EU560" s="87"/>
      <c r="EV560" s="87"/>
      <c r="EW560" s="87"/>
      <c r="EX560" s="87"/>
      <c r="EY560" s="87"/>
      <c r="EZ560" s="87"/>
      <c r="FA560" s="87"/>
      <c r="FB560" s="87"/>
      <c r="FC560" s="87"/>
      <c r="FD560" s="87"/>
      <c r="FE560" s="87"/>
      <c r="FF560" s="87"/>
      <c r="FG560" s="87"/>
      <c r="FH560" s="87"/>
      <c r="FI560" s="87"/>
      <c r="FJ560" s="87"/>
      <c r="FK560" s="87"/>
    </row>
    <row r="561" spans="1:167" hidden="1" outlineLevel="1">
      <c r="A561" s="31" t="str">
        <f t="shared" si="38"/>
        <v>lt004_protectionorgnl_prtctn_vl</v>
      </c>
      <c r="B561" s="76" t="s">
        <v>28</v>
      </c>
      <c r="C561" s="77" t="s">
        <v>28</v>
      </c>
      <c r="D561" s="73" t="s">
        <v>40</v>
      </c>
      <c r="E561" s="79" t="s">
        <v>356</v>
      </c>
      <c r="F561" s="80" t="s">
        <v>425</v>
      </c>
      <c r="G561" s="73" t="str">
        <f>INDEX(Auxiliar!$B$16:$B$23,MATCH(Plano_V1!H561,Auxiliar!$C$16:$C$23,0),1)</f>
        <v>4. Validação EF</v>
      </c>
      <c r="H561" s="73">
        <f>VLOOKUP(A561,'Aux - pivots1'!$A:$B,2,0)</f>
        <v>4</v>
      </c>
      <c r="I561" s="93">
        <f>SUMIFS(Table1[Estimação (horas)],Table1[Tabela],Plano_V1!E561,Table1[Campo],Plano_V1!F561)</f>
        <v>0.1</v>
      </c>
      <c r="J561" s="93">
        <f t="shared" si="39"/>
        <v>1.2500000000000001E-2</v>
      </c>
      <c r="K561" s="98" t="s">
        <v>387</v>
      </c>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100"/>
      <c r="AU561" s="87"/>
      <c r="AV561" s="87"/>
      <c r="AW561" s="87"/>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100"/>
      <c r="EJ561" s="100"/>
      <c r="EK561" s="100"/>
      <c r="EL561" s="100"/>
      <c r="EM561" s="100"/>
      <c r="EN561" s="100"/>
      <c r="EO561" s="100"/>
      <c r="EP561" s="87"/>
      <c r="EQ561" s="87"/>
      <c r="ER561" s="87"/>
      <c r="ES561" s="87"/>
      <c r="ET561" s="87"/>
      <c r="EU561" s="87"/>
      <c r="EV561" s="87"/>
      <c r="EW561" s="87"/>
      <c r="EX561" s="87"/>
      <c r="EY561" s="87"/>
      <c r="EZ561" s="87"/>
      <c r="FA561" s="87"/>
      <c r="FB561" s="87"/>
      <c r="FC561" s="87"/>
      <c r="FD561" s="87"/>
      <c r="FE561" s="87"/>
      <c r="FF561" s="87"/>
      <c r="FG561" s="87"/>
      <c r="FH561" s="87"/>
      <c r="FI561" s="87"/>
      <c r="FJ561" s="87"/>
      <c r="FK561" s="87"/>
    </row>
    <row r="562" spans="1:167" hidden="1" outlineLevel="1">
      <c r="A562" s="31" t="str">
        <f t="shared" si="38"/>
        <v>lt004_protectionprtctn_vl</v>
      </c>
      <c r="B562" s="76" t="s">
        <v>28</v>
      </c>
      <c r="C562" s="77" t="s">
        <v>28</v>
      </c>
      <c r="D562" s="73" t="s">
        <v>40</v>
      </c>
      <c r="E562" s="79" t="s">
        <v>356</v>
      </c>
      <c r="F562" s="80" t="s">
        <v>426</v>
      </c>
      <c r="G562" s="73" t="str">
        <f>INDEX(Auxiliar!$B$16:$B$23,MATCH(Plano_V1!H562,Auxiliar!$C$16:$C$23,0),1)</f>
        <v>4. Validação EF</v>
      </c>
      <c r="H562" s="73">
        <f>VLOOKUP(A562,'Aux - pivots1'!$A:$B,2,0)</f>
        <v>4</v>
      </c>
      <c r="I562" s="93">
        <f>SUMIFS(Table1[Estimação (horas)],Table1[Tabela],Plano_V1!E562,Table1[Campo],Plano_V1!F562)</f>
        <v>0.1</v>
      </c>
      <c r="J562" s="93">
        <f t="shared" si="39"/>
        <v>1.2500000000000001E-2</v>
      </c>
      <c r="K562" s="98" t="s">
        <v>387</v>
      </c>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100"/>
      <c r="AU562" s="87"/>
      <c r="AV562" s="87"/>
      <c r="AW562" s="87"/>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100"/>
      <c r="EJ562" s="100"/>
      <c r="EK562" s="100"/>
      <c r="EL562" s="100"/>
      <c r="EM562" s="100"/>
      <c r="EN562" s="100"/>
      <c r="EO562" s="100"/>
      <c r="EP562" s="87"/>
      <c r="EQ562" s="87"/>
      <c r="ER562" s="87"/>
      <c r="ES562" s="87"/>
      <c r="ET562" s="87"/>
      <c r="EU562" s="87"/>
      <c r="EV562" s="87"/>
      <c r="EW562" s="87"/>
      <c r="EX562" s="87"/>
      <c r="EY562" s="87"/>
      <c r="EZ562" s="87"/>
      <c r="FA562" s="87"/>
      <c r="FB562" s="87"/>
      <c r="FC562" s="87"/>
      <c r="FD562" s="87"/>
      <c r="FE562" s="87"/>
      <c r="FF562" s="87"/>
      <c r="FG562" s="87"/>
      <c r="FH562" s="87"/>
      <c r="FI562" s="87"/>
      <c r="FJ562" s="87"/>
      <c r="FK562" s="87"/>
    </row>
    <row r="563" spans="1:167" hidden="1" outlineLevel="1">
      <c r="A563" s="31" t="str">
        <f t="shared" si="38"/>
        <v>lt004_protectioncod_soc</v>
      </c>
      <c r="B563" s="76" t="s">
        <v>28</v>
      </c>
      <c r="C563" s="77" t="s">
        <v>28</v>
      </c>
      <c r="D563" s="73" t="s">
        <v>40</v>
      </c>
      <c r="E563" s="79" t="s">
        <v>356</v>
      </c>
      <c r="F563" s="80" t="s">
        <v>404</v>
      </c>
      <c r="G563" s="73" t="str">
        <f>INDEX(Auxiliar!$B$16:$B$23,MATCH(Plano_V1!H563,Auxiliar!$C$16:$C$23,0),1)</f>
        <v>4. Validação EF</v>
      </c>
      <c r="H563" s="73">
        <f>VLOOKUP(A563,'Aux - pivots1'!$A:$B,2,0)</f>
        <v>4</v>
      </c>
      <c r="I563" s="93">
        <f>SUMIFS(Table1[Estimação (horas)],Table1[Tabela],Plano_V1!E563,Table1[Campo],Plano_V1!F563)</f>
        <v>0.1</v>
      </c>
      <c r="J563" s="93">
        <f t="shared" si="39"/>
        <v>1.2500000000000001E-2</v>
      </c>
      <c r="K563" s="98" t="s">
        <v>387</v>
      </c>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100"/>
      <c r="AU563" s="87"/>
      <c r="AV563" s="87"/>
      <c r="AW563" s="87"/>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100"/>
      <c r="EJ563" s="100"/>
      <c r="EK563" s="100"/>
      <c r="EL563" s="100"/>
      <c r="EM563" s="100"/>
      <c r="EN563" s="100"/>
      <c r="EO563" s="100"/>
      <c r="EP563" s="87"/>
      <c r="EQ563" s="87"/>
      <c r="ER563" s="87"/>
      <c r="ES563" s="87"/>
      <c r="ET563" s="87"/>
      <c r="EU563" s="87"/>
      <c r="EV563" s="87"/>
      <c r="EW563" s="87"/>
      <c r="EX563" s="87"/>
      <c r="EY563" s="87"/>
      <c r="EZ563" s="87"/>
      <c r="FA563" s="87"/>
      <c r="FB563" s="87"/>
      <c r="FC563" s="87"/>
      <c r="FD563" s="87"/>
      <c r="FE563" s="87"/>
      <c r="FF563" s="87"/>
      <c r="FG563" s="87"/>
      <c r="FH563" s="87"/>
      <c r="FI563" s="87"/>
      <c r="FJ563" s="87"/>
      <c r="FK563" s="87"/>
    </row>
    <row r="564" spans="1:167" hidden="1" outlineLevel="1">
      <c r="A564" s="31" t="str">
        <f t="shared" si="38"/>
        <v>lt005_instr_entdt_rfrnc</v>
      </c>
      <c r="B564" s="76" t="s">
        <v>28</v>
      </c>
      <c r="C564" s="77" t="s">
        <v>28</v>
      </c>
      <c r="D564" s="73" t="s">
        <v>40</v>
      </c>
      <c r="E564" s="79" t="s">
        <v>427</v>
      </c>
      <c r="F564" s="80" t="s">
        <v>386</v>
      </c>
      <c r="G564" s="73" t="str">
        <f>INDEX(Auxiliar!$B$16:$B$23,MATCH(Plano_V1!H564,Auxiliar!$C$16:$C$23,0),1)</f>
        <v>1. Concluído</v>
      </c>
      <c r="H564" s="73">
        <f>VLOOKUP(A564,'Aux - pivots1'!$A:$B,2,0)</f>
        <v>1</v>
      </c>
      <c r="I564" s="93">
        <f>SUMIFS(Table1[Estimação (horas)],Table1[Tabela],Plano_V1!E564,Table1[Campo],Plano_V1!F564)</f>
        <v>0.1</v>
      </c>
      <c r="J564" s="93">
        <f t="shared" si="39"/>
        <v>1.2500000000000001E-2</v>
      </c>
      <c r="K564" s="98" t="s">
        <v>387</v>
      </c>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100"/>
      <c r="AU564" s="87"/>
      <c r="AV564" s="87"/>
      <c r="AW564" s="87"/>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100"/>
      <c r="EJ564" s="100"/>
      <c r="EK564" s="100"/>
      <c r="EL564" s="100"/>
      <c r="EM564" s="100"/>
      <c r="EN564" s="100"/>
      <c r="EO564" s="100"/>
      <c r="EP564" s="87"/>
      <c r="EQ564" s="87"/>
      <c r="ER564" s="87"/>
      <c r="ES564" s="87"/>
      <c r="ET564" s="87"/>
      <c r="EU564" s="87"/>
      <c r="EV564" s="87"/>
      <c r="EW564" s="87"/>
      <c r="EX564" s="87"/>
      <c r="EY564" s="87"/>
      <c r="EZ564" s="87"/>
      <c r="FA564" s="87"/>
      <c r="FB564" s="87"/>
      <c r="FC564" s="87"/>
      <c r="FD564" s="87"/>
      <c r="FE564" s="87"/>
      <c r="FF564" s="87"/>
      <c r="FG564" s="87"/>
      <c r="FH564" s="87"/>
      <c r="FI564" s="87"/>
      <c r="FJ564" s="87"/>
      <c r="FK564" s="87"/>
    </row>
    <row r="565" spans="1:167" hidden="1" outlineLevel="1">
      <c r="A565" s="31" t="str">
        <f t="shared" si="38"/>
        <v>lt005_instr_ententty_id</v>
      </c>
      <c r="B565" s="76" t="s">
        <v>28</v>
      </c>
      <c r="C565" s="77" t="s">
        <v>28</v>
      </c>
      <c r="D565" s="73" t="s">
        <v>40</v>
      </c>
      <c r="E565" s="79" t="s">
        <v>427</v>
      </c>
      <c r="F565" s="80" t="s">
        <v>413</v>
      </c>
      <c r="G565" s="73" t="str">
        <f>INDEX(Auxiliar!$B$16:$B$23,MATCH(Plano_V1!H565,Auxiliar!$C$16:$C$23,0),1)</f>
        <v>1. Concluído</v>
      </c>
      <c r="H565" s="73">
        <f>VLOOKUP(A565,'Aux - pivots1'!$A:$B,2,0)</f>
        <v>1</v>
      </c>
      <c r="I565" s="93">
        <f>SUMIFS(Table1[Estimação (horas)],Table1[Tabela],Plano_V1!E565,Table1[Campo],Plano_V1!F565)</f>
        <v>0.1</v>
      </c>
      <c r="J565" s="93">
        <f t="shared" si="39"/>
        <v>1.2500000000000001E-2</v>
      </c>
      <c r="K565" s="98" t="s">
        <v>387</v>
      </c>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100"/>
      <c r="AU565" s="87"/>
      <c r="AV565" s="87"/>
      <c r="AW565" s="87"/>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100"/>
      <c r="EJ565" s="100"/>
      <c r="EK565" s="100"/>
      <c r="EL565" s="100"/>
      <c r="EM565" s="100"/>
      <c r="EN565" s="100"/>
      <c r="EO565" s="100"/>
      <c r="EP565" s="87"/>
      <c r="EQ565" s="87"/>
      <c r="ER565" s="87"/>
      <c r="ES565" s="87"/>
      <c r="ET565" s="87"/>
      <c r="EU565" s="87"/>
      <c r="EV565" s="87"/>
      <c r="EW565" s="87"/>
      <c r="EX565" s="87"/>
      <c r="EY565" s="87"/>
      <c r="EZ565" s="87"/>
      <c r="FA565" s="87"/>
      <c r="FB565" s="87"/>
      <c r="FC565" s="87"/>
      <c r="FD565" s="87"/>
      <c r="FE565" s="87"/>
      <c r="FF565" s="87"/>
      <c r="FG565" s="87"/>
      <c r="FH565" s="87"/>
      <c r="FI565" s="87"/>
      <c r="FJ565" s="87"/>
      <c r="FK565" s="87"/>
    </row>
    <row r="566" spans="1:167" hidden="1" outlineLevel="1">
      <c r="A566" s="31" t="str">
        <f t="shared" si="38"/>
        <v>lt005_instr_entinstrmnt_id</v>
      </c>
      <c r="B566" s="76" t="s">
        <v>28</v>
      </c>
      <c r="C566" s="77" t="s">
        <v>28</v>
      </c>
      <c r="D566" s="73" t="s">
        <v>40</v>
      </c>
      <c r="E566" s="79" t="s">
        <v>427</v>
      </c>
      <c r="F566" s="80" t="s">
        <v>388</v>
      </c>
      <c r="G566" s="73" t="str">
        <f>INDEX(Auxiliar!$B$16:$B$23,MATCH(Plano_V1!H566,Auxiliar!$C$16:$C$23,0),1)</f>
        <v>1. Concluído</v>
      </c>
      <c r="H566" s="73">
        <f>VLOOKUP(A566,'Aux - pivots1'!$A:$B,2,0)</f>
        <v>1</v>
      </c>
      <c r="I566" s="93">
        <f>SUMIFS(Table1[Estimação (horas)],Table1[Tabela],Plano_V1!E566,Table1[Campo],Plano_V1!F566)</f>
        <v>0.1</v>
      </c>
      <c r="J566" s="93">
        <f t="shared" si="39"/>
        <v>1.2500000000000001E-2</v>
      </c>
      <c r="K566" s="98" t="s">
        <v>387</v>
      </c>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100"/>
      <c r="AU566" s="87"/>
      <c r="AV566" s="87"/>
      <c r="AW566" s="87"/>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100"/>
      <c r="EJ566" s="100"/>
      <c r="EK566" s="100"/>
      <c r="EL566" s="100"/>
      <c r="EM566" s="100"/>
      <c r="EN566" s="100"/>
      <c r="EO566" s="100"/>
      <c r="EP566" s="87"/>
      <c r="EQ566" s="87"/>
      <c r="ER566" s="87"/>
      <c r="ES566" s="87"/>
      <c r="ET566" s="87"/>
      <c r="EU566" s="87"/>
      <c r="EV566" s="87"/>
      <c r="EW566" s="87"/>
      <c r="EX566" s="87"/>
      <c r="EY566" s="87"/>
      <c r="EZ566" s="87"/>
      <c r="FA566" s="87"/>
      <c r="FB566" s="87"/>
      <c r="FC566" s="87"/>
      <c r="FD566" s="87"/>
      <c r="FE566" s="87"/>
      <c r="FF566" s="87"/>
      <c r="FG566" s="87"/>
      <c r="FH566" s="87"/>
      <c r="FI566" s="87"/>
      <c r="FJ566" s="87"/>
      <c r="FK566" s="87"/>
    </row>
    <row r="567" spans="1:167" hidden="1" outlineLevel="1">
      <c r="A567" s="31" t="str">
        <f t="shared" si="38"/>
        <v>lt005_instr_entcod_soc</v>
      </c>
      <c r="B567" s="76" t="s">
        <v>28</v>
      </c>
      <c r="C567" s="77" t="s">
        <v>28</v>
      </c>
      <c r="D567" s="73" t="s">
        <v>40</v>
      </c>
      <c r="E567" s="79" t="s">
        <v>427</v>
      </c>
      <c r="F567" s="80" t="s">
        <v>404</v>
      </c>
      <c r="G567" s="73" t="str">
        <f>INDEX(Auxiliar!$B$16:$B$23,MATCH(Plano_V1!H567,Auxiliar!$C$16:$C$23,0),1)</f>
        <v>1. Concluído</v>
      </c>
      <c r="H567" s="73">
        <f>VLOOKUP(A567,'Aux - pivots1'!$A:$B,2,0)</f>
        <v>1</v>
      </c>
      <c r="I567" s="93">
        <f>SUMIFS(Table1[Estimação (horas)],Table1[Tabela],Plano_V1!E567,Table1[Campo],Plano_V1!F567)</f>
        <v>0.1</v>
      </c>
      <c r="J567" s="93">
        <f t="shared" si="39"/>
        <v>1.2500000000000001E-2</v>
      </c>
      <c r="K567" s="98" t="s">
        <v>387</v>
      </c>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100"/>
      <c r="AU567" s="87"/>
      <c r="AV567" s="87"/>
      <c r="AW567" s="87"/>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100"/>
      <c r="EJ567" s="100"/>
      <c r="EK567" s="100"/>
      <c r="EL567" s="100"/>
      <c r="EM567" s="100"/>
      <c r="EN567" s="100"/>
      <c r="EO567" s="100"/>
      <c r="EP567" s="87"/>
      <c r="EQ567" s="87"/>
      <c r="ER567" s="87"/>
      <c r="ES567" s="87"/>
      <c r="ET567" s="87"/>
      <c r="EU567" s="87"/>
      <c r="EV567" s="87"/>
      <c r="EW567" s="87"/>
      <c r="EX567" s="87"/>
      <c r="EY567" s="87"/>
      <c r="EZ567" s="87"/>
      <c r="FA567" s="87"/>
      <c r="FB567" s="87"/>
      <c r="FC567" s="87"/>
      <c r="FD567" s="87"/>
      <c r="FE567" s="87"/>
      <c r="FF567" s="87"/>
      <c r="FG567" s="87"/>
      <c r="FH567" s="87"/>
      <c r="FI567" s="87"/>
      <c r="FJ567" s="87"/>
      <c r="FK567" s="87"/>
    </row>
    <row r="568" spans="1:167" hidden="1" outlineLevel="1">
      <c r="A568" s="31" t="str">
        <f t="shared" si="38"/>
        <v>lt005_instr_entmn_entty_id</v>
      </c>
      <c r="B568" s="76" t="s">
        <v>28</v>
      </c>
      <c r="C568" s="77" t="s">
        <v>28</v>
      </c>
      <c r="D568" s="73" t="s">
        <v>40</v>
      </c>
      <c r="E568" s="79" t="s">
        <v>427</v>
      </c>
      <c r="F568" s="80" t="s">
        <v>428</v>
      </c>
      <c r="G568" s="73" t="str">
        <f>INDEX(Auxiliar!$B$16:$B$23,MATCH(Plano_V1!H568,Auxiliar!$C$16:$C$23,0),1)</f>
        <v>1. Concluído</v>
      </c>
      <c r="H568" s="73">
        <f>VLOOKUP(A568,'Aux - pivots1'!$A:$B,2,0)</f>
        <v>1</v>
      </c>
      <c r="I568" s="93">
        <f>SUMIFS(Table1[Estimação (horas)],Table1[Tabela],Plano_V1!E568,Table1[Campo],Plano_V1!F568)</f>
        <v>0.1</v>
      </c>
      <c r="J568" s="93">
        <f t="shared" si="39"/>
        <v>1.2500000000000001E-2</v>
      </c>
      <c r="K568" s="98" t="s">
        <v>387</v>
      </c>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100"/>
      <c r="AU568" s="87"/>
      <c r="AV568" s="87"/>
      <c r="AW568" s="87"/>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100"/>
      <c r="EJ568" s="100"/>
      <c r="EK568" s="100"/>
      <c r="EL568" s="100"/>
      <c r="EM568" s="100"/>
      <c r="EN568" s="100"/>
      <c r="EO568" s="100"/>
      <c r="EP568" s="87"/>
      <c r="EQ568" s="87"/>
      <c r="ER568" s="87"/>
      <c r="ES568" s="87"/>
      <c r="ET568" s="87"/>
      <c r="EU568" s="87"/>
      <c r="EV568" s="87"/>
      <c r="EW568" s="87"/>
      <c r="EX568" s="87"/>
      <c r="EY568" s="87"/>
      <c r="EZ568" s="87"/>
      <c r="FA568" s="87"/>
      <c r="FB568" s="87"/>
      <c r="FC568" s="87"/>
      <c r="FD568" s="87"/>
      <c r="FE568" s="87"/>
      <c r="FF568" s="87"/>
      <c r="FG568" s="87"/>
      <c r="FH568" s="87"/>
      <c r="FI568" s="87"/>
      <c r="FJ568" s="87"/>
      <c r="FK568" s="87"/>
    </row>
    <row r="569" spans="1:167" hidden="1" outlineLevel="1">
      <c r="A569" s="31" t="str">
        <f t="shared" si="38"/>
        <v>lt006_instr_protdt_rfrnc</v>
      </c>
      <c r="B569" s="76" t="s">
        <v>28</v>
      </c>
      <c r="C569" s="77" t="s">
        <v>28</v>
      </c>
      <c r="D569" s="73" t="s">
        <v>40</v>
      </c>
      <c r="E569" s="79" t="s">
        <v>429</v>
      </c>
      <c r="F569" s="80" t="s">
        <v>386</v>
      </c>
      <c r="G569" s="73" t="str">
        <f>INDEX(Auxiliar!$B$16:$B$23,MATCH(Plano_V1!H569,Auxiliar!$C$16:$C$23,0),1)</f>
        <v>1. Concluído</v>
      </c>
      <c r="H569" s="73">
        <f>VLOOKUP(A569,'Aux - pivots1'!$A:$B,2,0)</f>
        <v>1</v>
      </c>
      <c r="I569" s="93">
        <f>SUMIFS(Table1[Estimação (horas)],Table1[Tabela],Plano_V1!E569,Table1[Campo],Plano_V1!F569)</f>
        <v>0.1</v>
      </c>
      <c r="J569" s="93">
        <f t="shared" si="39"/>
        <v>1.2500000000000001E-2</v>
      </c>
      <c r="K569" s="98" t="s">
        <v>387</v>
      </c>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100"/>
      <c r="AU569" s="87"/>
      <c r="AV569" s="87"/>
      <c r="AW569" s="87"/>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100"/>
      <c r="EJ569" s="100"/>
      <c r="EK569" s="100"/>
      <c r="EL569" s="100"/>
      <c r="EM569" s="100"/>
      <c r="EN569" s="100"/>
      <c r="EO569" s="100"/>
      <c r="EP569" s="87"/>
      <c r="EQ569" s="87"/>
      <c r="ER569" s="87"/>
      <c r="ES569" s="87"/>
      <c r="ET569" s="87"/>
      <c r="EU569" s="87"/>
      <c r="EV569" s="87"/>
      <c r="EW569" s="87"/>
      <c r="EX569" s="87"/>
      <c r="EY569" s="87"/>
      <c r="EZ569" s="87"/>
      <c r="FA569" s="87"/>
      <c r="FB569" s="87"/>
      <c r="FC569" s="87"/>
      <c r="FD569" s="87"/>
      <c r="FE569" s="87"/>
      <c r="FF569" s="87"/>
      <c r="FG569" s="87"/>
      <c r="FH569" s="87"/>
      <c r="FI569" s="87"/>
      <c r="FJ569" s="87"/>
      <c r="FK569" s="87"/>
    </row>
    <row r="570" spans="1:167" hidden="1" outlineLevel="1">
      <c r="A570" s="31" t="str">
        <f t="shared" si="38"/>
        <v>lt006_instr_protinstrmnt_id</v>
      </c>
      <c r="B570" s="76" t="s">
        <v>28</v>
      </c>
      <c r="C570" s="77" t="s">
        <v>28</v>
      </c>
      <c r="D570" s="73" t="s">
        <v>40</v>
      </c>
      <c r="E570" s="79" t="s">
        <v>429</v>
      </c>
      <c r="F570" s="80" t="s">
        <v>388</v>
      </c>
      <c r="G570" s="73" t="str">
        <f>INDEX(Auxiliar!$B$16:$B$23,MATCH(Plano_V1!H570,Auxiliar!$C$16:$C$23,0),1)</f>
        <v>1. Concluído</v>
      </c>
      <c r="H570" s="73">
        <f>VLOOKUP(A570,'Aux - pivots1'!$A:$B,2,0)</f>
        <v>1</v>
      </c>
      <c r="I570" s="93">
        <f>SUMIFS(Table1[Estimação (horas)],Table1[Tabela],Plano_V1!E570,Table1[Campo],Plano_V1!F570)</f>
        <v>0.1</v>
      </c>
      <c r="J570" s="93">
        <f t="shared" si="39"/>
        <v>1.2500000000000001E-2</v>
      </c>
      <c r="K570" s="98" t="s">
        <v>387</v>
      </c>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100"/>
      <c r="AU570" s="87"/>
      <c r="AV570" s="87"/>
      <c r="AW570" s="87"/>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100"/>
      <c r="EJ570" s="100"/>
      <c r="EK570" s="100"/>
      <c r="EL570" s="100"/>
      <c r="EM570" s="100"/>
      <c r="EN570" s="100"/>
      <c r="EO570" s="100"/>
      <c r="EP570" s="87"/>
      <c r="EQ570" s="87"/>
      <c r="ER570" s="87"/>
      <c r="ES570" s="87"/>
      <c r="ET570" s="87"/>
      <c r="EU570" s="87"/>
      <c r="EV570" s="87"/>
      <c r="EW570" s="87"/>
      <c r="EX570" s="87"/>
      <c r="EY570" s="87"/>
      <c r="EZ570" s="87"/>
      <c r="FA570" s="87"/>
      <c r="FB570" s="87"/>
      <c r="FC570" s="87"/>
      <c r="FD570" s="87"/>
      <c r="FE570" s="87"/>
      <c r="FF570" s="87"/>
      <c r="FG570" s="87"/>
      <c r="FH570" s="87"/>
      <c r="FI570" s="87"/>
      <c r="FJ570" s="87"/>
      <c r="FK570" s="87"/>
    </row>
    <row r="571" spans="1:167" hidden="1" outlineLevel="1">
      <c r="A571" s="31" t="str">
        <f t="shared" si="38"/>
        <v>lt006_instr_protprtctn_id</v>
      </c>
      <c r="B571" s="76" t="s">
        <v>28</v>
      </c>
      <c r="C571" s="77" t="s">
        <v>28</v>
      </c>
      <c r="D571" s="73" t="s">
        <v>40</v>
      </c>
      <c r="E571" s="79" t="s">
        <v>429</v>
      </c>
      <c r="F571" s="80" t="s">
        <v>421</v>
      </c>
      <c r="G571" s="73" t="str">
        <f>INDEX(Auxiliar!$B$16:$B$23,MATCH(Plano_V1!H571,Auxiliar!$C$16:$C$23,0),1)</f>
        <v>1. Concluído</v>
      </c>
      <c r="H571" s="73">
        <f>VLOOKUP(A571,'Aux - pivots1'!$A:$B,2,0)</f>
        <v>1</v>
      </c>
      <c r="I571" s="93">
        <f>SUMIFS(Table1[Estimação (horas)],Table1[Tabela],Plano_V1!E571,Table1[Campo],Plano_V1!F571)</f>
        <v>0.1</v>
      </c>
      <c r="J571" s="93">
        <f t="shared" si="39"/>
        <v>1.2500000000000001E-2</v>
      </c>
      <c r="K571" s="98" t="s">
        <v>387</v>
      </c>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100"/>
      <c r="AU571" s="87"/>
      <c r="AV571" s="87"/>
      <c r="AW571" s="87"/>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100"/>
      <c r="EJ571" s="100"/>
      <c r="EK571" s="100"/>
      <c r="EL571" s="100"/>
      <c r="EM571" s="100"/>
      <c r="EN571" s="100"/>
      <c r="EO571" s="100"/>
      <c r="EP571" s="87"/>
      <c r="EQ571" s="87"/>
      <c r="ER571" s="87"/>
      <c r="ES571" s="87"/>
      <c r="ET571" s="87"/>
      <c r="EU571" s="87"/>
      <c r="EV571" s="87"/>
      <c r="EW571" s="87"/>
      <c r="EX571" s="87"/>
      <c r="EY571" s="87"/>
      <c r="EZ571" s="87"/>
      <c r="FA571" s="87"/>
      <c r="FB571" s="87"/>
      <c r="FC571" s="87"/>
      <c r="FD571" s="87"/>
      <c r="FE571" s="87"/>
      <c r="FF571" s="87"/>
      <c r="FG571" s="87"/>
      <c r="FH571" s="87"/>
      <c r="FI571" s="87"/>
      <c r="FJ571" s="87"/>
      <c r="FK571" s="87"/>
    </row>
    <row r="572" spans="1:167" hidden="1" outlineLevel="1">
      <c r="A572" s="31" t="str">
        <f t="shared" si="38"/>
        <v>lt006_instr_protprtctn_allctd_vl</v>
      </c>
      <c r="B572" s="76" t="s">
        <v>28</v>
      </c>
      <c r="C572" s="77" t="s">
        <v>28</v>
      </c>
      <c r="D572" s="73" t="s">
        <v>40</v>
      </c>
      <c r="E572" s="79" t="s">
        <v>429</v>
      </c>
      <c r="F572" s="80" t="s">
        <v>430</v>
      </c>
      <c r="G572" s="73" t="str">
        <f>INDEX(Auxiliar!$B$16:$B$23,MATCH(Plano_V1!H572,Auxiliar!$C$16:$C$23,0),1)</f>
        <v>1. Concluído</v>
      </c>
      <c r="H572" s="73">
        <f>VLOOKUP(A572,'Aux - pivots1'!$A:$B,2,0)</f>
        <v>1</v>
      </c>
      <c r="I572" s="93">
        <f>SUMIFS(Table1[Estimação (horas)],Table1[Tabela],Plano_V1!E572,Table1[Campo],Plano_V1!F572)</f>
        <v>0.1</v>
      </c>
      <c r="J572" s="93">
        <f t="shared" si="39"/>
        <v>1.2500000000000001E-2</v>
      </c>
      <c r="K572" s="98" t="s">
        <v>387</v>
      </c>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100"/>
      <c r="AU572" s="87"/>
      <c r="AV572" s="87"/>
      <c r="AW572" s="87"/>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100"/>
      <c r="EJ572" s="100"/>
      <c r="EK572" s="100"/>
      <c r="EL572" s="100"/>
      <c r="EM572" s="100"/>
      <c r="EN572" s="100"/>
      <c r="EO572" s="100"/>
      <c r="EP572" s="87"/>
      <c r="EQ572" s="87"/>
      <c r="ER572" s="87"/>
      <c r="ES572" s="87"/>
      <c r="ET572" s="87"/>
      <c r="EU572" s="87"/>
      <c r="EV572" s="87"/>
      <c r="EW572" s="87"/>
      <c r="EX572" s="87"/>
      <c r="EY572" s="87"/>
      <c r="EZ572" s="87"/>
      <c r="FA572" s="87"/>
      <c r="FB572" s="87"/>
      <c r="FC572" s="87"/>
      <c r="FD572" s="87"/>
      <c r="FE572" s="87"/>
      <c r="FF572" s="87"/>
      <c r="FG572" s="87"/>
      <c r="FH572" s="87"/>
      <c r="FI572" s="87"/>
      <c r="FJ572" s="87"/>
      <c r="FK572" s="87"/>
    </row>
    <row r="573" spans="1:167" hidden="1" outlineLevel="1">
      <c r="A573" s="31" t="str">
        <f t="shared" si="38"/>
        <v>lt006_instr_protcod_soc</v>
      </c>
      <c r="B573" s="76" t="s">
        <v>28</v>
      </c>
      <c r="C573" s="77" t="s">
        <v>28</v>
      </c>
      <c r="D573" s="73" t="s">
        <v>40</v>
      </c>
      <c r="E573" s="79" t="s">
        <v>429</v>
      </c>
      <c r="F573" s="80" t="s">
        <v>404</v>
      </c>
      <c r="G573" s="73" t="str">
        <f>INDEX(Auxiliar!$B$16:$B$23,MATCH(Plano_V1!H573,Auxiliar!$C$16:$C$23,0),1)</f>
        <v>1. Concluído</v>
      </c>
      <c r="H573" s="73">
        <f>VLOOKUP(A573,'Aux - pivots1'!$A:$B,2,0)</f>
        <v>1</v>
      </c>
      <c r="I573" s="93">
        <f>SUMIFS(Table1[Estimação (horas)],Table1[Tabela],Plano_V1!E573,Table1[Campo],Plano_V1!F573)</f>
        <v>0.1</v>
      </c>
      <c r="J573" s="93">
        <f t="shared" si="39"/>
        <v>1.2500000000000001E-2</v>
      </c>
      <c r="K573" s="98" t="s">
        <v>387</v>
      </c>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100"/>
      <c r="AU573" s="87"/>
      <c r="AV573" s="87"/>
      <c r="AW573" s="87"/>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100"/>
      <c r="EJ573" s="100"/>
      <c r="EK573" s="100"/>
      <c r="EL573" s="100"/>
      <c r="EM573" s="100"/>
      <c r="EN573" s="100"/>
      <c r="EO573" s="100"/>
      <c r="EP573" s="87"/>
      <c r="EQ573" s="87"/>
      <c r="ER573" s="87"/>
      <c r="ES573" s="87"/>
      <c r="ET573" s="87"/>
      <c r="EU573" s="87"/>
      <c r="EV573" s="87"/>
      <c r="EW573" s="87"/>
      <c r="EX573" s="87"/>
      <c r="EY573" s="87"/>
      <c r="EZ573" s="87"/>
      <c r="FA573" s="87"/>
      <c r="FB573" s="87"/>
      <c r="FC573" s="87"/>
      <c r="FD573" s="87"/>
      <c r="FE573" s="87"/>
      <c r="FF573" s="87"/>
      <c r="FG573" s="87"/>
      <c r="FH573" s="87"/>
      <c r="FI573" s="87"/>
      <c r="FJ573" s="87"/>
      <c r="FK573" s="87"/>
    </row>
    <row r="574" spans="1:167" hidden="1" outlineLevel="1">
      <c r="A574" s="31" t="str">
        <f t="shared" si="38"/>
        <v>Re-testesn.a.</v>
      </c>
      <c r="B574" s="76" t="s">
        <v>28</v>
      </c>
      <c r="C574" s="77" t="s">
        <v>28</v>
      </c>
      <c r="D574" s="73" t="s">
        <v>40</v>
      </c>
      <c r="E574" s="75" t="s">
        <v>53</v>
      </c>
      <c r="F574" s="73" t="s">
        <v>38</v>
      </c>
      <c r="G574" s="73" t="s">
        <v>30</v>
      </c>
      <c r="H574" s="73"/>
      <c r="I574" s="93">
        <f>SUM(I448:I573)*D7</f>
        <v>37.575000000000152</v>
      </c>
      <c r="J574" s="93">
        <f>I574/8</f>
        <v>4.696875000000019</v>
      </c>
      <c r="K574" s="96"/>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100"/>
      <c r="AU574" s="87"/>
      <c r="AV574" s="87"/>
      <c r="AW574" s="87"/>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100"/>
      <c r="EJ574" s="100"/>
      <c r="EK574" s="100"/>
      <c r="EL574" s="100"/>
      <c r="EM574" s="100"/>
      <c r="EN574" s="100"/>
      <c r="EO574" s="100"/>
      <c r="EP574" s="87"/>
      <c r="EQ574" s="87"/>
      <c r="ER574" s="87"/>
      <c r="ES574" s="87"/>
      <c r="ET574" s="87"/>
      <c r="EU574" s="87"/>
      <c r="EV574" s="87"/>
      <c r="EW574" s="87"/>
      <c r="EX574" s="87"/>
      <c r="EY574" s="87"/>
      <c r="EZ574" s="87"/>
      <c r="FA574" s="87"/>
      <c r="FB574" s="87"/>
      <c r="FC574" s="87"/>
      <c r="FD574" s="87"/>
      <c r="FE574" s="87"/>
      <c r="FF574" s="87"/>
      <c r="FG574" s="87"/>
      <c r="FH574" s="87"/>
      <c r="FI574" s="87"/>
      <c r="FJ574" s="87"/>
      <c r="FK574" s="87"/>
    </row>
    <row r="575" spans="1:167" ht="10.199999999999999" customHeight="1" collapsed="1">
      <c r="B575" s="73"/>
      <c r="C575" s="73"/>
      <c r="D575" s="73"/>
      <c r="E575" s="73"/>
      <c r="F575" s="73"/>
      <c r="G575" s="73"/>
      <c r="H575" s="73"/>
      <c r="I575" s="93"/>
      <c r="J575" s="93"/>
      <c r="K575" s="97"/>
      <c r="M575" s="88"/>
      <c r="N575" s="88"/>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c r="AO575" s="88"/>
      <c r="AP575" s="88"/>
      <c r="AQ575" s="88"/>
      <c r="AR575" s="88"/>
      <c r="AS575" s="88"/>
      <c r="AT575" s="102"/>
      <c r="AU575" s="88"/>
      <c r="AV575" s="88"/>
      <c r="AW575" s="88"/>
      <c r="AX575" s="88"/>
      <c r="AY575" s="88"/>
      <c r="AZ575" s="88"/>
      <c r="BA575" s="88"/>
      <c r="BB575" s="88"/>
      <c r="BC575" s="88"/>
      <c r="BD575" s="88"/>
      <c r="BE575" s="88"/>
      <c r="BF575" s="88"/>
      <c r="BG575" s="88"/>
      <c r="BH575" s="88"/>
      <c r="BI575" s="88"/>
      <c r="BJ575" s="88"/>
      <c r="BK575" s="88"/>
      <c r="BL575" s="88"/>
      <c r="BM575" s="88"/>
      <c r="BN575" s="88"/>
      <c r="BO575" s="88"/>
      <c r="BP575" s="88"/>
      <c r="BQ575" s="88"/>
      <c r="BR575" s="88"/>
      <c r="BS575" s="88"/>
      <c r="BT575" s="88"/>
      <c r="BU575" s="88"/>
      <c r="BV575" s="88"/>
      <c r="BW575" s="88"/>
      <c r="BX575" s="88"/>
      <c r="BY575" s="88"/>
      <c r="BZ575" s="88"/>
      <c r="CA575" s="88"/>
      <c r="CB575" s="88"/>
      <c r="CC575" s="88"/>
      <c r="CD575" s="88"/>
      <c r="CE575" s="88"/>
      <c r="CF575" s="88"/>
      <c r="CG575" s="88"/>
      <c r="CH575" s="88"/>
      <c r="CI575" s="88"/>
      <c r="CJ575" s="88"/>
      <c r="CK575" s="88"/>
      <c r="CL575" s="88"/>
      <c r="CM575" s="88"/>
      <c r="CN575" s="88"/>
      <c r="CO575" s="88"/>
      <c r="CP575" s="88"/>
      <c r="CQ575" s="88"/>
      <c r="CR575" s="88"/>
      <c r="CS575" s="88"/>
      <c r="CT575" s="88"/>
      <c r="CU575" s="88"/>
      <c r="CV575" s="88"/>
      <c r="CW575" s="88"/>
      <c r="CX575" s="88"/>
      <c r="CY575" s="88"/>
      <c r="CZ575" s="88"/>
      <c r="DA575" s="88"/>
      <c r="DB575" s="88"/>
      <c r="DC575" s="88"/>
      <c r="DD575" s="88"/>
      <c r="DE575" s="88"/>
      <c r="DF575" s="88"/>
      <c r="DG575" s="88"/>
      <c r="DH575" s="88"/>
      <c r="DI575" s="88"/>
      <c r="DJ575" s="88"/>
      <c r="DK575" s="88"/>
      <c r="DL575" s="88"/>
      <c r="DM575" s="88"/>
      <c r="DN575" s="88"/>
      <c r="DO575" s="88"/>
      <c r="DP575" s="88"/>
      <c r="DQ575" s="88"/>
      <c r="DR575" s="88"/>
      <c r="DS575" s="88"/>
      <c r="DT575" s="88"/>
      <c r="DU575" s="88"/>
      <c r="DV575" s="88"/>
      <c r="DW575" s="88"/>
      <c r="DX575" s="88"/>
      <c r="DY575" s="88"/>
      <c r="DZ575" s="88"/>
      <c r="EA575" s="88"/>
      <c r="EB575" s="88"/>
      <c r="EC575" s="88"/>
      <c r="ED575" s="88"/>
      <c r="EE575" s="88"/>
      <c r="EF575" s="88"/>
      <c r="EG575" s="88"/>
      <c r="EH575" s="88"/>
      <c r="EI575" s="102"/>
      <c r="EJ575" s="102"/>
      <c r="EK575" s="102"/>
      <c r="EL575" s="102"/>
      <c r="EM575" s="102"/>
      <c r="EN575" s="102"/>
      <c r="EO575" s="102"/>
      <c r="EP575" s="88"/>
      <c r="EQ575" s="88"/>
      <c r="ER575" s="88"/>
      <c r="ES575" s="88"/>
      <c r="ET575" s="88"/>
      <c r="EU575" s="88"/>
      <c r="EV575" s="88"/>
      <c r="EW575" s="88"/>
      <c r="EX575" s="88"/>
      <c r="EY575" s="88"/>
      <c r="EZ575" s="88"/>
      <c r="FA575" s="88"/>
      <c r="FB575" s="88"/>
      <c r="FC575" s="88"/>
      <c r="FD575" s="88"/>
      <c r="FE575" s="88"/>
      <c r="FF575" s="88"/>
      <c r="FG575" s="88"/>
      <c r="FH575" s="88"/>
      <c r="FI575" s="88"/>
      <c r="FJ575" s="88"/>
      <c r="FK575" s="88"/>
    </row>
    <row r="576" spans="1:167">
      <c r="A576" s="31" t="str">
        <f>E576&amp;F576</f>
        <v/>
      </c>
      <c r="B576" s="91" t="s">
        <v>435</v>
      </c>
      <c r="C576" s="92"/>
      <c r="D576" s="92"/>
      <c r="E576" s="92"/>
      <c r="F576" s="92"/>
      <c r="G576" s="92"/>
      <c r="H576" s="92"/>
      <c r="I576" s="114">
        <f>SUM(I577:I579)</f>
        <v>120</v>
      </c>
      <c r="J576" s="114">
        <f>I576/8</f>
        <v>15</v>
      </c>
      <c r="K576" s="95"/>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100"/>
      <c r="AU576" s="87"/>
      <c r="AV576" s="87"/>
      <c r="AW576" s="87"/>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100"/>
      <c r="EJ576" s="100"/>
      <c r="EK576" s="100"/>
      <c r="EL576" s="100"/>
      <c r="EM576" s="100"/>
      <c r="EN576" s="100"/>
      <c r="EO576" s="100"/>
      <c r="EP576" s="160"/>
      <c r="EQ576" s="160"/>
      <c r="ER576" s="160"/>
      <c r="ES576" s="160"/>
      <c r="ET576" s="160"/>
      <c r="EU576" s="160"/>
      <c r="EV576" s="160"/>
      <c r="EW576" s="160"/>
      <c r="EX576" s="160"/>
      <c r="EY576" s="160"/>
      <c r="EZ576" s="87"/>
      <c r="FA576" s="87"/>
      <c r="FB576" s="87"/>
      <c r="FC576" s="87"/>
      <c r="FD576" s="87"/>
      <c r="FE576" s="87"/>
      <c r="FF576" s="87"/>
      <c r="FG576" s="87"/>
      <c r="FH576" s="87"/>
      <c r="FI576" s="87"/>
      <c r="FJ576" s="87"/>
      <c r="FK576" s="87"/>
    </row>
    <row r="577" spans="1:167">
      <c r="A577" s="31" t="str">
        <f>E577&amp;F577</f>
        <v/>
      </c>
      <c r="B577" s="74" t="s">
        <v>28</v>
      </c>
      <c r="C577" s="73" t="s">
        <v>29</v>
      </c>
      <c r="D577" s="73"/>
      <c r="E577" s="73"/>
      <c r="F577" s="73"/>
      <c r="G577" s="73"/>
      <c r="H577" s="73"/>
      <c r="I577" s="93">
        <f>J577*8</f>
        <v>40</v>
      </c>
      <c r="J577" s="93">
        <v>5</v>
      </c>
      <c r="K577" s="96"/>
      <c r="L577" s="99">
        <f>J577-SUM(M577:FK577)</f>
        <v>0</v>
      </c>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100"/>
      <c r="AU577" s="87"/>
      <c r="AV577" s="87"/>
      <c r="AW577" s="87"/>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100"/>
      <c r="EJ577" s="100"/>
      <c r="EK577" s="100"/>
      <c r="EL577" s="100"/>
      <c r="EM577" s="100"/>
      <c r="EN577" s="100"/>
      <c r="EO577" s="100"/>
      <c r="EP577" s="87">
        <v>1</v>
      </c>
      <c r="EQ577" s="87">
        <v>1</v>
      </c>
      <c r="ER577" s="87">
        <v>1</v>
      </c>
      <c r="ES577" s="87">
        <v>1</v>
      </c>
      <c r="ET577" s="87">
        <v>1</v>
      </c>
      <c r="EU577" s="87"/>
      <c r="EV577" s="87"/>
      <c r="EW577" s="87"/>
      <c r="EX577" s="87"/>
      <c r="EY577" s="87"/>
      <c r="EZ577" s="87"/>
      <c r="FA577" s="87"/>
      <c r="FB577" s="87"/>
      <c r="FC577" s="87"/>
      <c r="FD577" s="87"/>
      <c r="FE577" s="87"/>
      <c r="FF577" s="87"/>
      <c r="FG577" s="87"/>
      <c r="FH577" s="87"/>
      <c r="FI577" s="87"/>
      <c r="FJ577" s="87"/>
      <c r="FK577" s="87"/>
    </row>
    <row r="578" spans="1:167">
      <c r="A578" s="31" t="str">
        <f>E578&amp;F578</f>
        <v/>
      </c>
      <c r="B578" s="74" t="s">
        <v>28</v>
      </c>
      <c r="C578" s="73" t="s">
        <v>31</v>
      </c>
      <c r="D578" s="73"/>
      <c r="E578" s="75"/>
      <c r="F578" s="73"/>
      <c r="G578" s="73"/>
      <c r="H578" s="73"/>
      <c r="I578" s="93">
        <f>J578*8</f>
        <v>40</v>
      </c>
      <c r="J578" s="93">
        <v>5</v>
      </c>
      <c r="K578" s="96"/>
      <c r="L578" s="99">
        <f>J578-SUM(M578:FK578)</f>
        <v>0</v>
      </c>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100"/>
      <c r="AU578" s="87"/>
      <c r="AV578" s="87"/>
      <c r="AW578" s="87"/>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100"/>
      <c r="EJ578" s="100"/>
      <c r="EK578" s="100"/>
      <c r="EL578" s="100"/>
      <c r="EM578" s="100"/>
      <c r="EN578" s="100"/>
      <c r="EO578" s="100"/>
      <c r="EP578" s="87">
        <v>1</v>
      </c>
      <c r="EQ578" s="87">
        <v>1</v>
      </c>
      <c r="ER578" s="87">
        <v>1</v>
      </c>
      <c r="ES578" s="87">
        <v>1</v>
      </c>
      <c r="ET578" s="87">
        <v>1</v>
      </c>
      <c r="EU578" s="87"/>
      <c r="EV578" s="87"/>
      <c r="EW578" s="87"/>
      <c r="EX578" s="87"/>
      <c r="EY578" s="87"/>
      <c r="EZ578" s="87"/>
      <c r="FA578" s="87"/>
      <c r="FB578" s="87"/>
      <c r="FC578" s="87"/>
      <c r="FD578" s="87"/>
      <c r="FE578" s="87"/>
      <c r="FF578" s="87"/>
      <c r="FG578" s="87"/>
      <c r="FH578" s="87"/>
      <c r="FI578" s="87"/>
      <c r="FJ578" s="87"/>
      <c r="FK578" s="87"/>
    </row>
    <row r="579" spans="1:167">
      <c r="A579" s="31" t="str">
        <f>E579&amp;F579</f>
        <v/>
      </c>
      <c r="B579" s="74" t="s">
        <v>28</v>
      </c>
      <c r="C579" s="73" t="s">
        <v>28</v>
      </c>
      <c r="D579" s="73"/>
      <c r="E579" s="73"/>
      <c r="F579" s="73"/>
      <c r="G579" s="73"/>
      <c r="H579" s="73"/>
      <c r="I579" s="93">
        <f>J579*8</f>
        <v>40</v>
      </c>
      <c r="J579" s="93">
        <v>5</v>
      </c>
      <c r="K579" s="96"/>
      <c r="L579" s="99">
        <f>J579-SUM(M579:FK579)</f>
        <v>0</v>
      </c>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100"/>
      <c r="AU579" s="87"/>
      <c r="AV579" s="87"/>
      <c r="AW579" s="87"/>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100"/>
      <c r="EJ579" s="100"/>
      <c r="EK579" s="100"/>
      <c r="EL579" s="100"/>
      <c r="EM579" s="100"/>
      <c r="EN579" s="100"/>
      <c r="EO579" s="100"/>
      <c r="EP579" s="87"/>
      <c r="EQ579" s="87"/>
      <c r="ER579" s="87"/>
      <c r="ES579" s="87"/>
      <c r="ET579" s="87"/>
      <c r="EU579" s="87">
        <v>1</v>
      </c>
      <c r="EV579" s="87">
        <v>1</v>
      </c>
      <c r="EW579" s="87">
        <v>1</v>
      </c>
      <c r="EX579" s="87">
        <v>1</v>
      </c>
      <c r="EY579" s="87">
        <v>1</v>
      </c>
      <c r="EZ579" s="87"/>
      <c r="FA579" s="87"/>
      <c r="FB579" s="87"/>
      <c r="FC579" s="87"/>
      <c r="FD579" s="87"/>
      <c r="FE579" s="87"/>
      <c r="FF579" s="87"/>
      <c r="FG579" s="87"/>
      <c r="FH579" s="87"/>
      <c r="FI579" s="87"/>
      <c r="FJ579" s="87"/>
      <c r="FK579" s="87"/>
    </row>
    <row r="580" spans="1:167" ht="10.199999999999999" customHeight="1">
      <c r="B580" s="73"/>
      <c r="C580" s="73"/>
      <c r="D580" s="73"/>
      <c r="E580" s="73"/>
      <c r="F580" s="73"/>
      <c r="G580" s="73"/>
      <c r="H580" s="73"/>
      <c r="I580" s="93"/>
      <c r="J580" s="93"/>
      <c r="K580" s="97"/>
      <c r="M580" s="88"/>
      <c r="N580" s="88"/>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c r="AO580" s="88"/>
      <c r="AP580" s="88"/>
      <c r="AQ580" s="88"/>
      <c r="AR580" s="88"/>
      <c r="AS580" s="88"/>
      <c r="AT580" s="102"/>
      <c r="AU580" s="88"/>
      <c r="AV580" s="88"/>
      <c r="AW580" s="88"/>
      <c r="AX580" s="88"/>
      <c r="AY580" s="88"/>
      <c r="AZ580" s="88"/>
      <c r="BA580" s="88"/>
      <c r="BB580" s="88"/>
      <c r="BC580" s="88"/>
      <c r="BD580" s="88"/>
      <c r="BE580" s="88"/>
      <c r="BF580" s="88"/>
      <c r="BG580" s="88"/>
      <c r="BH580" s="88"/>
      <c r="BI580" s="88"/>
      <c r="BJ580" s="88"/>
      <c r="BK580" s="88"/>
      <c r="BL580" s="88"/>
      <c r="BM580" s="88"/>
      <c r="BN580" s="88"/>
      <c r="BO580" s="88"/>
      <c r="BP580" s="88"/>
      <c r="BQ580" s="88"/>
      <c r="BR580" s="88"/>
      <c r="BS580" s="88"/>
      <c r="BT580" s="88"/>
      <c r="BU580" s="88"/>
      <c r="BV580" s="88"/>
      <c r="BW580" s="88"/>
      <c r="BX580" s="88"/>
      <c r="BY580" s="88"/>
      <c r="BZ580" s="88"/>
      <c r="CA580" s="88"/>
      <c r="CB580" s="88"/>
      <c r="CC580" s="88"/>
      <c r="CD580" s="88"/>
      <c r="CE580" s="88"/>
      <c r="CF580" s="88"/>
      <c r="CG580" s="88"/>
      <c r="CH580" s="88"/>
      <c r="CI580" s="88"/>
      <c r="CJ580" s="88"/>
      <c r="CK580" s="88"/>
      <c r="CL580" s="88"/>
      <c r="CM580" s="88"/>
      <c r="CN580" s="88"/>
      <c r="CO580" s="88"/>
      <c r="CP580" s="88"/>
      <c r="CQ580" s="88"/>
      <c r="CR580" s="88"/>
      <c r="CS580" s="88"/>
      <c r="CT580" s="88"/>
      <c r="CU580" s="88"/>
      <c r="CV580" s="88"/>
      <c r="CW580" s="88"/>
      <c r="CX580" s="88"/>
      <c r="CY580" s="88"/>
      <c r="CZ580" s="88"/>
      <c r="DA580" s="88"/>
      <c r="DB580" s="88"/>
      <c r="DC580" s="88"/>
      <c r="DD580" s="88"/>
      <c r="DE580" s="88"/>
      <c r="DF580" s="88"/>
      <c r="DG580" s="88"/>
      <c r="DH580" s="88"/>
      <c r="DI580" s="88"/>
      <c r="DJ580" s="88"/>
      <c r="DK580" s="88"/>
      <c r="DL580" s="88"/>
      <c r="DM580" s="88"/>
      <c r="DN580" s="88"/>
      <c r="DO580" s="88"/>
      <c r="DP580" s="88"/>
      <c r="DQ580" s="88"/>
      <c r="DR580" s="88"/>
      <c r="DS580" s="88"/>
      <c r="DT580" s="88"/>
      <c r="DU580" s="88"/>
      <c r="DV580" s="88"/>
      <c r="DW580" s="88"/>
      <c r="DX580" s="88"/>
      <c r="DY580" s="88"/>
      <c r="DZ580" s="88"/>
      <c r="EA580" s="88"/>
      <c r="EB580" s="88"/>
      <c r="EC580" s="88"/>
      <c r="ED580" s="88"/>
      <c r="EE580" s="88"/>
      <c r="EF580" s="88"/>
      <c r="EG580" s="88"/>
      <c r="EH580" s="88"/>
      <c r="EI580" s="102"/>
      <c r="EJ580" s="102"/>
      <c r="EK580" s="102"/>
      <c r="EL580" s="102"/>
      <c r="EM580" s="102"/>
      <c r="EN580" s="102"/>
      <c r="EO580" s="102"/>
      <c r="EP580" s="88"/>
      <c r="EQ580" s="88"/>
      <c r="ER580" s="88"/>
      <c r="ES580" s="88"/>
      <c r="ET580" s="88"/>
      <c r="EU580" s="88"/>
      <c r="EV580" s="88"/>
      <c r="EW580" s="88"/>
      <c r="EX580" s="88"/>
      <c r="EY580" s="88"/>
      <c r="EZ580" s="88"/>
      <c r="FA580" s="88"/>
      <c r="FB580" s="88"/>
      <c r="FC580" s="88"/>
      <c r="FD580" s="88"/>
      <c r="FE580" s="88"/>
      <c r="FF580" s="88"/>
      <c r="FG580" s="88"/>
      <c r="FH580" s="88"/>
      <c r="FI580" s="88"/>
      <c r="FJ580" s="88"/>
      <c r="FK580" s="88"/>
    </row>
    <row r="581" spans="1:167">
      <c r="B581" s="91" t="s">
        <v>436</v>
      </c>
      <c r="C581" s="92"/>
      <c r="D581" s="92"/>
      <c r="E581" s="92"/>
      <c r="F581" s="92"/>
      <c r="G581" s="92"/>
      <c r="H581" s="92"/>
      <c r="I581" s="114">
        <f>I582+I583+I636</f>
        <v>425.33750000000009</v>
      </c>
      <c r="J581" s="114">
        <f>J582+J583+J636</f>
        <v>54</v>
      </c>
      <c r="K581" s="95"/>
      <c r="M581" s="90"/>
      <c r="N581" s="90"/>
      <c r="O581" s="90"/>
      <c r="P581" s="90"/>
      <c r="Q581" s="90"/>
      <c r="R581" s="90"/>
      <c r="S581" s="90"/>
      <c r="T581" s="90"/>
      <c r="U581" s="90"/>
      <c r="V581" s="90"/>
      <c r="W581" s="90"/>
      <c r="X581" s="90"/>
      <c r="Y581" s="90"/>
      <c r="Z581" s="90"/>
      <c r="AA581" s="90"/>
      <c r="AB581" s="90"/>
      <c r="AC581" s="90"/>
      <c r="AD581" s="90"/>
      <c r="AE581" s="90"/>
      <c r="AF581" s="90"/>
      <c r="AG581" s="90"/>
      <c r="AH581" s="90"/>
      <c r="AI581" s="90"/>
      <c r="AJ581" s="90"/>
      <c r="AK581" s="90"/>
      <c r="AL581" s="90"/>
      <c r="AM581" s="90"/>
      <c r="AN581" s="90"/>
      <c r="AO581" s="90"/>
      <c r="AP581" s="90"/>
      <c r="AQ581" s="90"/>
      <c r="AR581" s="90"/>
      <c r="AS581" s="90"/>
      <c r="AT581" s="103"/>
      <c r="AU581" s="90"/>
      <c r="AV581" s="90"/>
      <c r="AW581" s="90"/>
      <c r="AX581" s="90"/>
      <c r="AY581" s="90"/>
      <c r="AZ581" s="90"/>
      <c r="BA581" s="90"/>
      <c r="BB581" s="90"/>
      <c r="BC581" s="90"/>
      <c r="BD581" s="90"/>
      <c r="BE581" s="90"/>
      <c r="BF581" s="90"/>
      <c r="BG581" s="90"/>
      <c r="BH581" s="90"/>
      <c r="BI581" s="90"/>
      <c r="BJ581" s="90"/>
      <c r="BK581" s="90"/>
      <c r="BL581" s="90"/>
      <c r="BM581" s="90"/>
      <c r="BN581" s="90"/>
      <c r="BO581" s="90"/>
      <c r="BP581" s="90"/>
      <c r="BQ581" s="90"/>
      <c r="BR581" s="90"/>
      <c r="BS581" s="90"/>
      <c r="BT581" s="90"/>
      <c r="BU581" s="90"/>
      <c r="BV581" s="90"/>
      <c r="BW581" s="90"/>
      <c r="BX581" s="90"/>
      <c r="BY581" s="90"/>
      <c r="BZ581" s="90"/>
      <c r="CA581" s="90"/>
      <c r="CB581" s="90"/>
      <c r="CC581" s="90"/>
      <c r="CD581" s="90"/>
      <c r="CE581" s="90"/>
      <c r="CF581" s="90"/>
      <c r="CG581" s="90"/>
      <c r="CH581" s="90"/>
      <c r="CI581" s="90"/>
      <c r="CJ581" s="90"/>
      <c r="CK581" s="90"/>
      <c r="CL581" s="90"/>
      <c r="CM581" s="90"/>
      <c r="CN581" s="90"/>
      <c r="CO581" s="90"/>
      <c r="CP581" s="90"/>
      <c r="CQ581" s="90"/>
      <c r="CR581" s="90"/>
      <c r="CS581" s="90"/>
      <c r="CT581" s="90"/>
      <c r="CU581" s="90"/>
      <c r="CV581" s="90"/>
      <c r="CW581" s="90"/>
      <c r="CX581" s="90"/>
      <c r="CY581" s="90"/>
      <c r="CZ581" s="90"/>
      <c r="DA581" s="90"/>
      <c r="DB581" s="90"/>
      <c r="DC581" s="90"/>
      <c r="DD581" s="90"/>
      <c r="DE581" s="90"/>
      <c r="DF581" s="90"/>
      <c r="DG581" s="90"/>
      <c r="DH581" s="90"/>
      <c r="DI581" s="90"/>
      <c r="DJ581" s="90"/>
      <c r="DK581" s="90"/>
      <c r="DL581" s="90"/>
      <c r="DM581" s="90"/>
      <c r="DN581" s="90"/>
      <c r="DO581" s="90"/>
      <c r="DP581" s="90"/>
      <c r="DQ581" s="90"/>
      <c r="DR581" s="90"/>
      <c r="DS581" s="90"/>
      <c r="DT581" s="90"/>
      <c r="DU581" s="90"/>
      <c r="DV581" s="90"/>
      <c r="DW581" s="90"/>
      <c r="DX581" s="90"/>
      <c r="DY581" s="90"/>
      <c r="DZ581" s="90"/>
      <c r="EA581" s="90"/>
      <c r="EB581" s="90"/>
      <c r="EC581" s="90"/>
      <c r="ED581" s="90"/>
      <c r="EE581" s="90"/>
      <c r="EF581" s="90"/>
      <c r="EG581" s="90"/>
      <c r="EH581" s="90"/>
      <c r="EI581" s="103"/>
      <c r="EJ581" s="103"/>
      <c r="EK581" s="103"/>
      <c r="EL581" s="103"/>
      <c r="EM581" s="103"/>
      <c r="EN581" s="103"/>
      <c r="EO581" s="103"/>
      <c r="EP581" s="161"/>
      <c r="EQ581" s="161"/>
      <c r="ER581" s="161"/>
      <c r="ES581" s="161"/>
      <c r="ET581" s="161"/>
      <c r="EU581" s="161"/>
      <c r="EV581" s="161"/>
      <c r="EW581" s="161"/>
      <c r="EX581" s="161"/>
      <c r="EY581" s="161"/>
      <c r="EZ581" s="161"/>
      <c r="FA581" s="161"/>
      <c r="FB581" s="161"/>
      <c r="FC581" s="161"/>
      <c r="FD581" s="161"/>
      <c r="FE581" s="161"/>
      <c r="FF581" s="161"/>
      <c r="FG581" s="161"/>
      <c r="FH581" s="161"/>
      <c r="FI581" s="161"/>
      <c r="FJ581" s="161"/>
      <c r="FK581" s="161"/>
    </row>
    <row r="582" spans="1:167">
      <c r="B582" s="74" t="s">
        <v>32</v>
      </c>
      <c r="C582" s="73" t="s">
        <v>437</v>
      </c>
      <c r="D582" s="73"/>
      <c r="E582" s="73"/>
      <c r="F582" s="73"/>
      <c r="G582" s="73" t="s">
        <v>30</v>
      </c>
      <c r="H582" s="73"/>
      <c r="I582" s="108">
        <f>J582*8</f>
        <v>16</v>
      </c>
      <c r="J582" s="108">
        <v>2</v>
      </c>
      <c r="K582" s="96"/>
      <c r="L582" s="99">
        <f t="shared" ref="L582:L636" si="40">J582-SUM(M582:FK582)</f>
        <v>0</v>
      </c>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100"/>
      <c r="AU582" s="87"/>
      <c r="AV582" s="87"/>
      <c r="AW582" s="87"/>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100"/>
      <c r="EJ582" s="100"/>
      <c r="EK582" s="100"/>
      <c r="EL582" s="100"/>
      <c r="EM582" s="100"/>
      <c r="EN582" s="100"/>
      <c r="EO582" s="100"/>
      <c r="EP582" s="87"/>
      <c r="EQ582" s="87"/>
      <c r="ER582" s="87"/>
      <c r="ES582" s="87"/>
      <c r="ET582" s="87"/>
      <c r="EU582" s="87">
        <v>0.5</v>
      </c>
      <c r="EV582" s="87"/>
      <c r="EW582" s="87"/>
      <c r="EX582" s="87"/>
      <c r="EY582" s="87"/>
      <c r="EZ582" s="87">
        <v>0.5</v>
      </c>
      <c r="FA582" s="87"/>
      <c r="FB582" s="87"/>
      <c r="FC582" s="87"/>
      <c r="FD582" s="87">
        <v>0.5</v>
      </c>
      <c r="FE582" s="87"/>
      <c r="FF582" s="87"/>
      <c r="FG582" s="87"/>
      <c r="FH582" s="87"/>
      <c r="FI582" s="87">
        <v>0.5</v>
      </c>
      <c r="FJ582" s="87"/>
      <c r="FK582" s="87"/>
    </row>
    <row r="583" spans="1:167">
      <c r="A583" s="31" t="str">
        <f t="shared" si="38"/>
        <v/>
      </c>
      <c r="B583" s="72" t="s">
        <v>32</v>
      </c>
      <c r="C583" s="105" t="s">
        <v>438</v>
      </c>
      <c r="D583" s="105"/>
      <c r="E583" s="106"/>
      <c r="F583" s="107"/>
      <c r="G583" s="105"/>
      <c r="H583" s="105"/>
      <c r="I583" s="108">
        <f>SUM(I584:I635)</f>
        <v>369.33750000000009</v>
      </c>
      <c r="J583" s="108">
        <f>ROUNDUP(I583/8,0)</f>
        <v>47</v>
      </c>
      <c r="K583" s="109"/>
      <c r="L583" s="99">
        <f t="shared" si="40"/>
        <v>0</v>
      </c>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100"/>
      <c r="AU583" s="87"/>
      <c r="AV583" s="87"/>
      <c r="AW583" s="87"/>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100"/>
      <c r="EJ583" s="100"/>
      <c r="EK583" s="100"/>
      <c r="EL583" s="100"/>
      <c r="EM583" s="100"/>
      <c r="EN583" s="100"/>
      <c r="EO583" s="100"/>
      <c r="EP583" s="87">
        <v>1</v>
      </c>
      <c r="EQ583" s="87">
        <v>1</v>
      </c>
      <c r="ER583" s="87">
        <v>1</v>
      </c>
      <c r="ES583" s="87">
        <v>1</v>
      </c>
      <c r="ET583" s="87">
        <v>1</v>
      </c>
      <c r="EU583" s="87">
        <v>1.5</v>
      </c>
      <c r="EV583" s="87">
        <v>2</v>
      </c>
      <c r="EW583" s="87">
        <v>2</v>
      </c>
      <c r="EX583" s="87">
        <v>2</v>
      </c>
      <c r="EY583" s="87">
        <v>2</v>
      </c>
      <c r="EZ583" s="87">
        <v>2.5</v>
      </c>
      <c r="FA583" s="87">
        <v>3</v>
      </c>
      <c r="FB583" s="87">
        <v>3</v>
      </c>
      <c r="FC583" s="87">
        <v>3</v>
      </c>
      <c r="FD583" s="87">
        <v>2.5</v>
      </c>
      <c r="FE583" s="87">
        <v>3</v>
      </c>
      <c r="FF583" s="87">
        <v>3</v>
      </c>
      <c r="FG583" s="87">
        <v>3</v>
      </c>
      <c r="FH583" s="87">
        <v>3</v>
      </c>
      <c r="FI583" s="87">
        <v>2.5</v>
      </c>
      <c r="FJ583" s="87">
        <v>3</v>
      </c>
      <c r="FK583" s="87">
        <v>1</v>
      </c>
    </row>
    <row r="584" spans="1:167" hidden="1" outlineLevel="1">
      <c r="A584" s="31" t="str">
        <f t="shared" si="38"/>
        <v>lt002_insrmntn.a.</v>
      </c>
      <c r="B584" s="76" t="s">
        <v>32</v>
      </c>
      <c r="C584" s="77" t="s">
        <v>32</v>
      </c>
      <c r="D584" s="73" t="s">
        <v>36</v>
      </c>
      <c r="E584" s="75" t="s">
        <v>439</v>
      </c>
      <c r="F584" s="73" t="s">
        <v>38</v>
      </c>
      <c r="G584" s="73" t="str">
        <f>INDEX(Auxiliar!$B$16:$B$23,MATCH(Plano_V1!H584,Auxiliar!$C$16:$C$23,0),1)</f>
        <v>2. Em Teste</v>
      </c>
      <c r="H584" s="73">
        <f>VLOOKUP(A584,'Aux - pivots1'!$A:$B,2,0)</f>
        <v>2</v>
      </c>
      <c r="I584" s="93">
        <f>SUMIFS(Table1[Estimação (horas)],Table1[Tabela],Plano_V1!E584,Table1[Campo],Plano_V1!F584)</f>
        <v>8</v>
      </c>
      <c r="J584" s="93">
        <f t="shared" ref="J584:J634" si="41">I584/8</f>
        <v>1</v>
      </c>
      <c r="K584" s="98" t="s">
        <v>39</v>
      </c>
      <c r="L584" s="99">
        <f t="shared" si="40"/>
        <v>1</v>
      </c>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c r="AM584" s="87"/>
      <c r="AN584" s="87"/>
      <c r="AO584" s="87"/>
      <c r="AP584" s="87"/>
      <c r="AQ584" s="87"/>
      <c r="AR584" s="87"/>
      <c r="AS584" s="87"/>
      <c r="AT584" s="100"/>
      <c r="AU584" s="87"/>
      <c r="AV584" s="87"/>
      <c r="AW584" s="87"/>
      <c r="AX584" s="87"/>
      <c r="AY584" s="87"/>
      <c r="AZ584" s="87"/>
      <c r="BA584" s="87"/>
      <c r="BB584" s="87"/>
      <c r="BC584" s="87"/>
      <c r="BD584" s="87"/>
      <c r="BE584" s="87"/>
      <c r="BF584" s="87"/>
      <c r="BG584" s="87"/>
      <c r="BH584" s="87"/>
      <c r="BI584" s="87"/>
      <c r="BJ584" s="87"/>
      <c r="BK584" s="87"/>
      <c r="BL584" s="87"/>
      <c r="BM584" s="87"/>
      <c r="BN584" s="87"/>
      <c r="BO584" s="87"/>
      <c r="BP584" s="87"/>
      <c r="BQ584" s="87"/>
      <c r="BR584" s="87"/>
      <c r="BS584" s="87"/>
      <c r="BT584" s="87"/>
      <c r="BU584" s="87"/>
      <c r="BV584" s="87"/>
      <c r="BW584" s="87"/>
      <c r="BX584" s="87"/>
      <c r="BY584" s="87"/>
      <c r="BZ584" s="87"/>
      <c r="CA584" s="87"/>
      <c r="CB584" s="87"/>
      <c r="CC584" s="87"/>
      <c r="CD584" s="87"/>
      <c r="CE584" s="87"/>
      <c r="CF584" s="87"/>
      <c r="CG584" s="87"/>
      <c r="CH584" s="87"/>
      <c r="CI584" s="87"/>
      <c r="CJ584" s="87"/>
      <c r="CK584" s="87"/>
      <c r="CL584" s="87"/>
      <c r="CM584" s="87"/>
      <c r="CN584" s="87"/>
      <c r="CO584" s="87"/>
      <c r="CP584" s="87"/>
      <c r="CQ584" s="87"/>
      <c r="CR584" s="87"/>
      <c r="CS584" s="87"/>
      <c r="CT584" s="87"/>
      <c r="CU584" s="87"/>
      <c r="CV584" s="87"/>
      <c r="CW584" s="87"/>
      <c r="CX584" s="87"/>
      <c r="CY584" s="87"/>
      <c r="CZ584" s="87"/>
      <c r="DA584" s="87"/>
      <c r="DB584" s="87"/>
      <c r="DC584" s="87"/>
      <c r="DD584" s="87"/>
      <c r="DE584" s="87"/>
      <c r="DF584" s="87"/>
      <c r="DG584" s="87"/>
      <c r="DH584" s="87"/>
      <c r="DI584" s="87"/>
      <c r="DJ584" s="87"/>
      <c r="DK584" s="87"/>
      <c r="DL584" s="87"/>
      <c r="DM584" s="87"/>
      <c r="DN584" s="87"/>
      <c r="DO584" s="87"/>
      <c r="DP584" s="87"/>
      <c r="DQ584" s="87"/>
      <c r="DR584" s="87"/>
      <c r="DS584" s="87"/>
      <c r="DT584" s="87"/>
      <c r="DU584" s="87"/>
      <c r="DV584" s="87"/>
      <c r="DW584" s="87"/>
      <c r="DX584" s="87"/>
      <c r="DY584" s="87"/>
      <c r="DZ584" s="87"/>
      <c r="EA584" s="87"/>
      <c r="EB584" s="87"/>
      <c r="EC584" s="87"/>
      <c r="ED584" s="87"/>
      <c r="EE584" s="87"/>
      <c r="EF584" s="87"/>
      <c r="EG584" s="87"/>
      <c r="EH584" s="87"/>
      <c r="EI584" s="100"/>
      <c r="EJ584" s="100"/>
      <c r="EK584" s="100"/>
      <c r="EL584" s="100"/>
      <c r="EM584" s="100"/>
      <c r="EN584" s="100"/>
      <c r="EO584" s="100"/>
      <c r="EP584" s="87"/>
      <c r="EQ584" s="87"/>
      <c r="ER584" s="87"/>
      <c r="ES584" s="87"/>
      <c r="ET584" s="87"/>
      <c r="EU584" s="87"/>
      <c r="EV584" s="87"/>
      <c r="EW584" s="87"/>
      <c r="EX584" s="87"/>
      <c r="EY584" s="87"/>
      <c r="EZ584" s="87"/>
      <c r="FA584" s="87"/>
      <c r="FB584" s="87"/>
      <c r="FC584" s="87"/>
      <c r="FD584" s="87"/>
      <c r="FE584" s="87"/>
      <c r="FF584" s="87"/>
      <c r="FG584" s="87"/>
      <c r="FH584" s="87"/>
      <c r="FI584" s="87"/>
      <c r="FJ584" s="87"/>
      <c r="FK584" s="87"/>
    </row>
    <row r="585" spans="1:167" hidden="1" outlineLevel="1">
      <c r="A585" s="31" t="str">
        <f t="shared" si="38"/>
        <v>lt002_insrmntsstnbl_ctgry</v>
      </c>
      <c r="B585" s="76" t="s">
        <v>32</v>
      </c>
      <c r="C585" s="77" t="s">
        <v>32</v>
      </c>
      <c r="D585" s="73" t="s">
        <v>40</v>
      </c>
      <c r="E585" s="75" t="s">
        <v>439</v>
      </c>
      <c r="F585" s="73" t="s">
        <v>407</v>
      </c>
      <c r="G585" s="73" t="str">
        <f>INDEX(Auxiliar!$B$16:$B$23,MATCH(Plano_V1!H585,Auxiliar!$C$16:$C$23,0),1)</f>
        <v>3. Pendente de outros desenvolvimentos</v>
      </c>
      <c r="H585" s="73">
        <f>VLOOKUP(A585,'Aux - pivots1'!$A:$B,2,0)</f>
        <v>3</v>
      </c>
      <c r="I585" s="93">
        <f>SUMIFS(Table1[Estimação (horas)],Table1[Tabela],Plano_V1!E585,Table1[Campo],Plano_V1!F585)</f>
        <v>26.1</v>
      </c>
      <c r="J585" s="93">
        <f t="shared" si="41"/>
        <v>3.2625000000000002</v>
      </c>
      <c r="K585" s="98" t="s">
        <v>39</v>
      </c>
      <c r="L585" s="99">
        <f t="shared" si="40"/>
        <v>3.2625000000000002</v>
      </c>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c r="AM585" s="87"/>
      <c r="AN585" s="87"/>
      <c r="AO585" s="87"/>
      <c r="AP585" s="87"/>
      <c r="AQ585" s="87"/>
      <c r="AR585" s="87"/>
      <c r="AS585" s="87"/>
      <c r="AT585" s="100"/>
      <c r="AU585" s="87"/>
      <c r="AV585" s="87"/>
      <c r="AW585" s="87"/>
      <c r="AX585" s="87"/>
      <c r="AY585" s="87"/>
      <c r="AZ585" s="87"/>
      <c r="BA585" s="87"/>
      <c r="BB585" s="87"/>
      <c r="BC585" s="87"/>
      <c r="BD585" s="87"/>
      <c r="BE585" s="87"/>
      <c r="BF585" s="87"/>
      <c r="BG585" s="87"/>
      <c r="BH585" s="87"/>
      <c r="BI585" s="87"/>
      <c r="BJ585" s="87"/>
      <c r="BK585" s="87"/>
      <c r="BL585" s="87"/>
      <c r="BM585" s="87"/>
      <c r="BN585" s="87"/>
      <c r="BO585" s="87"/>
      <c r="BP585" s="87"/>
      <c r="BQ585" s="87"/>
      <c r="BR585" s="87"/>
      <c r="BS585" s="87"/>
      <c r="BT585" s="87"/>
      <c r="BU585" s="87"/>
      <c r="BV585" s="87"/>
      <c r="BW585" s="87"/>
      <c r="BX585" s="87"/>
      <c r="BY585" s="87"/>
      <c r="BZ585" s="87"/>
      <c r="CA585" s="87"/>
      <c r="CB585" s="87"/>
      <c r="CC585" s="87"/>
      <c r="CD585" s="87"/>
      <c r="CE585" s="87"/>
      <c r="CF585" s="87"/>
      <c r="CG585" s="87"/>
      <c r="CH585" s="87"/>
      <c r="CI585" s="87"/>
      <c r="CJ585" s="87"/>
      <c r="CK585" s="87"/>
      <c r="CL585" s="87"/>
      <c r="CM585" s="87"/>
      <c r="CN585" s="87"/>
      <c r="CO585" s="87"/>
      <c r="CP585" s="87"/>
      <c r="CQ585" s="87"/>
      <c r="CR585" s="87"/>
      <c r="CS585" s="87"/>
      <c r="CT585" s="87"/>
      <c r="CU585" s="87"/>
      <c r="CV585" s="87"/>
      <c r="CW585" s="87"/>
      <c r="CX585" s="87"/>
      <c r="CY585" s="87"/>
      <c r="CZ585" s="87"/>
      <c r="DA585" s="87"/>
      <c r="DB585" s="87"/>
      <c r="DC585" s="87"/>
      <c r="DD585" s="87"/>
      <c r="DE585" s="87"/>
      <c r="DF585" s="87"/>
      <c r="DG585" s="87"/>
      <c r="DH585" s="87"/>
      <c r="DI585" s="87"/>
      <c r="DJ585" s="87"/>
      <c r="DK585" s="87"/>
      <c r="DL585" s="87"/>
      <c r="DM585" s="87"/>
      <c r="DN585" s="87"/>
      <c r="DO585" s="87"/>
      <c r="DP585" s="87"/>
      <c r="DQ585" s="87"/>
      <c r="DR585" s="87"/>
      <c r="DS585" s="87"/>
      <c r="DT585" s="87"/>
      <c r="DU585" s="87"/>
      <c r="DV585" s="87"/>
      <c r="DW585" s="87"/>
      <c r="DX585" s="87"/>
      <c r="DY585" s="87"/>
      <c r="DZ585" s="87"/>
      <c r="EA585" s="87"/>
      <c r="EB585" s="87"/>
      <c r="EC585" s="87"/>
      <c r="ED585" s="87"/>
      <c r="EE585" s="87"/>
      <c r="EF585" s="87"/>
      <c r="EG585" s="87"/>
      <c r="EH585" s="87"/>
      <c r="EI585" s="100"/>
      <c r="EJ585" s="100"/>
      <c r="EK585" s="100"/>
      <c r="EL585" s="100"/>
      <c r="EM585" s="100"/>
      <c r="EN585" s="100"/>
      <c r="EO585" s="100"/>
      <c r="EP585" s="87"/>
      <c r="EQ585" s="87"/>
      <c r="ER585" s="87"/>
      <c r="ES585" s="87"/>
      <c r="ET585" s="87"/>
      <c r="EU585" s="87"/>
      <c r="EV585" s="87"/>
      <c r="EW585" s="87"/>
      <c r="EX585" s="87"/>
      <c r="EY585" s="87"/>
      <c r="EZ585" s="87"/>
      <c r="FA585" s="87"/>
      <c r="FB585" s="87"/>
      <c r="FC585" s="87"/>
      <c r="FD585" s="87"/>
      <c r="FE585" s="87"/>
      <c r="FF585" s="87"/>
      <c r="FG585" s="87"/>
      <c r="FH585" s="87"/>
      <c r="FI585" s="87"/>
      <c r="FJ585" s="87"/>
      <c r="FK585" s="87"/>
    </row>
    <row r="586" spans="1:167" hidden="1" outlineLevel="1">
      <c r="A586" s="31" t="str">
        <f t="shared" si="38"/>
        <v>lt002_insrmntdflt_stts_instrmnt</v>
      </c>
      <c r="B586" s="76" t="s">
        <v>32</v>
      </c>
      <c r="C586" s="77" t="s">
        <v>32</v>
      </c>
      <c r="D586" s="73" t="s">
        <v>40</v>
      </c>
      <c r="E586" s="75" t="s">
        <v>439</v>
      </c>
      <c r="F586" s="73" t="s">
        <v>390</v>
      </c>
      <c r="G586" s="73" t="str">
        <f>INDEX(Auxiliar!$B$16:$B$23,MATCH(Plano_V1!H586,Auxiliar!$C$16:$C$23,0),1)</f>
        <v>1. Concluído</v>
      </c>
      <c r="H586" s="73">
        <f>VLOOKUP(A586,'Aux - pivots1'!$A:$B,2,0)</f>
        <v>1</v>
      </c>
      <c r="I586" s="93">
        <f>SUMIFS(Table1[Estimação (horas)],Table1[Tabela],Plano_V1!E586,Table1[Campo],Plano_V1!F586)</f>
        <v>1</v>
      </c>
      <c r="J586" s="93">
        <f t="shared" si="41"/>
        <v>0.125</v>
      </c>
      <c r="K586" s="98" t="s">
        <v>39</v>
      </c>
      <c r="L586" s="99">
        <f t="shared" si="40"/>
        <v>0.125</v>
      </c>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c r="AM586" s="87"/>
      <c r="AN586" s="87"/>
      <c r="AO586" s="87"/>
      <c r="AP586" s="87"/>
      <c r="AQ586" s="87"/>
      <c r="AR586" s="87"/>
      <c r="AS586" s="87"/>
      <c r="AT586" s="100"/>
      <c r="AU586" s="87"/>
      <c r="AV586" s="87"/>
      <c r="AW586" s="87"/>
      <c r="AX586" s="87"/>
      <c r="AY586" s="87"/>
      <c r="AZ586" s="87"/>
      <c r="BA586" s="87"/>
      <c r="BB586" s="87"/>
      <c r="BC586" s="87"/>
      <c r="BD586" s="87"/>
      <c r="BE586" s="87"/>
      <c r="BF586" s="87"/>
      <c r="BG586" s="87"/>
      <c r="BH586" s="87"/>
      <c r="BI586" s="87"/>
      <c r="BJ586" s="87"/>
      <c r="BK586" s="87"/>
      <c r="BL586" s="87"/>
      <c r="BM586" s="87"/>
      <c r="BN586" s="87"/>
      <c r="BO586" s="87"/>
      <c r="BP586" s="87"/>
      <c r="BQ586" s="87"/>
      <c r="BR586" s="87"/>
      <c r="BS586" s="87"/>
      <c r="BT586" s="87"/>
      <c r="BU586" s="87"/>
      <c r="BV586" s="87"/>
      <c r="BW586" s="87"/>
      <c r="BX586" s="87"/>
      <c r="BY586" s="87"/>
      <c r="BZ586" s="87"/>
      <c r="CA586" s="87"/>
      <c r="CB586" s="87"/>
      <c r="CC586" s="87"/>
      <c r="CD586" s="87"/>
      <c r="CE586" s="87"/>
      <c r="CF586" s="87"/>
      <c r="CG586" s="87"/>
      <c r="CH586" s="87"/>
      <c r="CI586" s="87"/>
      <c r="CJ586" s="87"/>
      <c r="CK586" s="87"/>
      <c r="CL586" s="87"/>
      <c r="CM586" s="87"/>
      <c r="CN586" s="87"/>
      <c r="CO586" s="87"/>
      <c r="CP586" s="87"/>
      <c r="CQ586" s="87"/>
      <c r="CR586" s="87"/>
      <c r="CS586" s="87"/>
      <c r="CT586" s="87"/>
      <c r="CU586" s="87"/>
      <c r="CV586" s="87"/>
      <c r="CW586" s="87"/>
      <c r="CX586" s="87"/>
      <c r="CY586" s="87"/>
      <c r="CZ586" s="87"/>
      <c r="DA586" s="87"/>
      <c r="DB586" s="87"/>
      <c r="DC586" s="87"/>
      <c r="DD586" s="87"/>
      <c r="DE586" s="87"/>
      <c r="DF586" s="87"/>
      <c r="DG586" s="87"/>
      <c r="DH586" s="87"/>
      <c r="DI586" s="87"/>
      <c r="DJ586" s="87"/>
      <c r="DK586" s="87"/>
      <c r="DL586" s="87"/>
      <c r="DM586" s="87"/>
      <c r="DN586" s="87"/>
      <c r="DO586" s="87"/>
      <c r="DP586" s="87"/>
      <c r="DQ586" s="87"/>
      <c r="DR586" s="87"/>
      <c r="DS586" s="87"/>
      <c r="DT586" s="87"/>
      <c r="DU586" s="87"/>
      <c r="DV586" s="87"/>
      <c r="DW586" s="87"/>
      <c r="DX586" s="87"/>
      <c r="DY586" s="87"/>
      <c r="DZ586" s="87"/>
      <c r="EA586" s="87"/>
      <c r="EB586" s="87"/>
      <c r="EC586" s="87"/>
      <c r="ED586" s="87"/>
      <c r="EE586" s="87"/>
      <c r="EF586" s="87"/>
      <c r="EG586" s="87"/>
      <c r="EH586" s="87"/>
      <c r="EI586" s="100"/>
      <c r="EJ586" s="100"/>
      <c r="EK586" s="100"/>
      <c r="EL586" s="100"/>
      <c r="EM586" s="100"/>
      <c r="EN586" s="100"/>
      <c r="EO586" s="100"/>
      <c r="EP586" s="87"/>
      <c r="EQ586" s="87"/>
      <c r="ER586" s="87"/>
      <c r="ES586" s="87"/>
      <c r="ET586" s="87"/>
      <c r="EU586" s="87"/>
      <c r="EV586" s="87"/>
      <c r="EW586" s="87"/>
      <c r="EX586" s="87"/>
      <c r="EY586" s="87"/>
      <c r="EZ586" s="87"/>
      <c r="FA586" s="87"/>
      <c r="FB586" s="87"/>
      <c r="FC586" s="87"/>
      <c r="FD586" s="87"/>
      <c r="FE586" s="87"/>
      <c r="FF586" s="87"/>
      <c r="FG586" s="87"/>
      <c r="FH586" s="87"/>
      <c r="FI586" s="87"/>
      <c r="FJ586" s="87"/>
      <c r="FK586" s="87"/>
    </row>
    <row r="587" spans="1:167" hidden="1" outlineLevel="1">
      <c r="A587" s="31" t="str">
        <f t="shared" si="38"/>
        <v>lt002_insrmntaccmltd_chngs_fv_cr_instrmnt</v>
      </c>
      <c r="B587" s="76" t="s">
        <v>32</v>
      </c>
      <c r="C587" s="77" t="s">
        <v>32</v>
      </c>
      <c r="D587" s="73" t="s">
        <v>40</v>
      </c>
      <c r="E587" s="75" t="s">
        <v>439</v>
      </c>
      <c r="F587" s="73" t="s">
        <v>396</v>
      </c>
      <c r="G587" s="73" t="str">
        <f>INDEX(Auxiliar!$B$16:$B$23,MATCH(Plano_V1!H587,Auxiliar!$C$16:$C$23,0),1)</f>
        <v>1. Concluído</v>
      </c>
      <c r="H587" s="73">
        <f>VLOOKUP(A587,'Aux - pivots1'!$A:$B,2,0)</f>
        <v>1</v>
      </c>
      <c r="I587" s="93">
        <f>SUMIFS(Table1[Estimação (horas)],Table1[Tabela],Plano_V1!E587,Table1[Campo],Plano_V1!F587)</f>
        <v>1</v>
      </c>
      <c r="J587" s="93">
        <f t="shared" si="41"/>
        <v>0.125</v>
      </c>
      <c r="K587" s="98" t="s">
        <v>39</v>
      </c>
      <c r="L587" s="99">
        <f t="shared" si="40"/>
        <v>0.125</v>
      </c>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c r="AM587" s="87"/>
      <c r="AN587" s="87"/>
      <c r="AO587" s="87"/>
      <c r="AP587" s="87"/>
      <c r="AQ587" s="87"/>
      <c r="AR587" s="87"/>
      <c r="AS587" s="87"/>
      <c r="AT587" s="100"/>
      <c r="AU587" s="87"/>
      <c r="AV587" s="87"/>
      <c r="AW587" s="87"/>
      <c r="AX587" s="87"/>
      <c r="AY587" s="87"/>
      <c r="AZ587" s="87"/>
      <c r="BA587" s="87"/>
      <c r="BB587" s="87"/>
      <c r="BC587" s="87"/>
      <c r="BD587" s="87"/>
      <c r="BE587" s="87"/>
      <c r="BF587" s="87"/>
      <c r="BG587" s="87"/>
      <c r="BH587" s="87"/>
      <c r="BI587" s="87"/>
      <c r="BJ587" s="87"/>
      <c r="BK587" s="87"/>
      <c r="BL587" s="87"/>
      <c r="BM587" s="87"/>
      <c r="BN587" s="87"/>
      <c r="BO587" s="87"/>
      <c r="BP587" s="87"/>
      <c r="BQ587" s="87"/>
      <c r="BR587" s="87"/>
      <c r="BS587" s="87"/>
      <c r="BT587" s="87"/>
      <c r="BU587" s="87"/>
      <c r="BV587" s="87"/>
      <c r="BW587" s="87"/>
      <c r="BX587" s="87"/>
      <c r="BY587" s="87"/>
      <c r="BZ587" s="87"/>
      <c r="CA587" s="87"/>
      <c r="CB587" s="87"/>
      <c r="CC587" s="87"/>
      <c r="CD587" s="87"/>
      <c r="CE587" s="87"/>
      <c r="CF587" s="87"/>
      <c r="CG587" s="87"/>
      <c r="CH587" s="87"/>
      <c r="CI587" s="87"/>
      <c r="CJ587" s="87"/>
      <c r="CK587" s="87"/>
      <c r="CL587" s="87"/>
      <c r="CM587" s="87"/>
      <c r="CN587" s="87"/>
      <c r="CO587" s="87"/>
      <c r="CP587" s="87"/>
      <c r="CQ587" s="87"/>
      <c r="CR587" s="87"/>
      <c r="CS587" s="87"/>
      <c r="CT587" s="87"/>
      <c r="CU587" s="87"/>
      <c r="CV587" s="87"/>
      <c r="CW587" s="87"/>
      <c r="CX587" s="87"/>
      <c r="CY587" s="87"/>
      <c r="CZ587" s="87"/>
      <c r="DA587" s="87"/>
      <c r="DB587" s="87"/>
      <c r="DC587" s="87"/>
      <c r="DD587" s="87"/>
      <c r="DE587" s="87"/>
      <c r="DF587" s="87"/>
      <c r="DG587" s="87"/>
      <c r="DH587" s="87"/>
      <c r="DI587" s="87"/>
      <c r="DJ587" s="87"/>
      <c r="DK587" s="87"/>
      <c r="DL587" s="87"/>
      <c r="DM587" s="87"/>
      <c r="DN587" s="87"/>
      <c r="DO587" s="87"/>
      <c r="DP587" s="87"/>
      <c r="DQ587" s="87"/>
      <c r="DR587" s="87"/>
      <c r="DS587" s="87"/>
      <c r="DT587" s="87"/>
      <c r="DU587" s="87"/>
      <c r="DV587" s="87"/>
      <c r="DW587" s="87"/>
      <c r="DX587" s="87"/>
      <c r="DY587" s="87"/>
      <c r="DZ587" s="87"/>
      <c r="EA587" s="87"/>
      <c r="EB587" s="87"/>
      <c r="EC587" s="87"/>
      <c r="ED587" s="87"/>
      <c r="EE587" s="87"/>
      <c r="EF587" s="87"/>
      <c r="EG587" s="87"/>
      <c r="EH587" s="87"/>
      <c r="EI587" s="100"/>
      <c r="EJ587" s="100"/>
      <c r="EK587" s="100"/>
      <c r="EL587" s="100"/>
      <c r="EM587" s="100"/>
      <c r="EN587" s="100"/>
      <c r="EO587" s="100"/>
      <c r="EP587" s="87"/>
      <c r="EQ587" s="87"/>
      <c r="ER587" s="87"/>
      <c r="ES587" s="87"/>
      <c r="ET587" s="87"/>
      <c r="EU587" s="87"/>
      <c r="EV587" s="87"/>
      <c r="EW587" s="87"/>
      <c r="EX587" s="87"/>
      <c r="EY587" s="87"/>
      <c r="EZ587" s="87"/>
      <c r="FA587" s="87"/>
      <c r="FB587" s="87"/>
      <c r="FC587" s="87"/>
      <c r="FD587" s="87"/>
      <c r="FE587" s="87"/>
      <c r="FF587" s="87"/>
      <c r="FG587" s="87"/>
      <c r="FH587" s="87"/>
      <c r="FI587" s="87"/>
      <c r="FJ587" s="87"/>
      <c r="FK587" s="87"/>
    </row>
    <row r="588" spans="1:167" hidden="1" outlineLevel="1">
      <c r="A588" s="31" t="str">
        <f t="shared" si="38"/>
        <v>lt002_insrmntaccmltd_imprmnt_instrmnt</v>
      </c>
      <c r="B588" s="76" t="s">
        <v>32</v>
      </c>
      <c r="C588" s="77" t="s">
        <v>32</v>
      </c>
      <c r="D588" s="73" t="s">
        <v>40</v>
      </c>
      <c r="E588" s="75" t="s">
        <v>439</v>
      </c>
      <c r="F588" s="73" t="s">
        <v>399</v>
      </c>
      <c r="G588" s="73" t="str">
        <f>INDEX(Auxiliar!$B$16:$B$23,MATCH(Plano_V1!H588,Auxiliar!$C$16:$C$23,0),1)</f>
        <v>1. Concluído</v>
      </c>
      <c r="H588" s="73">
        <f>VLOOKUP(A588,'Aux - pivots1'!$A:$B,2,0)</f>
        <v>1</v>
      </c>
      <c r="I588" s="93">
        <f>SUMIFS(Table1[Estimação (horas)],Table1[Tabela],Plano_V1!E588,Table1[Campo],Plano_V1!F588)</f>
        <v>1</v>
      </c>
      <c r="J588" s="93">
        <f t="shared" si="41"/>
        <v>0.125</v>
      </c>
      <c r="K588" s="98" t="s">
        <v>39</v>
      </c>
      <c r="L588" s="99">
        <f t="shared" si="40"/>
        <v>0.125</v>
      </c>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c r="AM588" s="87"/>
      <c r="AN588" s="87"/>
      <c r="AO588" s="87"/>
      <c r="AP588" s="87"/>
      <c r="AQ588" s="87"/>
      <c r="AR588" s="87"/>
      <c r="AS588" s="87"/>
      <c r="AT588" s="100"/>
      <c r="AU588" s="87"/>
      <c r="AV588" s="87"/>
      <c r="AW588" s="87"/>
      <c r="AX588" s="87"/>
      <c r="AY588" s="87"/>
      <c r="AZ588" s="87"/>
      <c r="BA588" s="87"/>
      <c r="BB588" s="87"/>
      <c r="BC588" s="87"/>
      <c r="BD588" s="87"/>
      <c r="BE588" s="87"/>
      <c r="BF588" s="87"/>
      <c r="BG588" s="87"/>
      <c r="BH588" s="87"/>
      <c r="BI588" s="87"/>
      <c r="BJ588" s="87"/>
      <c r="BK588" s="87"/>
      <c r="BL588" s="87"/>
      <c r="BM588" s="87"/>
      <c r="BN588" s="87"/>
      <c r="BO588" s="87"/>
      <c r="BP588" s="87"/>
      <c r="BQ588" s="87"/>
      <c r="BR588" s="87"/>
      <c r="BS588" s="87"/>
      <c r="BT588" s="87"/>
      <c r="BU588" s="87"/>
      <c r="BV588" s="87"/>
      <c r="BW588" s="87"/>
      <c r="BX588" s="87"/>
      <c r="BY588" s="87"/>
      <c r="BZ588" s="87"/>
      <c r="CA588" s="87"/>
      <c r="CB588" s="87"/>
      <c r="CC588" s="87"/>
      <c r="CD588" s="87"/>
      <c r="CE588" s="87"/>
      <c r="CF588" s="87"/>
      <c r="CG588" s="87"/>
      <c r="CH588" s="87"/>
      <c r="CI588" s="87"/>
      <c r="CJ588" s="87"/>
      <c r="CK588" s="87"/>
      <c r="CL588" s="87"/>
      <c r="CM588" s="87"/>
      <c r="CN588" s="87"/>
      <c r="CO588" s="87"/>
      <c r="CP588" s="87"/>
      <c r="CQ588" s="87"/>
      <c r="CR588" s="87"/>
      <c r="CS588" s="87"/>
      <c r="CT588" s="87"/>
      <c r="CU588" s="87"/>
      <c r="CV588" s="87"/>
      <c r="CW588" s="87"/>
      <c r="CX588" s="87"/>
      <c r="CY588" s="87"/>
      <c r="CZ588" s="87"/>
      <c r="DA588" s="87"/>
      <c r="DB588" s="87"/>
      <c r="DC588" s="87"/>
      <c r="DD588" s="87"/>
      <c r="DE588" s="87"/>
      <c r="DF588" s="87"/>
      <c r="DG588" s="87"/>
      <c r="DH588" s="87"/>
      <c r="DI588" s="87"/>
      <c r="DJ588" s="87"/>
      <c r="DK588" s="87"/>
      <c r="DL588" s="87"/>
      <c r="DM588" s="87"/>
      <c r="DN588" s="87"/>
      <c r="DO588" s="87"/>
      <c r="DP588" s="87"/>
      <c r="DQ588" s="87"/>
      <c r="DR588" s="87"/>
      <c r="DS588" s="87"/>
      <c r="DT588" s="87"/>
      <c r="DU588" s="87"/>
      <c r="DV588" s="87"/>
      <c r="DW588" s="87"/>
      <c r="DX588" s="87"/>
      <c r="DY588" s="87"/>
      <c r="DZ588" s="87"/>
      <c r="EA588" s="87"/>
      <c r="EB588" s="87"/>
      <c r="EC588" s="87"/>
      <c r="ED588" s="87"/>
      <c r="EE588" s="87"/>
      <c r="EF588" s="87"/>
      <c r="EG588" s="87"/>
      <c r="EH588" s="87"/>
      <c r="EI588" s="100"/>
      <c r="EJ588" s="100"/>
      <c r="EK588" s="100"/>
      <c r="EL588" s="100"/>
      <c r="EM588" s="100"/>
      <c r="EN588" s="100"/>
      <c r="EO588" s="100"/>
      <c r="EP588" s="87"/>
      <c r="EQ588" s="87"/>
      <c r="ER588" s="87"/>
      <c r="ES588" s="87"/>
      <c r="ET588" s="87"/>
      <c r="EU588" s="87"/>
      <c r="EV588" s="87"/>
      <c r="EW588" s="87"/>
      <c r="EX588" s="87"/>
      <c r="EY588" s="87"/>
      <c r="EZ588" s="87"/>
      <c r="FA588" s="87"/>
      <c r="FB588" s="87"/>
      <c r="FC588" s="87"/>
      <c r="FD588" s="87"/>
      <c r="FE588" s="87"/>
      <c r="FF588" s="87"/>
      <c r="FG588" s="87"/>
      <c r="FH588" s="87"/>
      <c r="FI588" s="87"/>
      <c r="FJ588" s="87"/>
      <c r="FK588" s="87"/>
    </row>
    <row r="589" spans="1:167" hidden="1" outlineLevel="1">
      <c r="A589" s="31" t="str">
        <f t="shared" si="38"/>
        <v>lt002_insrmntaccntng_clssfctn</v>
      </c>
      <c r="B589" s="76" t="s">
        <v>32</v>
      </c>
      <c r="C589" s="77" t="s">
        <v>32</v>
      </c>
      <c r="D589" s="73" t="s">
        <v>40</v>
      </c>
      <c r="E589" s="75" t="s">
        <v>439</v>
      </c>
      <c r="F589" s="73" t="s">
        <v>397</v>
      </c>
      <c r="G589" s="73" t="str">
        <f>INDEX(Auxiliar!$B$16:$B$23,MATCH(Plano_V1!H589,Auxiliar!$C$16:$C$23,0),1)</f>
        <v>1. Concluído</v>
      </c>
      <c r="H589" s="73">
        <f>VLOOKUP(A589,'Aux - pivots1'!$A:$B,2,0)</f>
        <v>1</v>
      </c>
      <c r="I589" s="93">
        <f>SUMIFS(Table1[Estimação (horas)],Table1[Tabela],Plano_V1!E589,Table1[Campo],Plano_V1!F589)</f>
        <v>1</v>
      </c>
      <c r="J589" s="93">
        <f t="shared" si="41"/>
        <v>0.125</v>
      </c>
      <c r="K589" s="98" t="s">
        <v>39</v>
      </c>
      <c r="L589" s="99">
        <f t="shared" si="40"/>
        <v>0.125</v>
      </c>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c r="AM589" s="87"/>
      <c r="AN589" s="87"/>
      <c r="AO589" s="87"/>
      <c r="AP589" s="87"/>
      <c r="AQ589" s="87"/>
      <c r="AR589" s="87"/>
      <c r="AS589" s="87"/>
      <c r="AT589" s="100"/>
      <c r="AU589" s="87"/>
      <c r="AV589" s="87"/>
      <c r="AW589" s="87"/>
      <c r="AX589" s="87"/>
      <c r="AY589" s="87"/>
      <c r="AZ589" s="87"/>
      <c r="BA589" s="87"/>
      <c r="BB589" s="87"/>
      <c r="BC589" s="87"/>
      <c r="BD589" s="87"/>
      <c r="BE589" s="87"/>
      <c r="BF589" s="87"/>
      <c r="BG589" s="87"/>
      <c r="BH589" s="87"/>
      <c r="BI589" s="87"/>
      <c r="BJ589" s="87"/>
      <c r="BK589" s="87"/>
      <c r="BL589" s="87"/>
      <c r="BM589" s="87"/>
      <c r="BN589" s="87"/>
      <c r="BO589" s="87"/>
      <c r="BP589" s="87"/>
      <c r="BQ589" s="87"/>
      <c r="BR589" s="87"/>
      <c r="BS589" s="87"/>
      <c r="BT589" s="87"/>
      <c r="BU589" s="87"/>
      <c r="BV589" s="87"/>
      <c r="BW589" s="87"/>
      <c r="BX589" s="87"/>
      <c r="BY589" s="87"/>
      <c r="BZ589" s="87"/>
      <c r="CA589" s="87"/>
      <c r="CB589" s="87"/>
      <c r="CC589" s="87"/>
      <c r="CD589" s="87"/>
      <c r="CE589" s="87"/>
      <c r="CF589" s="87"/>
      <c r="CG589" s="87"/>
      <c r="CH589" s="87"/>
      <c r="CI589" s="87"/>
      <c r="CJ589" s="87"/>
      <c r="CK589" s="87"/>
      <c r="CL589" s="87"/>
      <c r="CM589" s="87"/>
      <c r="CN589" s="87"/>
      <c r="CO589" s="87"/>
      <c r="CP589" s="87"/>
      <c r="CQ589" s="87"/>
      <c r="CR589" s="87"/>
      <c r="CS589" s="87"/>
      <c r="CT589" s="87"/>
      <c r="CU589" s="87"/>
      <c r="CV589" s="87"/>
      <c r="CW589" s="87"/>
      <c r="CX589" s="87"/>
      <c r="CY589" s="87"/>
      <c r="CZ589" s="87"/>
      <c r="DA589" s="87"/>
      <c r="DB589" s="87"/>
      <c r="DC589" s="87"/>
      <c r="DD589" s="87"/>
      <c r="DE589" s="87"/>
      <c r="DF589" s="87"/>
      <c r="DG589" s="87"/>
      <c r="DH589" s="87"/>
      <c r="DI589" s="87"/>
      <c r="DJ589" s="87"/>
      <c r="DK589" s="87"/>
      <c r="DL589" s="87"/>
      <c r="DM589" s="87"/>
      <c r="DN589" s="87"/>
      <c r="DO589" s="87"/>
      <c r="DP589" s="87"/>
      <c r="DQ589" s="87"/>
      <c r="DR589" s="87"/>
      <c r="DS589" s="87"/>
      <c r="DT589" s="87"/>
      <c r="DU589" s="87"/>
      <c r="DV589" s="87"/>
      <c r="DW589" s="87"/>
      <c r="DX589" s="87"/>
      <c r="DY589" s="87"/>
      <c r="DZ589" s="87"/>
      <c r="EA589" s="87"/>
      <c r="EB589" s="87"/>
      <c r="EC589" s="87"/>
      <c r="ED589" s="87"/>
      <c r="EE589" s="87"/>
      <c r="EF589" s="87"/>
      <c r="EG589" s="87"/>
      <c r="EH589" s="87"/>
      <c r="EI589" s="100"/>
      <c r="EJ589" s="100"/>
      <c r="EK589" s="100"/>
      <c r="EL589" s="100"/>
      <c r="EM589" s="100"/>
      <c r="EN589" s="100"/>
      <c r="EO589" s="100"/>
      <c r="EP589" s="87"/>
      <c r="EQ589" s="87"/>
      <c r="ER589" s="87"/>
      <c r="ES589" s="87"/>
      <c r="ET589" s="87"/>
      <c r="EU589" s="87"/>
      <c r="EV589" s="87"/>
      <c r="EW589" s="87"/>
      <c r="EX589" s="87"/>
      <c r="EY589" s="87"/>
      <c r="EZ589" s="87"/>
      <c r="FA589" s="87"/>
      <c r="FB589" s="87"/>
      <c r="FC589" s="87"/>
      <c r="FD589" s="87"/>
      <c r="FE589" s="87"/>
      <c r="FF589" s="87"/>
      <c r="FG589" s="87"/>
      <c r="FH589" s="87"/>
      <c r="FI589" s="87"/>
      <c r="FJ589" s="87"/>
      <c r="FK589" s="87"/>
    </row>
    <row r="590" spans="1:167" hidden="1" outlineLevel="1">
      <c r="A590" s="31" t="str">
        <f t="shared" si="38"/>
        <v>lt002_insrmntcod_soc</v>
      </c>
      <c r="B590" s="76" t="s">
        <v>32</v>
      </c>
      <c r="C590" s="77" t="s">
        <v>32</v>
      </c>
      <c r="D590" s="73" t="s">
        <v>40</v>
      </c>
      <c r="E590" s="75" t="s">
        <v>439</v>
      </c>
      <c r="F590" s="73" t="s">
        <v>404</v>
      </c>
      <c r="G590" s="73" t="str">
        <f>INDEX(Auxiliar!$B$16:$B$23,MATCH(Plano_V1!H590,Auxiliar!$C$16:$C$23,0),1)</f>
        <v>1. Concluído</v>
      </c>
      <c r="H590" s="73">
        <f>VLOOKUP(A590,'Aux - pivots1'!$A:$B,2,0)</f>
        <v>1</v>
      </c>
      <c r="I590" s="93">
        <f>SUMIFS(Table1[Estimação (horas)],Table1[Tabela],Plano_V1!E590,Table1[Campo],Plano_V1!F590)</f>
        <v>1</v>
      </c>
      <c r="J590" s="93">
        <f t="shared" si="41"/>
        <v>0.125</v>
      </c>
      <c r="K590" s="98" t="s">
        <v>39</v>
      </c>
      <c r="L590" s="99">
        <f t="shared" si="40"/>
        <v>0.125</v>
      </c>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c r="AM590" s="87"/>
      <c r="AN590" s="87"/>
      <c r="AO590" s="87"/>
      <c r="AP590" s="87"/>
      <c r="AQ590" s="87"/>
      <c r="AR590" s="87"/>
      <c r="AS590" s="87"/>
      <c r="AT590" s="100"/>
      <c r="AU590" s="87"/>
      <c r="AV590" s="87"/>
      <c r="AW590" s="87"/>
      <c r="AX590" s="87"/>
      <c r="AY590" s="87"/>
      <c r="AZ590" s="87"/>
      <c r="BA590" s="87"/>
      <c r="BB590" s="87"/>
      <c r="BC590" s="87"/>
      <c r="BD590" s="87"/>
      <c r="BE590" s="87"/>
      <c r="BF590" s="87"/>
      <c r="BG590" s="87"/>
      <c r="BH590" s="87"/>
      <c r="BI590" s="87"/>
      <c r="BJ590" s="87"/>
      <c r="BK590" s="87"/>
      <c r="BL590" s="87"/>
      <c r="BM590" s="87"/>
      <c r="BN590" s="87"/>
      <c r="BO590" s="87"/>
      <c r="BP590" s="87"/>
      <c r="BQ590" s="87"/>
      <c r="BR590" s="87"/>
      <c r="BS590" s="87"/>
      <c r="BT590" s="87"/>
      <c r="BU590" s="87"/>
      <c r="BV590" s="87"/>
      <c r="BW590" s="87"/>
      <c r="BX590" s="87"/>
      <c r="BY590" s="87"/>
      <c r="BZ590" s="87"/>
      <c r="CA590" s="87"/>
      <c r="CB590" s="87"/>
      <c r="CC590" s="87"/>
      <c r="CD590" s="87"/>
      <c r="CE590" s="87"/>
      <c r="CF590" s="87"/>
      <c r="CG590" s="87"/>
      <c r="CH590" s="87"/>
      <c r="CI590" s="87"/>
      <c r="CJ590" s="87"/>
      <c r="CK590" s="87"/>
      <c r="CL590" s="87"/>
      <c r="CM590" s="87"/>
      <c r="CN590" s="87"/>
      <c r="CO590" s="87"/>
      <c r="CP590" s="87"/>
      <c r="CQ590" s="87"/>
      <c r="CR590" s="87"/>
      <c r="CS590" s="87"/>
      <c r="CT590" s="87"/>
      <c r="CU590" s="87"/>
      <c r="CV590" s="87"/>
      <c r="CW590" s="87"/>
      <c r="CX590" s="87"/>
      <c r="CY590" s="87"/>
      <c r="CZ590" s="87"/>
      <c r="DA590" s="87"/>
      <c r="DB590" s="87"/>
      <c r="DC590" s="87"/>
      <c r="DD590" s="87"/>
      <c r="DE590" s="87"/>
      <c r="DF590" s="87"/>
      <c r="DG590" s="87"/>
      <c r="DH590" s="87"/>
      <c r="DI590" s="87"/>
      <c r="DJ590" s="87"/>
      <c r="DK590" s="87"/>
      <c r="DL590" s="87"/>
      <c r="DM590" s="87"/>
      <c r="DN590" s="87"/>
      <c r="DO590" s="87"/>
      <c r="DP590" s="87"/>
      <c r="DQ590" s="87"/>
      <c r="DR590" s="87"/>
      <c r="DS590" s="87"/>
      <c r="DT590" s="87"/>
      <c r="DU590" s="87"/>
      <c r="DV590" s="87"/>
      <c r="DW590" s="87"/>
      <c r="DX590" s="87"/>
      <c r="DY590" s="87"/>
      <c r="DZ590" s="87"/>
      <c r="EA590" s="87"/>
      <c r="EB590" s="87"/>
      <c r="EC590" s="87"/>
      <c r="ED590" s="87"/>
      <c r="EE590" s="87"/>
      <c r="EF590" s="87"/>
      <c r="EG590" s="87"/>
      <c r="EH590" s="87"/>
      <c r="EI590" s="100"/>
      <c r="EJ590" s="100"/>
      <c r="EK590" s="100"/>
      <c r="EL590" s="100"/>
      <c r="EM590" s="100"/>
      <c r="EN590" s="100"/>
      <c r="EO590" s="100"/>
      <c r="EP590" s="87"/>
      <c r="EQ590" s="87"/>
      <c r="ER590" s="87"/>
      <c r="ES590" s="87"/>
      <c r="ET590" s="87"/>
      <c r="EU590" s="87"/>
      <c r="EV590" s="87"/>
      <c r="EW590" s="87"/>
      <c r="EX590" s="87"/>
      <c r="EY590" s="87"/>
      <c r="EZ590" s="87"/>
      <c r="FA590" s="87"/>
      <c r="FB590" s="87"/>
      <c r="FC590" s="87"/>
      <c r="FD590" s="87"/>
      <c r="FE590" s="87"/>
      <c r="FF590" s="87"/>
      <c r="FG590" s="87"/>
      <c r="FH590" s="87"/>
      <c r="FI590" s="87"/>
      <c r="FJ590" s="87"/>
      <c r="FK590" s="87"/>
    </row>
    <row r="591" spans="1:167" hidden="1" outlineLevel="1">
      <c r="A591" s="31" t="str">
        <f t="shared" si="38"/>
        <v>lt002_insrmntdt_rfrnc</v>
      </c>
      <c r="B591" s="76" t="s">
        <v>32</v>
      </c>
      <c r="C591" s="77" t="s">
        <v>32</v>
      </c>
      <c r="D591" s="73" t="s">
        <v>40</v>
      </c>
      <c r="E591" s="75" t="s">
        <v>439</v>
      </c>
      <c r="F591" s="73" t="s">
        <v>386</v>
      </c>
      <c r="G591" s="73" t="str">
        <f>INDEX(Auxiliar!$B$16:$B$23,MATCH(Plano_V1!H591,Auxiliar!$C$16:$C$23,0),1)</f>
        <v>1. Concluído</v>
      </c>
      <c r="H591" s="73">
        <f>VLOOKUP(A591,'Aux - pivots1'!$A:$B,2,0)</f>
        <v>1</v>
      </c>
      <c r="I591" s="93">
        <f>SUMIFS(Table1[Estimação (horas)],Table1[Tabela],Plano_V1!E591,Table1[Campo],Plano_V1!F591)</f>
        <v>1</v>
      </c>
      <c r="J591" s="93">
        <f t="shared" si="41"/>
        <v>0.125</v>
      </c>
      <c r="K591" s="98" t="s">
        <v>39</v>
      </c>
      <c r="L591" s="99">
        <f t="shared" si="40"/>
        <v>0.125</v>
      </c>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c r="AM591" s="87"/>
      <c r="AN591" s="87"/>
      <c r="AO591" s="87"/>
      <c r="AP591" s="87"/>
      <c r="AQ591" s="87"/>
      <c r="AR591" s="87"/>
      <c r="AS591" s="87"/>
      <c r="AT591" s="100"/>
      <c r="AU591" s="87"/>
      <c r="AV591" s="87"/>
      <c r="AW591" s="87"/>
      <c r="AX591" s="87"/>
      <c r="AY591" s="87"/>
      <c r="AZ591" s="87"/>
      <c r="BA591" s="87"/>
      <c r="BB591" s="87"/>
      <c r="BC591" s="87"/>
      <c r="BD591" s="87"/>
      <c r="BE591" s="87"/>
      <c r="BF591" s="87"/>
      <c r="BG591" s="87"/>
      <c r="BH591" s="87"/>
      <c r="BI591" s="87"/>
      <c r="BJ591" s="87"/>
      <c r="BK591" s="87"/>
      <c r="BL591" s="87"/>
      <c r="BM591" s="87"/>
      <c r="BN591" s="87"/>
      <c r="BO591" s="87"/>
      <c r="BP591" s="87"/>
      <c r="BQ591" s="87"/>
      <c r="BR591" s="87"/>
      <c r="BS591" s="87"/>
      <c r="BT591" s="87"/>
      <c r="BU591" s="87"/>
      <c r="BV591" s="87"/>
      <c r="BW591" s="87"/>
      <c r="BX591" s="87"/>
      <c r="BY591" s="87"/>
      <c r="BZ591" s="87"/>
      <c r="CA591" s="87"/>
      <c r="CB591" s="87"/>
      <c r="CC591" s="87"/>
      <c r="CD591" s="87"/>
      <c r="CE591" s="87"/>
      <c r="CF591" s="87"/>
      <c r="CG591" s="87"/>
      <c r="CH591" s="87"/>
      <c r="CI591" s="87"/>
      <c r="CJ591" s="87"/>
      <c r="CK591" s="87"/>
      <c r="CL591" s="87"/>
      <c r="CM591" s="87"/>
      <c r="CN591" s="87"/>
      <c r="CO591" s="87"/>
      <c r="CP591" s="87"/>
      <c r="CQ591" s="87"/>
      <c r="CR591" s="87"/>
      <c r="CS591" s="87"/>
      <c r="CT591" s="87"/>
      <c r="CU591" s="87"/>
      <c r="CV591" s="87"/>
      <c r="CW591" s="87"/>
      <c r="CX591" s="87"/>
      <c r="CY591" s="87"/>
      <c r="CZ591" s="87"/>
      <c r="DA591" s="87"/>
      <c r="DB591" s="87"/>
      <c r="DC591" s="87"/>
      <c r="DD591" s="87"/>
      <c r="DE591" s="87"/>
      <c r="DF591" s="87"/>
      <c r="DG591" s="87"/>
      <c r="DH591" s="87"/>
      <c r="DI591" s="87"/>
      <c r="DJ591" s="87"/>
      <c r="DK591" s="87"/>
      <c r="DL591" s="87"/>
      <c r="DM591" s="87"/>
      <c r="DN591" s="87"/>
      <c r="DO591" s="87"/>
      <c r="DP591" s="87"/>
      <c r="DQ591" s="87"/>
      <c r="DR591" s="87"/>
      <c r="DS591" s="87"/>
      <c r="DT591" s="87"/>
      <c r="DU591" s="87"/>
      <c r="DV591" s="87"/>
      <c r="DW591" s="87"/>
      <c r="DX591" s="87"/>
      <c r="DY591" s="87"/>
      <c r="DZ591" s="87"/>
      <c r="EA591" s="87"/>
      <c r="EB591" s="87"/>
      <c r="EC591" s="87"/>
      <c r="ED591" s="87"/>
      <c r="EE591" s="87"/>
      <c r="EF591" s="87"/>
      <c r="EG591" s="87"/>
      <c r="EH591" s="87"/>
      <c r="EI591" s="100"/>
      <c r="EJ591" s="100"/>
      <c r="EK591" s="100"/>
      <c r="EL591" s="100"/>
      <c r="EM591" s="100"/>
      <c r="EN591" s="100"/>
      <c r="EO591" s="100"/>
      <c r="EP591" s="87"/>
      <c r="EQ591" s="87"/>
      <c r="ER591" s="87"/>
      <c r="ES591" s="87"/>
      <c r="ET591" s="87"/>
      <c r="EU591" s="87"/>
      <c r="EV591" s="87"/>
      <c r="EW591" s="87"/>
      <c r="EX591" s="87"/>
      <c r="EY591" s="87"/>
      <c r="EZ591" s="87"/>
      <c r="FA591" s="87"/>
      <c r="FB591" s="87"/>
      <c r="FC591" s="87"/>
      <c r="FD591" s="87"/>
      <c r="FE591" s="87"/>
      <c r="FF591" s="87"/>
      <c r="FG591" s="87"/>
      <c r="FH591" s="87"/>
      <c r="FI591" s="87"/>
      <c r="FJ591" s="87"/>
      <c r="FK591" s="87"/>
    </row>
    <row r="592" spans="1:167" hidden="1" outlineLevel="1">
      <c r="A592" s="31" t="str">
        <f t="shared" si="38"/>
        <v>lt002_insrmntgrss_crryng_amnt_instrmnt</v>
      </c>
      <c r="B592" s="76" t="s">
        <v>32</v>
      </c>
      <c r="C592" s="77" t="s">
        <v>32</v>
      </c>
      <c r="D592" s="73" t="s">
        <v>40</v>
      </c>
      <c r="E592" s="75" t="s">
        <v>439</v>
      </c>
      <c r="F592" s="73" t="s">
        <v>395</v>
      </c>
      <c r="G592" s="73" t="str">
        <f>INDEX(Auxiliar!$B$16:$B$23,MATCH(Plano_V1!H592,Auxiliar!$C$16:$C$23,0),1)</f>
        <v>1. Concluído</v>
      </c>
      <c r="H592" s="73">
        <f>VLOOKUP(A592,'Aux - pivots1'!$A:$B,2,0)</f>
        <v>1</v>
      </c>
      <c r="I592" s="93">
        <f>SUMIFS(Table1[Estimação (horas)],Table1[Tabela],Plano_V1!E592,Table1[Campo],Plano_V1!F592)</f>
        <v>1</v>
      </c>
      <c r="J592" s="93">
        <f t="shared" si="41"/>
        <v>0.125</v>
      </c>
      <c r="K592" s="98" t="s">
        <v>39</v>
      </c>
      <c r="L592" s="99">
        <f t="shared" si="40"/>
        <v>0.125</v>
      </c>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c r="AM592" s="87"/>
      <c r="AN592" s="87"/>
      <c r="AO592" s="87"/>
      <c r="AP592" s="87"/>
      <c r="AQ592" s="87"/>
      <c r="AR592" s="87"/>
      <c r="AS592" s="87"/>
      <c r="AT592" s="100"/>
      <c r="AU592" s="87"/>
      <c r="AV592" s="87"/>
      <c r="AW592" s="87"/>
      <c r="AX592" s="87"/>
      <c r="AY592" s="87"/>
      <c r="AZ592" s="87"/>
      <c r="BA592" s="87"/>
      <c r="BB592" s="87"/>
      <c r="BC592" s="87"/>
      <c r="BD592" s="87"/>
      <c r="BE592" s="87"/>
      <c r="BF592" s="87"/>
      <c r="BG592" s="87"/>
      <c r="BH592" s="87"/>
      <c r="BI592" s="87"/>
      <c r="BJ592" s="87"/>
      <c r="BK592" s="87"/>
      <c r="BL592" s="87"/>
      <c r="BM592" s="87"/>
      <c r="BN592" s="87"/>
      <c r="BO592" s="87"/>
      <c r="BP592" s="87"/>
      <c r="BQ592" s="87"/>
      <c r="BR592" s="87"/>
      <c r="BS592" s="87"/>
      <c r="BT592" s="87"/>
      <c r="BU592" s="87"/>
      <c r="BV592" s="87"/>
      <c r="BW592" s="87"/>
      <c r="BX592" s="87"/>
      <c r="BY592" s="87"/>
      <c r="BZ592" s="87"/>
      <c r="CA592" s="87"/>
      <c r="CB592" s="87"/>
      <c r="CC592" s="87"/>
      <c r="CD592" s="87"/>
      <c r="CE592" s="87"/>
      <c r="CF592" s="87"/>
      <c r="CG592" s="87"/>
      <c r="CH592" s="87"/>
      <c r="CI592" s="87"/>
      <c r="CJ592" s="87"/>
      <c r="CK592" s="87"/>
      <c r="CL592" s="87"/>
      <c r="CM592" s="87"/>
      <c r="CN592" s="87"/>
      <c r="CO592" s="87"/>
      <c r="CP592" s="87"/>
      <c r="CQ592" s="87"/>
      <c r="CR592" s="87"/>
      <c r="CS592" s="87"/>
      <c r="CT592" s="87"/>
      <c r="CU592" s="87"/>
      <c r="CV592" s="87"/>
      <c r="CW592" s="87"/>
      <c r="CX592" s="87"/>
      <c r="CY592" s="87"/>
      <c r="CZ592" s="87"/>
      <c r="DA592" s="87"/>
      <c r="DB592" s="87"/>
      <c r="DC592" s="87"/>
      <c r="DD592" s="87"/>
      <c r="DE592" s="87"/>
      <c r="DF592" s="87"/>
      <c r="DG592" s="87"/>
      <c r="DH592" s="87"/>
      <c r="DI592" s="87"/>
      <c r="DJ592" s="87"/>
      <c r="DK592" s="87"/>
      <c r="DL592" s="87"/>
      <c r="DM592" s="87"/>
      <c r="DN592" s="87"/>
      <c r="DO592" s="87"/>
      <c r="DP592" s="87"/>
      <c r="DQ592" s="87"/>
      <c r="DR592" s="87"/>
      <c r="DS592" s="87"/>
      <c r="DT592" s="87"/>
      <c r="DU592" s="87"/>
      <c r="DV592" s="87"/>
      <c r="DW592" s="87"/>
      <c r="DX592" s="87"/>
      <c r="DY592" s="87"/>
      <c r="DZ592" s="87"/>
      <c r="EA592" s="87"/>
      <c r="EB592" s="87"/>
      <c r="EC592" s="87"/>
      <c r="ED592" s="87"/>
      <c r="EE592" s="87"/>
      <c r="EF592" s="87"/>
      <c r="EG592" s="87"/>
      <c r="EH592" s="87"/>
      <c r="EI592" s="100"/>
      <c r="EJ592" s="100"/>
      <c r="EK592" s="100"/>
      <c r="EL592" s="100"/>
      <c r="EM592" s="100"/>
      <c r="EN592" s="100"/>
      <c r="EO592" s="100"/>
      <c r="EP592" s="87"/>
      <c r="EQ592" s="87"/>
      <c r="ER592" s="87"/>
      <c r="ES592" s="87"/>
      <c r="ET592" s="87"/>
      <c r="EU592" s="87"/>
      <c r="EV592" s="87"/>
      <c r="EW592" s="87"/>
      <c r="EX592" s="87"/>
      <c r="EY592" s="87"/>
      <c r="EZ592" s="87"/>
      <c r="FA592" s="87"/>
      <c r="FB592" s="87"/>
      <c r="FC592" s="87"/>
      <c r="FD592" s="87"/>
      <c r="FE592" s="87"/>
      <c r="FF592" s="87"/>
      <c r="FG592" s="87"/>
      <c r="FH592" s="87"/>
      <c r="FI592" s="87"/>
      <c r="FJ592" s="87"/>
      <c r="FK592" s="87"/>
    </row>
    <row r="593" spans="1:167" hidden="1" outlineLevel="1">
      <c r="A593" s="31" t="str">
        <f t="shared" si="38"/>
        <v>lt002_insrmntidcmb</v>
      </c>
      <c r="B593" s="76" t="s">
        <v>32</v>
      </c>
      <c r="C593" s="77" t="s">
        <v>32</v>
      </c>
      <c r="D593" s="73" t="s">
        <v>40</v>
      </c>
      <c r="E593" s="75" t="s">
        <v>439</v>
      </c>
      <c r="F593" s="73" t="s">
        <v>411</v>
      </c>
      <c r="G593" s="73" t="str">
        <f>INDEX(Auxiliar!$B$16:$B$23,MATCH(Plano_V1!H593,Auxiliar!$C$16:$C$23,0),1)</f>
        <v>1. Concluído</v>
      </c>
      <c r="H593" s="73">
        <f>VLOOKUP(A593,'Aux - pivots1'!$A:$B,2,0)</f>
        <v>1</v>
      </c>
      <c r="I593" s="93">
        <f>SUMIFS(Table1[Estimação (horas)],Table1[Tabela],Plano_V1!E593,Table1[Campo],Plano_V1!F593)</f>
        <v>1</v>
      </c>
      <c r="J593" s="93">
        <f t="shared" si="41"/>
        <v>0.125</v>
      </c>
      <c r="K593" s="98" t="s">
        <v>39</v>
      </c>
      <c r="L593" s="99">
        <f t="shared" si="40"/>
        <v>0.125</v>
      </c>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c r="AM593" s="87"/>
      <c r="AN593" s="87"/>
      <c r="AO593" s="87"/>
      <c r="AP593" s="87"/>
      <c r="AQ593" s="87"/>
      <c r="AR593" s="87"/>
      <c r="AS593" s="87"/>
      <c r="AT593" s="100"/>
      <c r="AU593" s="87"/>
      <c r="AV593" s="87"/>
      <c r="AW593" s="87"/>
      <c r="AX593" s="87"/>
      <c r="AY593" s="87"/>
      <c r="AZ593" s="87"/>
      <c r="BA593" s="87"/>
      <c r="BB593" s="87"/>
      <c r="BC593" s="87"/>
      <c r="BD593" s="87"/>
      <c r="BE593" s="87"/>
      <c r="BF593" s="87"/>
      <c r="BG593" s="87"/>
      <c r="BH593" s="87"/>
      <c r="BI593" s="87"/>
      <c r="BJ593" s="87"/>
      <c r="BK593" s="87"/>
      <c r="BL593" s="87"/>
      <c r="BM593" s="87"/>
      <c r="BN593" s="87"/>
      <c r="BO593" s="87"/>
      <c r="BP593" s="87"/>
      <c r="BQ593" s="87"/>
      <c r="BR593" s="87"/>
      <c r="BS593" s="87"/>
      <c r="BT593" s="87"/>
      <c r="BU593" s="87"/>
      <c r="BV593" s="87"/>
      <c r="BW593" s="87"/>
      <c r="BX593" s="87"/>
      <c r="BY593" s="87"/>
      <c r="BZ593" s="87"/>
      <c r="CA593" s="87"/>
      <c r="CB593" s="87"/>
      <c r="CC593" s="87"/>
      <c r="CD593" s="87"/>
      <c r="CE593" s="87"/>
      <c r="CF593" s="87"/>
      <c r="CG593" s="87"/>
      <c r="CH593" s="87"/>
      <c r="CI593" s="87"/>
      <c r="CJ593" s="87"/>
      <c r="CK593" s="87"/>
      <c r="CL593" s="87"/>
      <c r="CM593" s="87"/>
      <c r="CN593" s="87"/>
      <c r="CO593" s="87"/>
      <c r="CP593" s="87"/>
      <c r="CQ593" s="87"/>
      <c r="CR593" s="87"/>
      <c r="CS593" s="87"/>
      <c r="CT593" s="87"/>
      <c r="CU593" s="87"/>
      <c r="CV593" s="87"/>
      <c r="CW593" s="87"/>
      <c r="CX593" s="87"/>
      <c r="CY593" s="87"/>
      <c r="CZ593" s="87"/>
      <c r="DA593" s="87"/>
      <c r="DB593" s="87"/>
      <c r="DC593" s="87"/>
      <c r="DD593" s="87"/>
      <c r="DE593" s="87"/>
      <c r="DF593" s="87"/>
      <c r="DG593" s="87"/>
      <c r="DH593" s="87"/>
      <c r="DI593" s="87"/>
      <c r="DJ593" s="87"/>
      <c r="DK593" s="87"/>
      <c r="DL593" s="87"/>
      <c r="DM593" s="87"/>
      <c r="DN593" s="87"/>
      <c r="DO593" s="87"/>
      <c r="DP593" s="87"/>
      <c r="DQ593" s="87"/>
      <c r="DR593" s="87"/>
      <c r="DS593" s="87"/>
      <c r="DT593" s="87"/>
      <c r="DU593" s="87"/>
      <c r="DV593" s="87"/>
      <c r="DW593" s="87"/>
      <c r="DX593" s="87"/>
      <c r="DY593" s="87"/>
      <c r="DZ593" s="87"/>
      <c r="EA593" s="87"/>
      <c r="EB593" s="87"/>
      <c r="EC593" s="87"/>
      <c r="ED593" s="87"/>
      <c r="EE593" s="87"/>
      <c r="EF593" s="87"/>
      <c r="EG593" s="87"/>
      <c r="EH593" s="87"/>
      <c r="EI593" s="100"/>
      <c r="EJ593" s="100"/>
      <c r="EK593" s="100"/>
      <c r="EL593" s="100"/>
      <c r="EM593" s="100"/>
      <c r="EN593" s="100"/>
      <c r="EO593" s="100"/>
      <c r="EP593" s="87"/>
      <c r="EQ593" s="87"/>
      <c r="ER593" s="87"/>
      <c r="ES593" s="87"/>
      <c r="ET593" s="87"/>
      <c r="EU593" s="87"/>
      <c r="EV593" s="87"/>
      <c r="EW593" s="87"/>
      <c r="EX593" s="87"/>
      <c r="EY593" s="87"/>
      <c r="EZ593" s="87"/>
      <c r="FA593" s="87"/>
      <c r="FB593" s="87"/>
      <c r="FC593" s="87"/>
      <c r="FD593" s="87"/>
      <c r="FE593" s="87"/>
      <c r="FF593" s="87"/>
      <c r="FG593" s="87"/>
      <c r="FH593" s="87"/>
      <c r="FI593" s="87"/>
      <c r="FJ593" s="87"/>
      <c r="FK593" s="87"/>
    </row>
    <row r="594" spans="1:167" hidden="1" outlineLevel="1">
      <c r="A594" s="31" t="str">
        <f t="shared" si="38"/>
        <v>lt002_insrmntimprmnt_stts</v>
      </c>
      <c r="B594" s="76" t="s">
        <v>32</v>
      </c>
      <c r="C594" s="77" t="s">
        <v>32</v>
      </c>
      <c r="D594" s="73" t="s">
        <v>40</v>
      </c>
      <c r="E594" s="75" t="s">
        <v>439</v>
      </c>
      <c r="F594" s="73" t="s">
        <v>391</v>
      </c>
      <c r="G594" s="73" t="str">
        <f>INDEX(Auxiliar!$B$16:$B$23,MATCH(Plano_V1!H594,Auxiliar!$C$16:$C$23,0),1)</f>
        <v>1. Concluído</v>
      </c>
      <c r="H594" s="73">
        <f>VLOOKUP(A594,'Aux - pivots1'!$A:$B,2,0)</f>
        <v>1</v>
      </c>
      <c r="I594" s="93">
        <f>SUMIFS(Table1[Estimação (horas)],Table1[Tabela],Plano_V1!E594,Table1[Campo],Plano_V1!F594)</f>
        <v>1</v>
      </c>
      <c r="J594" s="93">
        <f t="shared" si="41"/>
        <v>0.125</v>
      </c>
      <c r="K594" s="98" t="s">
        <v>39</v>
      </c>
      <c r="L594" s="99">
        <f t="shared" si="40"/>
        <v>0.125</v>
      </c>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c r="AM594" s="87"/>
      <c r="AN594" s="87"/>
      <c r="AO594" s="87"/>
      <c r="AP594" s="87"/>
      <c r="AQ594" s="87"/>
      <c r="AR594" s="87"/>
      <c r="AS594" s="87"/>
      <c r="AT594" s="100"/>
      <c r="AU594" s="87"/>
      <c r="AV594" s="87"/>
      <c r="AW594" s="87"/>
      <c r="AX594" s="87"/>
      <c r="AY594" s="87"/>
      <c r="AZ594" s="87"/>
      <c r="BA594" s="87"/>
      <c r="BB594" s="87"/>
      <c r="BC594" s="87"/>
      <c r="BD594" s="87"/>
      <c r="BE594" s="87"/>
      <c r="BF594" s="87"/>
      <c r="BG594" s="87"/>
      <c r="BH594" s="87"/>
      <c r="BI594" s="87"/>
      <c r="BJ594" s="87"/>
      <c r="BK594" s="87"/>
      <c r="BL594" s="87"/>
      <c r="BM594" s="87"/>
      <c r="BN594" s="87"/>
      <c r="BO594" s="87"/>
      <c r="BP594" s="87"/>
      <c r="BQ594" s="87"/>
      <c r="BR594" s="87"/>
      <c r="BS594" s="87"/>
      <c r="BT594" s="87"/>
      <c r="BU594" s="87"/>
      <c r="BV594" s="87"/>
      <c r="BW594" s="87"/>
      <c r="BX594" s="87"/>
      <c r="BY594" s="87"/>
      <c r="BZ594" s="87"/>
      <c r="CA594" s="87"/>
      <c r="CB594" s="87"/>
      <c r="CC594" s="87"/>
      <c r="CD594" s="87"/>
      <c r="CE594" s="87"/>
      <c r="CF594" s="87"/>
      <c r="CG594" s="87"/>
      <c r="CH594" s="87"/>
      <c r="CI594" s="87"/>
      <c r="CJ594" s="87"/>
      <c r="CK594" s="87"/>
      <c r="CL594" s="87"/>
      <c r="CM594" s="87"/>
      <c r="CN594" s="87"/>
      <c r="CO594" s="87"/>
      <c r="CP594" s="87"/>
      <c r="CQ594" s="87"/>
      <c r="CR594" s="87"/>
      <c r="CS594" s="87"/>
      <c r="CT594" s="87"/>
      <c r="CU594" s="87"/>
      <c r="CV594" s="87"/>
      <c r="CW594" s="87"/>
      <c r="CX594" s="87"/>
      <c r="CY594" s="87"/>
      <c r="CZ594" s="87"/>
      <c r="DA594" s="87"/>
      <c r="DB594" s="87"/>
      <c r="DC594" s="87"/>
      <c r="DD594" s="87"/>
      <c r="DE594" s="87"/>
      <c r="DF594" s="87"/>
      <c r="DG594" s="87"/>
      <c r="DH594" s="87"/>
      <c r="DI594" s="87"/>
      <c r="DJ594" s="87"/>
      <c r="DK594" s="87"/>
      <c r="DL594" s="87"/>
      <c r="DM594" s="87"/>
      <c r="DN594" s="87"/>
      <c r="DO594" s="87"/>
      <c r="DP594" s="87"/>
      <c r="DQ594" s="87"/>
      <c r="DR594" s="87"/>
      <c r="DS594" s="87"/>
      <c r="DT594" s="87"/>
      <c r="DU594" s="87"/>
      <c r="DV594" s="87"/>
      <c r="DW594" s="87"/>
      <c r="DX594" s="87"/>
      <c r="DY594" s="87"/>
      <c r="DZ594" s="87"/>
      <c r="EA594" s="87"/>
      <c r="EB594" s="87"/>
      <c r="EC594" s="87"/>
      <c r="ED594" s="87"/>
      <c r="EE594" s="87"/>
      <c r="EF594" s="87"/>
      <c r="EG594" s="87"/>
      <c r="EH594" s="87"/>
      <c r="EI594" s="100"/>
      <c r="EJ594" s="100"/>
      <c r="EK594" s="100"/>
      <c r="EL594" s="100"/>
      <c r="EM594" s="100"/>
      <c r="EN594" s="100"/>
      <c r="EO594" s="100"/>
      <c r="EP594" s="87"/>
      <c r="EQ594" s="87"/>
      <c r="ER594" s="87"/>
      <c r="ES594" s="87"/>
      <c r="ET594" s="87"/>
      <c r="EU594" s="87"/>
      <c r="EV594" s="87"/>
      <c r="EW594" s="87"/>
      <c r="EX594" s="87"/>
      <c r="EY594" s="87"/>
      <c r="EZ594" s="87"/>
      <c r="FA594" s="87"/>
      <c r="FB594" s="87"/>
      <c r="FC594" s="87"/>
      <c r="FD594" s="87"/>
      <c r="FE594" s="87"/>
      <c r="FF594" s="87"/>
      <c r="FG594" s="87"/>
      <c r="FH594" s="87"/>
      <c r="FI594" s="87"/>
      <c r="FJ594" s="87"/>
      <c r="FK594" s="87"/>
    </row>
    <row r="595" spans="1:167" hidden="1" outlineLevel="1">
      <c r="A595" s="31" t="str">
        <f t="shared" si="38"/>
        <v>lt002_insrmntinstrmnt_id</v>
      </c>
      <c r="B595" s="76" t="s">
        <v>32</v>
      </c>
      <c r="C595" s="77" t="s">
        <v>32</v>
      </c>
      <c r="D595" s="73" t="s">
        <v>40</v>
      </c>
      <c r="E595" s="75" t="s">
        <v>439</v>
      </c>
      <c r="F595" s="73" t="s">
        <v>388</v>
      </c>
      <c r="G595" s="73" t="str">
        <f>INDEX(Auxiliar!$B$16:$B$23,MATCH(Plano_V1!H595,Auxiliar!$C$16:$C$23,0),1)</f>
        <v>2. Em Teste</v>
      </c>
      <c r="H595" s="73">
        <f>VLOOKUP(A595,'Aux - pivots1'!$A:$B,2,0)</f>
        <v>2</v>
      </c>
      <c r="I595" s="93">
        <f>SUMIFS(Table1[Estimação (horas)],Table1[Tabela],Plano_V1!E595,Table1[Campo],Plano_V1!F595)</f>
        <v>12.1</v>
      </c>
      <c r="J595" s="93">
        <f t="shared" si="41"/>
        <v>1.5125</v>
      </c>
      <c r="K595" s="98" t="s">
        <v>39</v>
      </c>
      <c r="L595" s="99">
        <f t="shared" si="40"/>
        <v>1.5125</v>
      </c>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c r="AM595" s="87"/>
      <c r="AN595" s="87"/>
      <c r="AO595" s="87"/>
      <c r="AP595" s="87"/>
      <c r="AQ595" s="87"/>
      <c r="AR595" s="87"/>
      <c r="AS595" s="87"/>
      <c r="AT595" s="100"/>
      <c r="AU595" s="87"/>
      <c r="AV595" s="87"/>
      <c r="AW595" s="87"/>
      <c r="AX595" s="87"/>
      <c r="AY595" s="87"/>
      <c r="AZ595" s="87"/>
      <c r="BA595" s="87"/>
      <c r="BB595" s="87"/>
      <c r="BC595" s="87"/>
      <c r="BD595" s="87"/>
      <c r="BE595" s="87"/>
      <c r="BF595" s="87"/>
      <c r="BG595" s="87"/>
      <c r="BH595" s="87"/>
      <c r="BI595" s="87"/>
      <c r="BJ595" s="87"/>
      <c r="BK595" s="87"/>
      <c r="BL595" s="87"/>
      <c r="BM595" s="87"/>
      <c r="BN595" s="87"/>
      <c r="BO595" s="87"/>
      <c r="BP595" s="87"/>
      <c r="BQ595" s="87"/>
      <c r="BR595" s="87"/>
      <c r="BS595" s="87"/>
      <c r="BT595" s="87"/>
      <c r="BU595" s="87"/>
      <c r="BV595" s="87"/>
      <c r="BW595" s="87"/>
      <c r="BX595" s="87"/>
      <c r="BY595" s="87"/>
      <c r="BZ595" s="87"/>
      <c r="CA595" s="87"/>
      <c r="CB595" s="87"/>
      <c r="CC595" s="87"/>
      <c r="CD595" s="87"/>
      <c r="CE595" s="87"/>
      <c r="CF595" s="87"/>
      <c r="CG595" s="87"/>
      <c r="CH595" s="87"/>
      <c r="CI595" s="87"/>
      <c r="CJ595" s="87"/>
      <c r="CK595" s="87"/>
      <c r="CL595" s="87"/>
      <c r="CM595" s="87"/>
      <c r="CN595" s="87"/>
      <c r="CO595" s="87"/>
      <c r="CP595" s="87"/>
      <c r="CQ595" s="87"/>
      <c r="CR595" s="87"/>
      <c r="CS595" s="87"/>
      <c r="CT595" s="87"/>
      <c r="CU595" s="87"/>
      <c r="CV595" s="87"/>
      <c r="CW595" s="87"/>
      <c r="CX595" s="87"/>
      <c r="CY595" s="87"/>
      <c r="CZ595" s="87"/>
      <c r="DA595" s="87"/>
      <c r="DB595" s="87"/>
      <c r="DC595" s="87"/>
      <c r="DD595" s="87"/>
      <c r="DE595" s="87"/>
      <c r="DF595" s="87"/>
      <c r="DG595" s="87"/>
      <c r="DH595" s="87"/>
      <c r="DI595" s="87"/>
      <c r="DJ595" s="87"/>
      <c r="DK595" s="87"/>
      <c r="DL595" s="87"/>
      <c r="DM595" s="87"/>
      <c r="DN595" s="87"/>
      <c r="DO595" s="87"/>
      <c r="DP595" s="87"/>
      <c r="DQ595" s="87"/>
      <c r="DR595" s="87"/>
      <c r="DS595" s="87"/>
      <c r="DT595" s="87"/>
      <c r="DU595" s="87"/>
      <c r="DV595" s="87"/>
      <c r="DW595" s="87"/>
      <c r="DX595" s="87"/>
      <c r="DY595" s="87"/>
      <c r="DZ595" s="87"/>
      <c r="EA595" s="87"/>
      <c r="EB595" s="87"/>
      <c r="EC595" s="87"/>
      <c r="ED595" s="87"/>
      <c r="EE595" s="87"/>
      <c r="EF595" s="87"/>
      <c r="EG595" s="87"/>
      <c r="EH595" s="87"/>
      <c r="EI595" s="100"/>
      <c r="EJ595" s="100"/>
      <c r="EK595" s="100"/>
      <c r="EL595" s="100"/>
      <c r="EM595" s="100"/>
      <c r="EN595" s="100"/>
      <c r="EO595" s="100"/>
      <c r="EP595" s="87"/>
      <c r="EQ595" s="87"/>
      <c r="ER595" s="87"/>
      <c r="ES595" s="87"/>
      <c r="ET595" s="87"/>
      <c r="EU595" s="87"/>
      <c r="EV595" s="87"/>
      <c r="EW595" s="87"/>
      <c r="EX595" s="87"/>
      <c r="EY595" s="87"/>
      <c r="EZ595" s="87"/>
      <c r="FA595" s="87"/>
      <c r="FB595" s="87"/>
      <c r="FC595" s="87"/>
      <c r="FD595" s="87"/>
      <c r="FE595" s="87"/>
      <c r="FF595" s="87"/>
      <c r="FG595" s="87"/>
      <c r="FH595" s="87"/>
      <c r="FI595" s="87"/>
      <c r="FJ595" s="87"/>
      <c r="FK595" s="87"/>
    </row>
    <row r="596" spans="1:167" hidden="1" outlineLevel="1">
      <c r="A596" s="31" t="str">
        <f t="shared" si="38"/>
        <v>lt002_insrmntlcl_instmrnt_id</v>
      </c>
      <c r="B596" s="76" t="s">
        <v>32</v>
      </c>
      <c r="C596" s="77" t="s">
        <v>32</v>
      </c>
      <c r="D596" s="73" t="s">
        <v>40</v>
      </c>
      <c r="E596" s="75" t="s">
        <v>439</v>
      </c>
      <c r="F596" s="73" t="s">
        <v>405</v>
      </c>
      <c r="G596" s="73" t="str">
        <f>INDEX(Auxiliar!$B$16:$B$23,MATCH(Plano_V1!H596,Auxiliar!$C$16:$C$23,0),1)</f>
        <v>1. Concluído</v>
      </c>
      <c r="H596" s="73">
        <f>VLOOKUP(A596,'Aux - pivots1'!$A:$B,2,0)</f>
        <v>1</v>
      </c>
      <c r="I596" s="93">
        <f>SUMIFS(Table1[Estimação (horas)],Table1[Tabela],Plano_V1!E596,Table1[Campo],Plano_V1!F596)</f>
        <v>1</v>
      </c>
      <c r="J596" s="93">
        <f t="shared" si="41"/>
        <v>0.125</v>
      </c>
      <c r="K596" s="98" t="s">
        <v>39</v>
      </c>
      <c r="L596" s="99">
        <f t="shared" si="40"/>
        <v>0.125</v>
      </c>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c r="AP596" s="87"/>
      <c r="AQ596" s="87"/>
      <c r="AR596" s="87"/>
      <c r="AS596" s="87"/>
      <c r="AT596" s="100"/>
      <c r="AU596" s="87"/>
      <c r="AV596" s="87"/>
      <c r="AW596" s="87"/>
      <c r="AX596" s="87"/>
      <c r="AY596" s="87"/>
      <c r="AZ596" s="87"/>
      <c r="BA596" s="87"/>
      <c r="BB596" s="87"/>
      <c r="BC596" s="87"/>
      <c r="BD596" s="87"/>
      <c r="BE596" s="87"/>
      <c r="BF596" s="87"/>
      <c r="BG596" s="87"/>
      <c r="BH596" s="87"/>
      <c r="BI596" s="87"/>
      <c r="BJ596" s="87"/>
      <c r="BK596" s="87"/>
      <c r="BL596" s="87"/>
      <c r="BM596" s="87"/>
      <c r="BN596" s="87"/>
      <c r="BO596" s="87"/>
      <c r="BP596" s="87"/>
      <c r="BQ596" s="87"/>
      <c r="BR596" s="87"/>
      <c r="BS596" s="87"/>
      <c r="BT596" s="87"/>
      <c r="BU596" s="87"/>
      <c r="BV596" s="87"/>
      <c r="BW596" s="87"/>
      <c r="BX596" s="87"/>
      <c r="BY596" s="87"/>
      <c r="BZ596" s="87"/>
      <c r="CA596" s="87"/>
      <c r="CB596" s="87"/>
      <c r="CC596" s="87"/>
      <c r="CD596" s="87"/>
      <c r="CE596" s="87"/>
      <c r="CF596" s="87"/>
      <c r="CG596" s="87"/>
      <c r="CH596" s="87"/>
      <c r="CI596" s="87"/>
      <c r="CJ596" s="87"/>
      <c r="CK596" s="87"/>
      <c r="CL596" s="87"/>
      <c r="CM596" s="87"/>
      <c r="CN596" s="87"/>
      <c r="CO596" s="87"/>
      <c r="CP596" s="87"/>
      <c r="CQ596" s="87"/>
      <c r="CR596" s="87"/>
      <c r="CS596" s="87"/>
      <c r="CT596" s="87"/>
      <c r="CU596" s="87"/>
      <c r="CV596" s="87"/>
      <c r="CW596" s="87"/>
      <c r="CX596" s="87"/>
      <c r="CY596" s="87"/>
      <c r="CZ596" s="87"/>
      <c r="DA596" s="87"/>
      <c r="DB596" s="87"/>
      <c r="DC596" s="87"/>
      <c r="DD596" s="87"/>
      <c r="DE596" s="87"/>
      <c r="DF596" s="87"/>
      <c r="DG596" s="87"/>
      <c r="DH596" s="87"/>
      <c r="DI596" s="87"/>
      <c r="DJ596" s="87"/>
      <c r="DK596" s="87"/>
      <c r="DL596" s="87"/>
      <c r="DM596" s="87"/>
      <c r="DN596" s="87"/>
      <c r="DO596" s="87"/>
      <c r="DP596" s="87"/>
      <c r="DQ596" s="87"/>
      <c r="DR596" s="87"/>
      <c r="DS596" s="87"/>
      <c r="DT596" s="87"/>
      <c r="DU596" s="87"/>
      <c r="DV596" s="87"/>
      <c r="DW596" s="87"/>
      <c r="DX596" s="87"/>
      <c r="DY596" s="87"/>
      <c r="DZ596" s="87"/>
      <c r="EA596" s="87"/>
      <c r="EB596" s="87"/>
      <c r="EC596" s="87"/>
      <c r="ED596" s="87"/>
      <c r="EE596" s="87"/>
      <c r="EF596" s="87"/>
      <c r="EG596" s="87"/>
      <c r="EH596" s="87"/>
      <c r="EI596" s="100"/>
      <c r="EJ596" s="100"/>
      <c r="EK596" s="100"/>
      <c r="EL596" s="100"/>
      <c r="EM596" s="100"/>
      <c r="EN596" s="100"/>
      <c r="EO596" s="100"/>
      <c r="EP596" s="87"/>
      <c r="EQ596" s="87"/>
      <c r="ER596" s="87"/>
      <c r="ES596" s="87"/>
      <c r="ET596" s="87"/>
      <c r="EU596" s="87"/>
      <c r="EV596" s="87"/>
      <c r="EW596" s="87"/>
      <c r="EX596" s="87"/>
      <c r="EY596" s="87"/>
      <c r="EZ596" s="87"/>
      <c r="FA596" s="87"/>
      <c r="FB596" s="87"/>
      <c r="FC596" s="87"/>
      <c r="FD596" s="87"/>
      <c r="FE596" s="87"/>
      <c r="FF596" s="87"/>
      <c r="FG596" s="87"/>
      <c r="FH596" s="87"/>
      <c r="FI596" s="87"/>
      <c r="FJ596" s="87"/>
      <c r="FK596" s="87"/>
    </row>
    <row r="597" spans="1:167" hidden="1" outlineLevel="1">
      <c r="A597" s="31" t="str">
        <f t="shared" si="38"/>
        <v>lt002_insrmntoff_blnc_sht_amnt_instrmnt</v>
      </c>
      <c r="B597" s="76" t="s">
        <v>32</v>
      </c>
      <c r="C597" s="77" t="s">
        <v>32</v>
      </c>
      <c r="D597" s="73" t="s">
        <v>40</v>
      </c>
      <c r="E597" s="75" t="s">
        <v>439</v>
      </c>
      <c r="F597" s="73" t="s">
        <v>440</v>
      </c>
      <c r="G597" s="73" t="str">
        <f>INDEX(Auxiliar!$B$16:$B$23,MATCH(Plano_V1!H597,Auxiliar!$C$16:$C$23,0),1)</f>
        <v>1. Concluído</v>
      </c>
      <c r="H597" s="73">
        <f>VLOOKUP(A597,'Aux - pivots1'!$A:$B,2,0)</f>
        <v>1</v>
      </c>
      <c r="I597" s="93">
        <f>SUMIFS(Table1[Estimação (horas)],Table1[Tabela],Plano_V1!E597,Table1[Campo],Plano_V1!F597)</f>
        <v>1</v>
      </c>
      <c r="J597" s="93">
        <f t="shared" si="41"/>
        <v>0.125</v>
      </c>
      <c r="K597" s="98" t="s">
        <v>39</v>
      </c>
      <c r="L597" s="99">
        <f t="shared" si="40"/>
        <v>0.125</v>
      </c>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c r="AM597" s="87"/>
      <c r="AN597" s="87"/>
      <c r="AO597" s="87"/>
      <c r="AP597" s="87"/>
      <c r="AQ597" s="87"/>
      <c r="AR597" s="87"/>
      <c r="AS597" s="87"/>
      <c r="AT597" s="100"/>
      <c r="AU597" s="87"/>
      <c r="AV597" s="87"/>
      <c r="AW597" s="87"/>
      <c r="AX597" s="87"/>
      <c r="AY597" s="87"/>
      <c r="AZ597" s="87"/>
      <c r="BA597" s="87"/>
      <c r="BB597" s="87"/>
      <c r="BC597" s="87"/>
      <c r="BD597" s="87"/>
      <c r="BE597" s="87"/>
      <c r="BF597" s="87"/>
      <c r="BG597" s="87"/>
      <c r="BH597" s="87"/>
      <c r="BI597" s="87"/>
      <c r="BJ597" s="87"/>
      <c r="BK597" s="87"/>
      <c r="BL597" s="87"/>
      <c r="BM597" s="87"/>
      <c r="BN597" s="87"/>
      <c r="BO597" s="87"/>
      <c r="BP597" s="87"/>
      <c r="BQ597" s="87"/>
      <c r="BR597" s="87"/>
      <c r="BS597" s="87"/>
      <c r="BT597" s="87"/>
      <c r="BU597" s="87"/>
      <c r="BV597" s="87"/>
      <c r="BW597" s="87"/>
      <c r="BX597" s="87"/>
      <c r="BY597" s="87"/>
      <c r="BZ597" s="87"/>
      <c r="CA597" s="87"/>
      <c r="CB597" s="87"/>
      <c r="CC597" s="87"/>
      <c r="CD597" s="87"/>
      <c r="CE597" s="87"/>
      <c r="CF597" s="87"/>
      <c r="CG597" s="87"/>
      <c r="CH597" s="87"/>
      <c r="CI597" s="87"/>
      <c r="CJ597" s="87"/>
      <c r="CK597" s="87"/>
      <c r="CL597" s="87"/>
      <c r="CM597" s="87"/>
      <c r="CN597" s="87"/>
      <c r="CO597" s="87"/>
      <c r="CP597" s="87"/>
      <c r="CQ597" s="87"/>
      <c r="CR597" s="87"/>
      <c r="CS597" s="87"/>
      <c r="CT597" s="87"/>
      <c r="CU597" s="87"/>
      <c r="CV597" s="87"/>
      <c r="CW597" s="87"/>
      <c r="CX597" s="87"/>
      <c r="CY597" s="87"/>
      <c r="CZ597" s="87"/>
      <c r="DA597" s="87"/>
      <c r="DB597" s="87"/>
      <c r="DC597" s="87"/>
      <c r="DD597" s="87"/>
      <c r="DE597" s="87"/>
      <c r="DF597" s="87"/>
      <c r="DG597" s="87"/>
      <c r="DH597" s="87"/>
      <c r="DI597" s="87"/>
      <c r="DJ597" s="87"/>
      <c r="DK597" s="87"/>
      <c r="DL597" s="87"/>
      <c r="DM597" s="87"/>
      <c r="DN597" s="87"/>
      <c r="DO597" s="87"/>
      <c r="DP597" s="87"/>
      <c r="DQ597" s="87"/>
      <c r="DR597" s="87"/>
      <c r="DS597" s="87"/>
      <c r="DT597" s="87"/>
      <c r="DU597" s="87"/>
      <c r="DV597" s="87"/>
      <c r="DW597" s="87"/>
      <c r="DX597" s="87"/>
      <c r="DY597" s="87"/>
      <c r="DZ597" s="87"/>
      <c r="EA597" s="87"/>
      <c r="EB597" s="87"/>
      <c r="EC597" s="87"/>
      <c r="ED597" s="87"/>
      <c r="EE597" s="87"/>
      <c r="EF597" s="87"/>
      <c r="EG597" s="87"/>
      <c r="EH597" s="87"/>
      <c r="EI597" s="100"/>
      <c r="EJ597" s="100"/>
      <c r="EK597" s="100"/>
      <c r="EL597" s="100"/>
      <c r="EM597" s="100"/>
      <c r="EN597" s="100"/>
      <c r="EO597" s="100"/>
      <c r="EP597" s="87"/>
      <c r="EQ597" s="87"/>
      <c r="ER597" s="87"/>
      <c r="ES597" s="87"/>
      <c r="ET597" s="87"/>
      <c r="EU597" s="87"/>
      <c r="EV597" s="87"/>
      <c r="EW597" s="87"/>
      <c r="EX597" s="87"/>
      <c r="EY597" s="87"/>
      <c r="EZ597" s="87"/>
      <c r="FA597" s="87"/>
      <c r="FB597" s="87"/>
      <c r="FC597" s="87"/>
      <c r="FD597" s="87"/>
      <c r="FE597" s="87"/>
      <c r="FF597" s="87"/>
      <c r="FG597" s="87"/>
      <c r="FH597" s="87"/>
      <c r="FI597" s="87"/>
      <c r="FJ597" s="87"/>
      <c r="FK597" s="87"/>
    </row>
    <row r="598" spans="1:167" hidden="1" outlineLevel="1">
      <c r="A598" s="31" t="str">
        <f t="shared" si="38"/>
        <v>lt002_insrmntprfrmng_stts</v>
      </c>
      <c r="B598" s="76" t="s">
        <v>32</v>
      </c>
      <c r="C598" s="77" t="s">
        <v>32</v>
      </c>
      <c r="D598" s="73" t="s">
        <v>40</v>
      </c>
      <c r="E598" s="75" t="s">
        <v>439</v>
      </c>
      <c r="F598" s="73" t="s">
        <v>392</v>
      </c>
      <c r="G598" s="73" t="str">
        <f>INDEX(Auxiliar!$B$16:$B$23,MATCH(Plano_V1!H598,Auxiliar!$C$16:$C$23,0),1)</f>
        <v>1. Concluído</v>
      </c>
      <c r="H598" s="73">
        <f>VLOOKUP(A598,'Aux - pivots1'!$A:$B,2,0)</f>
        <v>1</v>
      </c>
      <c r="I598" s="93">
        <f>SUMIFS(Table1[Estimação (horas)],Table1[Tabela],Plano_V1!E598,Table1[Campo],Plano_V1!F598)</f>
        <v>1</v>
      </c>
      <c r="J598" s="93">
        <f t="shared" si="41"/>
        <v>0.125</v>
      </c>
      <c r="K598" s="98" t="s">
        <v>39</v>
      </c>
      <c r="L598" s="99">
        <f t="shared" si="40"/>
        <v>0.125</v>
      </c>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c r="AM598" s="87"/>
      <c r="AN598" s="87"/>
      <c r="AO598" s="87"/>
      <c r="AP598" s="87"/>
      <c r="AQ598" s="87"/>
      <c r="AR598" s="87"/>
      <c r="AS598" s="87"/>
      <c r="AT598" s="100"/>
      <c r="AU598" s="87"/>
      <c r="AV598" s="87"/>
      <c r="AW598" s="87"/>
      <c r="AX598" s="87"/>
      <c r="AY598" s="87"/>
      <c r="AZ598" s="87"/>
      <c r="BA598" s="87"/>
      <c r="BB598" s="87"/>
      <c r="BC598" s="87"/>
      <c r="BD598" s="87"/>
      <c r="BE598" s="87"/>
      <c r="BF598" s="87"/>
      <c r="BG598" s="87"/>
      <c r="BH598" s="87"/>
      <c r="BI598" s="87"/>
      <c r="BJ598" s="87"/>
      <c r="BK598" s="87"/>
      <c r="BL598" s="87"/>
      <c r="BM598" s="87"/>
      <c r="BN598" s="87"/>
      <c r="BO598" s="87"/>
      <c r="BP598" s="87"/>
      <c r="BQ598" s="87"/>
      <c r="BR598" s="87"/>
      <c r="BS598" s="87"/>
      <c r="BT598" s="87"/>
      <c r="BU598" s="87"/>
      <c r="BV598" s="87"/>
      <c r="BW598" s="87"/>
      <c r="BX598" s="87"/>
      <c r="BY598" s="87"/>
      <c r="BZ598" s="87"/>
      <c r="CA598" s="87"/>
      <c r="CB598" s="87"/>
      <c r="CC598" s="87"/>
      <c r="CD598" s="87"/>
      <c r="CE598" s="87"/>
      <c r="CF598" s="87"/>
      <c r="CG598" s="87"/>
      <c r="CH598" s="87"/>
      <c r="CI598" s="87"/>
      <c r="CJ598" s="87"/>
      <c r="CK598" s="87"/>
      <c r="CL598" s="87"/>
      <c r="CM598" s="87"/>
      <c r="CN598" s="87"/>
      <c r="CO598" s="87"/>
      <c r="CP598" s="87"/>
      <c r="CQ598" s="87"/>
      <c r="CR598" s="87"/>
      <c r="CS598" s="87"/>
      <c r="CT598" s="87"/>
      <c r="CU598" s="87"/>
      <c r="CV598" s="87"/>
      <c r="CW598" s="87"/>
      <c r="CX598" s="87"/>
      <c r="CY598" s="87"/>
      <c r="CZ598" s="87"/>
      <c r="DA598" s="87"/>
      <c r="DB598" s="87"/>
      <c r="DC598" s="87"/>
      <c r="DD598" s="87"/>
      <c r="DE598" s="87"/>
      <c r="DF598" s="87"/>
      <c r="DG598" s="87"/>
      <c r="DH598" s="87"/>
      <c r="DI598" s="87"/>
      <c r="DJ598" s="87"/>
      <c r="DK598" s="87"/>
      <c r="DL598" s="87"/>
      <c r="DM598" s="87"/>
      <c r="DN598" s="87"/>
      <c r="DO598" s="87"/>
      <c r="DP598" s="87"/>
      <c r="DQ598" s="87"/>
      <c r="DR598" s="87"/>
      <c r="DS598" s="87"/>
      <c r="DT598" s="87"/>
      <c r="DU598" s="87"/>
      <c r="DV598" s="87"/>
      <c r="DW598" s="87"/>
      <c r="DX598" s="87"/>
      <c r="DY598" s="87"/>
      <c r="DZ598" s="87"/>
      <c r="EA598" s="87"/>
      <c r="EB598" s="87"/>
      <c r="EC598" s="87"/>
      <c r="ED598" s="87"/>
      <c r="EE598" s="87"/>
      <c r="EF598" s="87"/>
      <c r="EG598" s="87"/>
      <c r="EH598" s="87"/>
      <c r="EI598" s="100"/>
      <c r="EJ598" s="100"/>
      <c r="EK598" s="100"/>
      <c r="EL598" s="100"/>
      <c r="EM598" s="100"/>
      <c r="EN598" s="100"/>
      <c r="EO598" s="100"/>
      <c r="EP598" s="87"/>
      <c r="EQ598" s="87"/>
      <c r="ER598" s="87"/>
      <c r="ES598" s="87"/>
      <c r="ET598" s="87"/>
      <c r="EU598" s="87"/>
      <c r="EV598" s="87"/>
      <c r="EW598" s="87"/>
      <c r="EX598" s="87"/>
      <c r="EY598" s="87"/>
      <c r="EZ598" s="87"/>
      <c r="FA598" s="87"/>
      <c r="FB598" s="87"/>
      <c r="FC598" s="87"/>
      <c r="FD598" s="87"/>
      <c r="FE598" s="87"/>
      <c r="FF598" s="87"/>
      <c r="FG598" s="87"/>
      <c r="FH598" s="87"/>
      <c r="FI598" s="87"/>
      <c r="FJ598" s="87"/>
      <c r="FK598" s="87"/>
    </row>
    <row r="599" spans="1:167" hidden="1" outlineLevel="1">
      <c r="A599" s="31" t="str">
        <f t="shared" ref="A599:A635" si="42">E599&amp;F599</f>
        <v>lt002_insrmntprvsns_off_blnc_sht</v>
      </c>
      <c r="B599" s="76" t="s">
        <v>32</v>
      </c>
      <c r="C599" s="77" t="s">
        <v>32</v>
      </c>
      <c r="D599" s="73" t="s">
        <v>40</v>
      </c>
      <c r="E599" s="75" t="s">
        <v>439</v>
      </c>
      <c r="F599" s="73" t="s">
        <v>441</v>
      </c>
      <c r="G599" s="73" t="str">
        <f>INDEX(Auxiliar!$B$16:$B$23,MATCH(Plano_V1!H599,Auxiliar!$C$16:$C$23,0),1)</f>
        <v>1. Concluído</v>
      </c>
      <c r="H599" s="73">
        <f>VLOOKUP(A599,'Aux - pivots1'!$A:$B,2,0)</f>
        <v>1</v>
      </c>
      <c r="I599" s="93">
        <f>SUMIFS(Table1[Estimação (horas)],Table1[Tabela],Plano_V1!E599,Table1[Campo],Plano_V1!F599)</f>
        <v>1</v>
      </c>
      <c r="J599" s="93">
        <f t="shared" si="41"/>
        <v>0.125</v>
      </c>
      <c r="K599" s="98" t="s">
        <v>39</v>
      </c>
      <c r="L599" s="99">
        <f t="shared" si="40"/>
        <v>0.125</v>
      </c>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c r="AM599" s="87"/>
      <c r="AN599" s="87"/>
      <c r="AO599" s="87"/>
      <c r="AP599" s="87"/>
      <c r="AQ599" s="87"/>
      <c r="AR599" s="87"/>
      <c r="AS599" s="87"/>
      <c r="AT599" s="100"/>
      <c r="AU599" s="87"/>
      <c r="AV599" s="87"/>
      <c r="AW599" s="87"/>
      <c r="AX599" s="87"/>
      <c r="AY599" s="87"/>
      <c r="AZ599" s="87"/>
      <c r="BA599" s="87"/>
      <c r="BB599" s="87"/>
      <c r="BC599" s="87"/>
      <c r="BD599" s="87"/>
      <c r="BE599" s="87"/>
      <c r="BF599" s="87"/>
      <c r="BG599" s="87"/>
      <c r="BH599" s="87"/>
      <c r="BI599" s="87"/>
      <c r="BJ599" s="87"/>
      <c r="BK599" s="87"/>
      <c r="BL599" s="87"/>
      <c r="BM599" s="87"/>
      <c r="BN599" s="87"/>
      <c r="BO599" s="87"/>
      <c r="BP599" s="87"/>
      <c r="BQ599" s="87"/>
      <c r="BR599" s="87"/>
      <c r="BS599" s="87"/>
      <c r="BT599" s="87"/>
      <c r="BU599" s="87"/>
      <c r="BV599" s="87"/>
      <c r="BW599" s="87"/>
      <c r="BX599" s="87"/>
      <c r="BY599" s="87"/>
      <c r="BZ599" s="87"/>
      <c r="CA599" s="87"/>
      <c r="CB599" s="87"/>
      <c r="CC599" s="87"/>
      <c r="CD599" s="87"/>
      <c r="CE599" s="87"/>
      <c r="CF599" s="87"/>
      <c r="CG599" s="87"/>
      <c r="CH599" s="87"/>
      <c r="CI599" s="87"/>
      <c r="CJ599" s="87"/>
      <c r="CK599" s="87"/>
      <c r="CL599" s="87"/>
      <c r="CM599" s="87"/>
      <c r="CN599" s="87"/>
      <c r="CO599" s="87"/>
      <c r="CP599" s="87"/>
      <c r="CQ599" s="87"/>
      <c r="CR599" s="87"/>
      <c r="CS599" s="87"/>
      <c r="CT599" s="87"/>
      <c r="CU599" s="87"/>
      <c r="CV599" s="87"/>
      <c r="CW599" s="87"/>
      <c r="CX599" s="87"/>
      <c r="CY599" s="87"/>
      <c r="CZ599" s="87"/>
      <c r="DA599" s="87"/>
      <c r="DB599" s="87"/>
      <c r="DC599" s="87"/>
      <c r="DD599" s="87"/>
      <c r="DE599" s="87"/>
      <c r="DF599" s="87"/>
      <c r="DG599" s="87"/>
      <c r="DH599" s="87"/>
      <c r="DI599" s="87"/>
      <c r="DJ599" s="87"/>
      <c r="DK599" s="87"/>
      <c r="DL599" s="87"/>
      <c r="DM599" s="87"/>
      <c r="DN599" s="87"/>
      <c r="DO599" s="87"/>
      <c r="DP599" s="87"/>
      <c r="DQ599" s="87"/>
      <c r="DR599" s="87"/>
      <c r="DS599" s="87"/>
      <c r="DT599" s="87"/>
      <c r="DU599" s="87"/>
      <c r="DV599" s="87"/>
      <c r="DW599" s="87"/>
      <c r="DX599" s="87"/>
      <c r="DY599" s="87"/>
      <c r="DZ599" s="87"/>
      <c r="EA599" s="87"/>
      <c r="EB599" s="87"/>
      <c r="EC599" s="87"/>
      <c r="ED599" s="87"/>
      <c r="EE599" s="87"/>
      <c r="EF599" s="87"/>
      <c r="EG599" s="87"/>
      <c r="EH599" s="87"/>
      <c r="EI599" s="100"/>
      <c r="EJ599" s="100"/>
      <c r="EK599" s="100"/>
      <c r="EL599" s="100"/>
      <c r="EM599" s="100"/>
      <c r="EN599" s="100"/>
      <c r="EO599" s="100"/>
      <c r="EP599" s="87"/>
      <c r="EQ599" s="87"/>
      <c r="ER599" s="87"/>
      <c r="ES599" s="87"/>
      <c r="ET599" s="87"/>
      <c r="EU599" s="87"/>
      <c r="EV599" s="87"/>
      <c r="EW599" s="87"/>
      <c r="EX599" s="87"/>
      <c r="EY599" s="87"/>
      <c r="EZ599" s="87"/>
      <c r="FA599" s="87"/>
      <c r="FB599" s="87"/>
      <c r="FC599" s="87"/>
      <c r="FD599" s="87"/>
      <c r="FE599" s="87"/>
      <c r="FF599" s="87"/>
      <c r="FG599" s="87"/>
      <c r="FH599" s="87"/>
      <c r="FI599" s="87"/>
      <c r="FJ599" s="87"/>
      <c r="FK599" s="87"/>
    </row>
    <row r="600" spans="1:167" hidden="1" outlineLevel="1">
      <c r="A600" s="31" t="str">
        <f t="shared" si="42"/>
        <v>lt002_insrmntsubportfolio_id</v>
      </c>
      <c r="B600" s="76" t="s">
        <v>32</v>
      </c>
      <c r="C600" s="77" t="s">
        <v>32</v>
      </c>
      <c r="D600" s="73" t="s">
        <v>40</v>
      </c>
      <c r="E600" s="75" t="s">
        <v>439</v>
      </c>
      <c r="F600" s="73" t="s">
        <v>403</v>
      </c>
      <c r="G600" s="73" t="str">
        <f>INDEX(Auxiliar!$B$16:$B$23,MATCH(Plano_V1!H600,Auxiliar!$C$16:$C$23,0),1)</f>
        <v>1. Concluído</v>
      </c>
      <c r="H600" s="73">
        <f>VLOOKUP(A600,'Aux - pivots1'!$A:$B,2,0)</f>
        <v>1</v>
      </c>
      <c r="I600" s="93">
        <f>SUMIFS(Table1[Estimação (horas)],Table1[Tabela],Plano_V1!E600,Table1[Campo],Plano_V1!F600)</f>
        <v>1</v>
      </c>
      <c r="J600" s="93">
        <f t="shared" si="41"/>
        <v>0.125</v>
      </c>
      <c r="K600" s="98" t="s">
        <v>39</v>
      </c>
      <c r="L600" s="99">
        <f t="shared" si="40"/>
        <v>0.125</v>
      </c>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c r="AM600" s="87"/>
      <c r="AN600" s="87"/>
      <c r="AO600" s="87"/>
      <c r="AP600" s="87"/>
      <c r="AQ600" s="87"/>
      <c r="AR600" s="87"/>
      <c r="AS600" s="87"/>
      <c r="AT600" s="100"/>
      <c r="AU600" s="87"/>
      <c r="AV600" s="87"/>
      <c r="AW600" s="87"/>
      <c r="AX600" s="87"/>
      <c r="AY600" s="87"/>
      <c r="AZ600" s="87"/>
      <c r="BA600" s="87"/>
      <c r="BB600" s="87"/>
      <c r="BC600" s="87"/>
      <c r="BD600" s="87"/>
      <c r="BE600" s="87"/>
      <c r="BF600" s="87"/>
      <c r="BG600" s="87"/>
      <c r="BH600" s="87"/>
      <c r="BI600" s="87"/>
      <c r="BJ600" s="87"/>
      <c r="BK600" s="87"/>
      <c r="BL600" s="87"/>
      <c r="BM600" s="87"/>
      <c r="BN600" s="87"/>
      <c r="BO600" s="87"/>
      <c r="BP600" s="87"/>
      <c r="BQ600" s="87"/>
      <c r="BR600" s="87"/>
      <c r="BS600" s="87"/>
      <c r="BT600" s="87"/>
      <c r="BU600" s="87"/>
      <c r="BV600" s="87"/>
      <c r="BW600" s="87"/>
      <c r="BX600" s="87"/>
      <c r="BY600" s="87"/>
      <c r="BZ600" s="87"/>
      <c r="CA600" s="87"/>
      <c r="CB600" s="87"/>
      <c r="CC600" s="87"/>
      <c r="CD600" s="87"/>
      <c r="CE600" s="87"/>
      <c r="CF600" s="87"/>
      <c r="CG600" s="87"/>
      <c r="CH600" s="87"/>
      <c r="CI600" s="87"/>
      <c r="CJ600" s="87"/>
      <c r="CK600" s="87"/>
      <c r="CL600" s="87"/>
      <c r="CM600" s="87"/>
      <c r="CN600" s="87"/>
      <c r="CO600" s="87"/>
      <c r="CP600" s="87"/>
      <c r="CQ600" s="87"/>
      <c r="CR600" s="87"/>
      <c r="CS600" s="87"/>
      <c r="CT600" s="87"/>
      <c r="CU600" s="87"/>
      <c r="CV600" s="87"/>
      <c r="CW600" s="87"/>
      <c r="CX600" s="87"/>
      <c r="CY600" s="87"/>
      <c r="CZ600" s="87"/>
      <c r="DA600" s="87"/>
      <c r="DB600" s="87"/>
      <c r="DC600" s="87"/>
      <c r="DD600" s="87"/>
      <c r="DE600" s="87"/>
      <c r="DF600" s="87"/>
      <c r="DG600" s="87"/>
      <c r="DH600" s="87"/>
      <c r="DI600" s="87"/>
      <c r="DJ600" s="87"/>
      <c r="DK600" s="87"/>
      <c r="DL600" s="87"/>
      <c r="DM600" s="87"/>
      <c r="DN600" s="87"/>
      <c r="DO600" s="87"/>
      <c r="DP600" s="87"/>
      <c r="DQ600" s="87"/>
      <c r="DR600" s="87"/>
      <c r="DS600" s="87"/>
      <c r="DT600" s="87"/>
      <c r="DU600" s="87"/>
      <c r="DV600" s="87"/>
      <c r="DW600" s="87"/>
      <c r="DX600" s="87"/>
      <c r="DY600" s="87"/>
      <c r="DZ600" s="87"/>
      <c r="EA600" s="87"/>
      <c r="EB600" s="87"/>
      <c r="EC600" s="87"/>
      <c r="ED600" s="87"/>
      <c r="EE600" s="87"/>
      <c r="EF600" s="87"/>
      <c r="EG600" s="87"/>
      <c r="EH600" s="87"/>
      <c r="EI600" s="100"/>
      <c r="EJ600" s="100"/>
      <c r="EK600" s="100"/>
      <c r="EL600" s="100"/>
      <c r="EM600" s="100"/>
      <c r="EN600" s="100"/>
      <c r="EO600" s="100"/>
      <c r="EP600" s="87"/>
      <c r="EQ600" s="87"/>
      <c r="ER600" s="87"/>
      <c r="ES600" s="87"/>
      <c r="ET600" s="87"/>
      <c r="EU600" s="87"/>
      <c r="EV600" s="87"/>
      <c r="EW600" s="87"/>
      <c r="EX600" s="87"/>
      <c r="EY600" s="87"/>
      <c r="EZ600" s="87"/>
      <c r="FA600" s="87"/>
      <c r="FB600" s="87"/>
      <c r="FC600" s="87"/>
      <c r="FD600" s="87"/>
      <c r="FE600" s="87"/>
      <c r="FF600" s="87"/>
      <c r="FG600" s="87"/>
      <c r="FH600" s="87"/>
      <c r="FI600" s="87"/>
      <c r="FJ600" s="87"/>
      <c r="FK600" s="87"/>
    </row>
    <row r="601" spans="1:167" hidden="1" outlineLevel="1">
      <c r="A601" s="31" t="str">
        <f t="shared" si="42"/>
        <v>lt002_insrmnttyp_instrmnt</v>
      </c>
      <c r="B601" s="76" t="s">
        <v>32</v>
      </c>
      <c r="C601" s="77" t="s">
        <v>32</v>
      </c>
      <c r="D601" s="73" t="s">
        <v>40</v>
      </c>
      <c r="E601" s="75" t="s">
        <v>439</v>
      </c>
      <c r="F601" s="73" t="s">
        <v>394</v>
      </c>
      <c r="G601" s="73" t="str">
        <f>INDEX(Auxiliar!$B$16:$B$23,MATCH(Plano_V1!H601,Auxiliar!$C$16:$C$23,0),1)</f>
        <v>1. Concluído</v>
      </c>
      <c r="H601" s="73">
        <f>VLOOKUP(A601,'Aux - pivots1'!$A:$B,2,0)</f>
        <v>1</v>
      </c>
      <c r="I601" s="93">
        <f>SUMIFS(Table1[Estimação (horas)],Table1[Tabela],Plano_V1!E601,Table1[Campo],Plano_V1!F601)</f>
        <v>1</v>
      </c>
      <c r="J601" s="93">
        <f t="shared" si="41"/>
        <v>0.125</v>
      </c>
      <c r="K601" s="98" t="s">
        <v>39</v>
      </c>
      <c r="L601" s="99">
        <f t="shared" si="40"/>
        <v>0.125</v>
      </c>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c r="AM601" s="87"/>
      <c r="AN601" s="87"/>
      <c r="AO601" s="87"/>
      <c r="AP601" s="87"/>
      <c r="AQ601" s="87"/>
      <c r="AR601" s="87"/>
      <c r="AS601" s="87"/>
      <c r="AT601" s="100"/>
      <c r="AU601" s="87"/>
      <c r="AV601" s="87"/>
      <c r="AW601" s="87"/>
      <c r="AX601" s="87"/>
      <c r="AY601" s="87"/>
      <c r="AZ601" s="87"/>
      <c r="BA601" s="87"/>
      <c r="BB601" s="87"/>
      <c r="BC601" s="87"/>
      <c r="BD601" s="87"/>
      <c r="BE601" s="87"/>
      <c r="BF601" s="87"/>
      <c r="BG601" s="87"/>
      <c r="BH601" s="87"/>
      <c r="BI601" s="87"/>
      <c r="BJ601" s="87"/>
      <c r="BK601" s="87"/>
      <c r="BL601" s="87"/>
      <c r="BM601" s="87"/>
      <c r="BN601" s="87"/>
      <c r="BO601" s="87"/>
      <c r="BP601" s="87"/>
      <c r="BQ601" s="87"/>
      <c r="BR601" s="87"/>
      <c r="BS601" s="87"/>
      <c r="BT601" s="87"/>
      <c r="BU601" s="87"/>
      <c r="BV601" s="87"/>
      <c r="BW601" s="87"/>
      <c r="BX601" s="87"/>
      <c r="BY601" s="87"/>
      <c r="BZ601" s="87"/>
      <c r="CA601" s="87"/>
      <c r="CB601" s="87"/>
      <c r="CC601" s="87"/>
      <c r="CD601" s="87"/>
      <c r="CE601" s="87"/>
      <c r="CF601" s="87"/>
      <c r="CG601" s="87"/>
      <c r="CH601" s="87"/>
      <c r="CI601" s="87"/>
      <c r="CJ601" s="87"/>
      <c r="CK601" s="87"/>
      <c r="CL601" s="87"/>
      <c r="CM601" s="87"/>
      <c r="CN601" s="87"/>
      <c r="CO601" s="87"/>
      <c r="CP601" s="87"/>
      <c r="CQ601" s="87"/>
      <c r="CR601" s="87"/>
      <c r="CS601" s="87"/>
      <c r="CT601" s="87"/>
      <c r="CU601" s="87"/>
      <c r="CV601" s="87"/>
      <c r="CW601" s="87"/>
      <c r="CX601" s="87"/>
      <c r="CY601" s="87"/>
      <c r="CZ601" s="87"/>
      <c r="DA601" s="87"/>
      <c r="DB601" s="87"/>
      <c r="DC601" s="87"/>
      <c r="DD601" s="87"/>
      <c r="DE601" s="87"/>
      <c r="DF601" s="87"/>
      <c r="DG601" s="87"/>
      <c r="DH601" s="87"/>
      <c r="DI601" s="87"/>
      <c r="DJ601" s="87"/>
      <c r="DK601" s="87"/>
      <c r="DL601" s="87"/>
      <c r="DM601" s="87"/>
      <c r="DN601" s="87"/>
      <c r="DO601" s="87"/>
      <c r="DP601" s="87"/>
      <c r="DQ601" s="87"/>
      <c r="DR601" s="87"/>
      <c r="DS601" s="87"/>
      <c r="DT601" s="87"/>
      <c r="DU601" s="87"/>
      <c r="DV601" s="87"/>
      <c r="DW601" s="87"/>
      <c r="DX601" s="87"/>
      <c r="DY601" s="87"/>
      <c r="DZ601" s="87"/>
      <c r="EA601" s="87"/>
      <c r="EB601" s="87"/>
      <c r="EC601" s="87"/>
      <c r="ED601" s="87"/>
      <c r="EE601" s="87"/>
      <c r="EF601" s="87"/>
      <c r="EG601" s="87"/>
      <c r="EH601" s="87"/>
      <c r="EI601" s="100"/>
      <c r="EJ601" s="100"/>
      <c r="EK601" s="100"/>
      <c r="EL601" s="100"/>
      <c r="EM601" s="100"/>
      <c r="EN601" s="100"/>
      <c r="EO601" s="100"/>
      <c r="EP601" s="87"/>
      <c r="EQ601" s="87"/>
      <c r="ER601" s="87"/>
      <c r="ES601" s="87"/>
      <c r="ET601" s="87"/>
      <c r="EU601" s="87"/>
      <c r="EV601" s="87"/>
      <c r="EW601" s="87"/>
      <c r="EX601" s="87"/>
      <c r="EY601" s="87"/>
      <c r="EZ601" s="87"/>
      <c r="FA601" s="87"/>
      <c r="FB601" s="87"/>
      <c r="FC601" s="87"/>
      <c r="FD601" s="87"/>
      <c r="FE601" s="87"/>
      <c r="FF601" s="87"/>
      <c r="FG601" s="87"/>
      <c r="FH601" s="87"/>
      <c r="FI601" s="87"/>
      <c r="FJ601" s="87"/>
      <c r="FK601" s="87"/>
    </row>
    <row r="602" spans="1:167" hidden="1" outlineLevel="1">
      <c r="A602" s="31" t="str">
        <f t="shared" si="42"/>
        <v>lt002_insrmntrwa</v>
      </c>
      <c r="B602" s="76" t="s">
        <v>32</v>
      </c>
      <c r="C602" s="77" t="s">
        <v>32</v>
      </c>
      <c r="D602" s="73" t="s">
        <v>40</v>
      </c>
      <c r="E602" s="75" t="s">
        <v>439</v>
      </c>
      <c r="F602" s="73" t="s">
        <v>442</v>
      </c>
      <c r="G602" s="73" t="str">
        <f>INDEX(Auxiliar!$B$16:$B$23,MATCH(Plano_V1!H602,Auxiliar!$C$16:$C$23,0),1)</f>
        <v>1. Concluído</v>
      </c>
      <c r="H602" s="73">
        <f>VLOOKUP(A602,'Aux - pivots1'!$A:$B,2,0)</f>
        <v>1</v>
      </c>
      <c r="I602" s="93">
        <f>SUMIFS(Table1[Estimação (horas)],Table1[Tabela],Plano_V1!E602,Table1[Campo],Plano_V1!F602)</f>
        <v>1</v>
      </c>
      <c r="J602" s="93">
        <f t="shared" si="41"/>
        <v>0.125</v>
      </c>
      <c r="K602" s="98" t="s">
        <v>39</v>
      </c>
      <c r="L602" s="99">
        <f t="shared" si="40"/>
        <v>0.125</v>
      </c>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c r="AM602" s="87"/>
      <c r="AN602" s="87"/>
      <c r="AO602" s="87"/>
      <c r="AP602" s="87"/>
      <c r="AQ602" s="87"/>
      <c r="AR602" s="87"/>
      <c r="AS602" s="87"/>
      <c r="AT602" s="100"/>
      <c r="AU602" s="87"/>
      <c r="AV602" s="87"/>
      <c r="AW602" s="87"/>
      <c r="AX602" s="87"/>
      <c r="AY602" s="87"/>
      <c r="AZ602" s="87"/>
      <c r="BA602" s="87"/>
      <c r="BB602" s="87"/>
      <c r="BC602" s="87"/>
      <c r="BD602" s="87"/>
      <c r="BE602" s="87"/>
      <c r="BF602" s="87"/>
      <c r="BG602" s="87"/>
      <c r="BH602" s="87"/>
      <c r="BI602" s="87"/>
      <c r="BJ602" s="87"/>
      <c r="BK602" s="87"/>
      <c r="BL602" s="87"/>
      <c r="BM602" s="87"/>
      <c r="BN602" s="87"/>
      <c r="BO602" s="87"/>
      <c r="BP602" s="87"/>
      <c r="BQ602" s="87"/>
      <c r="BR602" s="87"/>
      <c r="BS602" s="87"/>
      <c r="BT602" s="87"/>
      <c r="BU602" s="87"/>
      <c r="BV602" s="87"/>
      <c r="BW602" s="87"/>
      <c r="BX602" s="87"/>
      <c r="BY602" s="87"/>
      <c r="BZ602" s="87"/>
      <c r="CA602" s="87"/>
      <c r="CB602" s="87"/>
      <c r="CC602" s="87"/>
      <c r="CD602" s="87"/>
      <c r="CE602" s="87"/>
      <c r="CF602" s="87"/>
      <c r="CG602" s="87"/>
      <c r="CH602" s="87"/>
      <c r="CI602" s="87"/>
      <c r="CJ602" s="87"/>
      <c r="CK602" s="87"/>
      <c r="CL602" s="87"/>
      <c r="CM602" s="87"/>
      <c r="CN602" s="87"/>
      <c r="CO602" s="87"/>
      <c r="CP602" s="87"/>
      <c r="CQ602" s="87"/>
      <c r="CR602" s="87"/>
      <c r="CS602" s="87"/>
      <c r="CT602" s="87"/>
      <c r="CU602" s="87"/>
      <c r="CV602" s="87"/>
      <c r="CW602" s="87"/>
      <c r="CX602" s="87"/>
      <c r="CY602" s="87"/>
      <c r="CZ602" s="87"/>
      <c r="DA602" s="87"/>
      <c r="DB602" s="87"/>
      <c r="DC602" s="87"/>
      <c r="DD602" s="87"/>
      <c r="DE602" s="87"/>
      <c r="DF602" s="87"/>
      <c r="DG602" s="87"/>
      <c r="DH602" s="87"/>
      <c r="DI602" s="87"/>
      <c r="DJ602" s="87"/>
      <c r="DK602" s="87"/>
      <c r="DL602" s="87"/>
      <c r="DM602" s="87"/>
      <c r="DN602" s="87"/>
      <c r="DO602" s="87"/>
      <c r="DP602" s="87"/>
      <c r="DQ602" s="87"/>
      <c r="DR602" s="87"/>
      <c r="DS602" s="87"/>
      <c r="DT602" s="87"/>
      <c r="DU602" s="87"/>
      <c r="DV602" s="87"/>
      <c r="DW602" s="87"/>
      <c r="DX602" s="87"/>
      <c r="DY602" s="87"/>
      <c r="DZ602" s="87"/>
      <c r="EA602" s="87"/>
      <c r="EB602" s="87"/>
      <c r="EC602" s="87"/>
      <c r="ED602" s="87"/>
      <c r="EE602" s="87"/>
      <c r="EF602" s="87"/>
      <c r="EG602" s="87"/>
      <c r="EH602" s="87"/>
      <c r="EI602" s="100"/>
      <c r="EJ602" s="100"/>
      <c r="EK602" s="100"/>
      <c r="EL602" s="100"/>
      <c r="EM602" s="100"/>
      <c r="EN602" s="100"/>
      <c r="EO602" s="100"/>
      <c r="EP602" s="87"/>
      <c r="EQ602" s="87"/>
      <c r="ER602" s="87"/>
      <c r="ES602" s="87"/>
      <c r="ET602" s="87"/>
      <c r="EU602" s="87"/>
      <c r="EV602" s="87"/>
      <c r="EW602" s="87"/>
      <c r="EX602" s="87"/>
      <c r="EY602" s="87"/>
      <c r="EZ602" s="87"/>
      <c r="FA602" s="87"/>
      <c r="FB602" s="87"/>
      <c r="FC602" s="87"/>
      <c r="FD602" s="87"/>
      <c r="FE602" s="87"/>
      <c r="FF602" s="87"/>
      <c r="FG602" s="87"/>
      <c r="FH602" s="87"/>
      <c r="FI602" s="87"/>
      <c r="FJ602" s="87"/>
      <c r="FK602" s="87"/>
    </row>
    <row r="603" spans="1:167" hidden="1" outlineLevel="1">
      <c r="A603" s="31" t="str">
        <f t="shared" si="42"/>
        <v>lt002_insrmntcod_soc_intrgrp</v>
      </c>
      <c r="B603" s="76" t="s">
        <v>32</v>
      </c>
      <c r="C603" s="77" t="s">
        <v>32</v>
      </c>
      <c r="D603" s="73" t="s">
        <v>40</v>
      </c>
      <c r="E603" s="75" t="s">
        <v>439</v>
      </c>
      <c r="F603" s="73" t="s">
        <v>443</v>
      </c>
      <c r="G603" s="73" t="str">
        <f>INDEX(Auxiliar!$B$16:$B$23,MATCH(Plano_V1!H603,Auxiliar!$C$16:$C$23,0),1)</f>
        <v>1. Concluído</v>
      </c>
      <c r="H603" s="73">
        <f>VLOOKUP(A603,'Aux - pivots1'!$A:$B,2,0)</f>
        <v>1</v>
      </c>
      <c r="I603" s="93">
        <f>SUMIFS(Table1[Estimação (horas)],Table1[Tabela],Plano_V1!E603,Table1[Campo],Plano_V1!F603)</f>
        <v>1</v>
      </c>
      <c r="J603" s="93">
        <f t="shared" si="41"/>
        <v>0.125</v>
      </c>
      <c r="K603" s="98" t="s">
        <v>39</v>
      </c>
      <c r="L603" s="99">
        <f t="shared" si="40"/>
        <v>0.125</v>
      </c>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87"/>
      <c r="AN603" s="87"/>
      <c r="AO603" s="87"/>
      <c r="AP603" s="87"/>
      <c r="AQ603" s="87"/>
      <c r="AR603" s="87"/>
      <c r="AS603" s="87"/>
      <c r="AT603" s="100"/>
      <c r="AU603" s="87"/>
      <c r="AV603" s="87"/>
      <c r="AW603" s="87"/>
      <c r="AX603" s="87"/>
      <c r="AY603" s="87"/>
      <c r="AZ603" s="87"/>
      <c r="BA603" s="87"/>
      <c r="BB603" s="87"/>
      <c r="BC603" s="87"/>
      <c r="BD603" s="87"/>
      <c r="BE603" s="87"/>
      <c r="BF603" s="87"/>
      <c r="BG603" s="87"/>
      <c r="BH603" s="87"/>
      <c r="BI603" s="87"/>
      <c r="BJ603" s="87"/>
      <c r="BK603" s="87"/>
      <c r="BL603" s="87"/>
      <c r="BM603" s="87"/>
      <c r="BN603" s="87"/>
      <c r="BO603" s="87"/>
      <c r="BP603" s="87"/>
      <c r="BQ603" s="87"/>
      <c r="BR603" s="87"/>
      <c r="BS603" s="87"/>
      <c r="BT603" s="87"/>
      <c r="BU603" s="87"/>
      <c r="BV603" s="87"/>
      <c r="BW603" s="87"/>
      <c r="BX603" s="87"/>
      <c r="BY603" s="87"/>
      <c r="BZ603" s="87"/>
      <c r="CA603" s="87"/>
      <c r="CB603" s="87"/>
      <c r="CC603" s="87"/>
      <c r="CD603" s="87"/>
      <c r="CE603" s="87"/>
      <c r="CF603" s="87"/>
      <c r="CG603" s="87"/>
      <c r="CH603" s="87"/>
      <c r="CI603" s="87"/>
      <c r="CJ603" s="87"/>
      <c r="CK603" s="87"/>
      <c r="CL603" s="87"/>
      <c r="CM603" s="87"/>
      <c r="CN603" s="87"/>
      <c r="CO603" s="87"/>
      <c r="CP603" s="87"/>
      <c r="CQ603" s="87"/>
      <c r="CR603" s="87"/>
      <c r="CS603" s="87"/>
      <c r="CT603" s="87"/>
      <c r="CU603" s="87"/>
      <c r="CV603" s="87"/>
      <c r="CW603" s="87"/>
      <c r="CX603" s="87"/>
      <c r="CY603" s="87"/>
      <c r="CZ603" s="87"/>
      <c r="DA603" s="87"/>
      <c r="DB603" s="87"/>
      <c r="DC603" s="87"/>
      <c r="DD603" s="87"/>
      <c r="DE603" s="87"/>
      <c r="DF603" s="87"/>
      <c r="DG603" s="87"/>
      <c r="DH603" s="87"/>
      <c r="DI603" s="87"/>
      <c r="DJ603" s="87"/>
      <c r="DK603" s="87"/>
      <c r="DL603" s="87"/>
      <c r="DM603" s="87"/>
      <c r="DN603" s="87"/>
      <c r="DO603" s="87"/>
      <c r="DP603" s="87"/>
      <c r="DQ603" s="87"/>
      <c r="DR603" s="87"/>
      <c r="DS603" s="87"/>
      <c r="DT603" s="87"/>
      <c r="DU603" s="87"/>
      <c r="DV603" s="87"/>
      <c r="DW603" s="87"/>
      <c r="DX603" s="87"/>
      <c r="DY603" s="87"/>
      <c r="DZ603" s="87"/>
      <c r="EA603" s="87"/>
      <c r="EB603" s="87"/>
      <c r="EC603" s="87"/>
      <c r="ED603" s="87"/>
      <c r="EE603" s="87"/>
      <c r="EF603" s="87"/>
      <c r="EG603" s="87"/>
      <c r="EH603" s="87"/>
      <c r="EI603" s="100"/>
      <c r="EJ603" s="100"/>
      <c r="EK603" s="100"/>
      <c r="EL603" s="100"/>
      <c r="EM603" s="100"/>
      <c r="EN603" s="100"/>
      <c r="EO603" s="100"/>
      <c r="EP603" s="87"/>
      <c r="EQ603" s="87"/>
      <c r="ER603" s="87"/>
      <c r="ES603" s="87"/>
      <c r="ET603" s="87"/>
      <c r="EU603" s="87"/>
      <c r="EV603" s="87"/>
      <c r="EW603" s="87"/>
      <c r="EX603" s="87"/>
      <c r="EY603" s="87"/>
      <c r="EZ603" s="87"/>
      <c r="FA603" s="87"/>
      <c r="FB603" s="87"/>
      <c r="FC603" s="87"/>
      <c r="FD603" s="87"/>
      <c r="FE603" s="87"/>
      <c r="FF603" s="87"/>
      <c r="FG603" s="87"/>
      <c r="FH603" s="87"/>
      <c r="FI603" s="87"/>
      <c r="FJ603" s="87"/>
      <c r="FK603" s="87"/>
    </row>
    <row r="604" spans="1:167" hidden="1" outlineLevel="1">
      <c r="A604" s="31" t="str">
        <f t="shared" si="42"/>
        <v>lt002_insrmntbsnss_area_dstntn</v>
      </c>
      <c r="B604" s="76" t="s">
        <v>32</v>
      </c>
      <c r="C604" s="77" t="s">
        <v>32</v>
      </c>
      <c r="D604" s="73" t="s">
        <v>40</v>
      </c>
      <c r="E604" s="75" t="s">
        <v>439</v>
      </c>
      <c r="F604" s="73" t="s">
        <v>444</v>
      </c>
      <c r="G604" s="73" t="str">
        <f>INDEX(Auxiliar!$B$16:$B$23,MATCH(Plano_V1!H604,Auxiliar!$C$16:$C$23,0),1)</f>
        <v>1. Concluído</v>
      </c>
      <c r="H604" s="73">
        <f>VLOOKUP(A604,'Aux - pivots1'!$A:$B,2,0)</f>
        <v>1</v>
      </c>
      <c r="I604" s="93">
        <f>SUMIFS(Table1[Estimação (horas)],Table1[Tabela],Plano_V1!E604,Table1[Campo],Plano_V1!F604)</f>
        <v>5.0999999999999996</v>
      </c>
      <c r="J604" s="93">
        <f t="shared" si="41"/>
        <v>0.63749999999999996</v>
      </c>
      <c r="K604" s="98" t="s">
        <v>39</v>
      </c>
      <c r="L604" s="99">
        <f t="shared" si="40"/>
        <v>0.63749999999999996</v>
      </c>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c r="AM604" s="87"/>
      <c r="AN604" s="87"/>
      <c r="AO604" s="87"/>
      <c r="AP604" s="87"/>
      <c r="AQ604" s="87"/>
      <c r="AR604" s="87"/>
      <c r="AS604" s="87"/>
      <c r="AT604" s="100"/>
      <c r="AU604" s="87"/>
      <c r="AV604" s="87"/>
      <c r="AW604" s="87"/>
      <c r="AX604" s="87"/>
      <c r="AY604" s="87"/>
      <c r="AZ604" s="87"/>
      <c r="BA604" s="87"/>
      <c r="BB604" s="87"/>
      <c r="BC604" s="87"/>
      <c r="BD604" s="87"/>
      <c r="BE604" s="87"/>
      <c r="BF604" s="87"/>
      <c r="BG604" s="87"/>
      <c r="BH604" s="87"/>
      <c r="BI604" s="87"/>
      <c r="BJ604" s="87"/>
      <c r="BK604" s="87"/>
      <c r="BL604" s="87"/>
      <c r="BM604" s="87"/>
      <c r="BN604" s="87"/>
      <c r="BO604" s="87"/>
      <c r="BP604" s="87"/>
      <c r="BQ604" s="87"/>
      <c r="BR604" s="87"/>
      <c r="BS604" s="87"/>
      <c r="BT604" s="87"/>
      <c r="BU604" s="87"/>
      <c r="BV604" s="87"/>
      <c r="BW604" s="87"/>
      <c r="BX604" s="87"/>
      <c r="BY604" s="87"/>
      <c r="BZ604" s="87"/>
      <c r="CA604" s="87"/>
      <c r="CB604" s="87"/>
      <c r="CC604" s="87"/>
      <c r="CD604" s="87"/>
      <c r="CE604" s="87"/>
      <c r="CF604" s="87"/>
      <c r="CG604" s="87"/>
      <c r="CH604" s="87"/>
      <c r="CI604" s="87"/>
      <c r="CJ604" s="87"/>
      <c r="CK604" s="87"/>
      <c r="CL604" s="87"/>
      <c r="CM604" s="87"/>
      <c r="CN604" s="87"/>
      <c r="CO604" s="87"/>
      <c r="CP604" s="87"/>
      <c r="CQ604" s="87"/>
      <c r="CR604" s="87"/>
      <c r="CS604" s="87"/>
      <c r="CT604" s="87"/>
      <c r="CU604" s="87"/>
      <c r="CV604" s="87"/>
      <c r="CW604" s="87"/>
      <c r="CX604" s="87"/>
      <c r="CY604" s="87"/>
      <c r="CZ604" s="87"/>
      <c r="DA604" s="87"/>
      <c r="DB604" s="87"/>
      <c r="DC604" s="87"/>
      <c r="DD604" s="87"/>
      <c r="DE604" s="87"/>
      <c r="DF604" s="87"/>
      <c r="DG604" s="87"/>
      <c r="DH604" s="87"/>
      <c r="DI604" s="87"/>
      <c r="DJ604" s="87"/>
      <c r="DK604" s="87"/>
      <c r="DL604" s="87"/>
      <c r="DM604" s="87"/>
      <c r="DN604" s="87"/>
      <c r="DO604" s="87"/>
      <c r="DP604" s="87"/>
      <c r="DQ604" s="87"/>
      <c r="DR604" s="87"/>
      <c r="DS604" s="87"/>
      <c r="DT604" s="87"/>
      <c r="DU604" s="87"/>
      <c r="DV604" s="87"/>
      <c r="DW604" s="87"/>
      <c r="DX604" s="87"/>
      <c r="DY604" s="87"/>
      <c r="DZ604" s="87"/>
      <c r="EA604" s="87"/>
      <c r="EB604" s="87"/>
      <c r="EC604" s="87"/>
      <c r="ED604" s="87"/>
      <c r="EE604" s="87"/>
      <c r="EF604" s="87"/>
      <c r="EG604" s="87"/>
      <c r="EH604" s="87"/>
      <c r="EI604" s="100"/>
      <c r="EJ604" s="100"/>
      <c r="EK604" s="100"/>
      <c r="EL604" s="100"/>
      <c r="EM604" s="100"/>
      <c r="EN604" s="100"/>
      <c r="EO604" s="100"/>
      <c r="EP604" s="87"/>
      <c r="EQ604" s="87"/>
      <c r="ER604" s="87"/>
      <c r="ES604" s="87"/>
      <c r="ET604" s="87"/>
      <c r="EU604" s="87"/>
      <c r="EV604" s="87"/>
      <c r="EW604" s="87"/>
      <c r="EX604" s="87"/>
      <c r="EY604" s="87"/>
      <c r="EZ604" s="87"/>
      <c r="FA604" s="87"/>
      <c r="FB604" s="87"/>
      <c r="FC604" s="87"/>
      <c r="FD604" s="87"/>
      <c r="FE604" s="87"/>
      <c r="FF604" s="87"/>
      <c r="FG604" s="87"/>
      <c r="FH604" s="87"/>
      <c r="FI604" s="87"/>
      <c r="FJ604" s="87"/>
      <c r="FK604" s="87"/>
    </row>
    <row r="605" spans="1:167" hidden="1" outlineLevel="1">
      <c r="A605" s="31" t="str">
        <f t="shared" si="42"/>
        <v>lt002_insrmntflg_intrbsnss</v>
      </c>
      <c r="B605" s="76" t="s">
        <v>32</v>
      </c>
      <c r="C605" s="77" t="s">
        <v>32</v>
      </c>
      <c r="D605" s="73" t="s">
        <v>40</v>
      </c>
      <c r="E605" s="75" t="s">
        <v>439</v>
      </c>
      <c r="F605" s="73" t="s">
        <v>445</v>
      </c>
      <c r="G605" s="73" t="str">
        <f>INDEX(Auxiliar!$B$16:$B$23,MATCH(Plano_V1!H605,Auxiliar!$C$16:$C$23,0),1)</f>
        <v>1. Concluído</v>
      </c>
      <c r="H605" s="73">
        <f>VLOOKUP(A605,'Aux - pivots1'!$A:$B,2,0)</f>
        <v>1</v>
      </c>
      <c r="I605" s="93">
        <f>SUMIFS(Table1[Estimação (horas)],Table1[Tabela],Plano_V1!E605,Table1[Campo],Plano_V1!F605)</f>
        <v>5.0999999999999996</v>
      </c>
      <c r="J605" s="93">
        <f t="shared" si="41"/>
        <v>0.63749999999999996</v>
      </c>
      <c r="K605" s="98" t="s">
        <v>39</v>
      </c>
      <c r="L605" s="99">
        <f t="shared" si="40"/>
        <v>0.63749999999999996</v>
      </c>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87"/>
      <c r="AN605" s="87"/>
      <c r="AO605" s="87"/>
      <c r="AP605" s="87"/>
      <c r="AQ605" s="87"/>
      <c r="AR605" s="87"/>
      <c r="AS605" s="87"/>
      <c r="AT605" s="100"/>
      <c r="AU605" s="87"/>
      <c r="AV605" s="87"/>
      <c r="AW605" s="87"/>
      <c r="AX605" s="87"/>
      <c r="AY605" s="87"/>
      <c r="AZ605" s="87"/>
      <c r="BA605" s="87"/>
      <c r="BB605" s="87"/>
      <c r="BC605" s="87"/>
      <c r="BD605" s="87"/>
      <c r="BE605" s="87"/>
      <c r="BF605" s="87"/>
      <c r="BG605" s="87"/>
      <c r="BH605" s="87"/>
      <c r="BI605" s="87"/>
      <c r="BJ605" s="87"/>
      <c r="BK605" s="87"/>
      <c r="BL605" s="87"/>
      <c r="BM605" s="87"/>
      <c r="BN605" s="87"/>
      <c r="BO605" s="87"/>
      <c r="BP605" s="87"/>
      <c r="BQ605" s="87"/>
      <c r="BR605" s="87"/>
      <c r="BS605" s="87"/>
      <c r="BT605" s="87"/>
      <c r="BU605" s="87"/>
      <c r="BV605" s="87"/>
      <c r="BW605" s="87"/>
      <c r="BX605" s="87"/>
      <c r="BY605" s="87"/>
      <c r="BZ605" s="87"/>
      <c r="CA605" s="87"/>
      <c r="CB605" s="87"/>
      <c r="CC605" s="87"/>
      <c r="CD605" s="87"/>
      <c r="CE605" s="87"/>
      <c r="CF605" s="87"/>
      <c r="CG605" s="87"/>
      <c r="CH605" s="87"/>
      <c r="CI605" s="87"/>
      <c r="CJ605" s="87"/>
      <c r="CK605" s="87"/>
      <c r="CL605" s="87"/>
      <c r="CM605" s="87"/>
      <c r="CN605" s="87"/>
      <c r="CO605" s="87"/>
      <c r="CP605" s="87"/>
      <c r="CQ605" s="87"/>
      <c r="CR605" s="87"/>
      <c r="CS605" s="87"/>
      <c r="CT605" s="87"/>
      <c r="CU605" s="87"/>
      <c r="CV605" s="87"/>
      <c r="CW605" s="87"/>
      <c r="CX605" s="87"/>
      <c r="CY605" s="87"/>
      <c r="CZ605" s="87"/>
      <c r="DA605" s="87"/>
      <c r="DB605" s="87"/>
      <c r="DC605" s="87"/>
      <c r="DD605" s="87"/>
      <c r="DE605" s="87"/>
      <c r="DF605" s="87"/>
      <c r="DG605" s="87"/>
      <c r="DH605" s="87"/>
      <c r="DI605" s="87"/>
      <c r="DJ605" s="87"/>
      <c r="DK605" s="87"/>
      <c r="DL605" s="87"/>
      <c r="DM605" s="87"/>
      <c r="DN605" s="87"/>
      <c r="DO605" s="87"/>
      <c r="DP605" s="87"/>
      <c r="DQ605" s="87"/>
      <c r="DR605" s="87"/>
      <c r="DS605" s="87"/>
      <c r="DT605" s="87"/>
      <c r="DU605" s="87"/>
      <c r="DV605" s="87"/>
      <c r="DW605" s="87"/>
      <c r="DX605" s="87"/>
      <c r="DY605" s="87"/>
      <c r="DZ605" s="87"/>
      <c r="EA605" s="87"/>
      <c r="EB605" s="87"/>
      <c r="EC605" s="87"/>
      <c r="ED605" s="87"/>
      <c r="EE605" s="87"/>
      <c r="EF605" s="87"/>
      <c r="EG605" s="87"/>
      <c r="EH605" s="87"/>
      <c r="EI605" s="100"/>
      <c r="EJ605" s="100"/>
      <c r="EK605" s="100"/>
      <c r="EL605" s="100"/>
      <c r="EM605" s="100"/>
      <c r="EN605" s="100"/>
      <c r="EO605" s="100"/>
      <c r="EP605" s="87"/>
      <c r="EQ605" s="87"/>
      <c r="ER605" s="87"/>
      <c r="ES605" s="87"/>
      <c r="ET605" s="87"/>
      <c r="EU605" s="87"/>
      <c r="EV605" s="87"/>
      <c r="EW605" s="87"/>
      <c r="EX605" s="87"/>
      <c r="EY605" s="87"/>
      <c r="EZ605" s="87"/>
      <c r="FA605" s="87"/>
      <c r="FB605" s="87"/>
      <c r="FC605" s="87"/>
      <c r="FD605" s="87"/>
      <c r="FE605" s="87"/>
      <c r="FF605" s="87"/>
      <c r="FG605" s="87"/>
      <c r="FH605" s="87"/>
      <c r="FI605" s="87"/>
      <c r="FJ605" s="87"/>
      <c r="FK605" s="87"/>
    </row>
    <row r="606" spans="1:167" hidden="1" outlineLevel="1">
      <c r="A606" s="31" t="str">
        <f t="shared" si="42"/>
        <v>lt002_insrmntintrbsnss_adj_cod</v>
      </c>
      <c r="B606" s="76" t="s">
        <v>32</v>
      </c>
      <c r="C606" s="77" t="s">
        <v>32</v>
      </c>
      <c r="D606" s="73" t="s">
        <v>40</v>
      </c>
      <c r="E606" s="75" t="s">
        <v>439</v>
      </c>
      <c r="F606" s="73" t="s">
        <v>446</v>
      </c>
      <c r="G606" s="73" t="str">
        <f>INDEX(Auxiliar!$B$16:$B$23,MATCH(Plano_V1!H606,Auxiliar!$C$16:$C$23,0),1)</f>
        <v>1. Concluído</v>
      </c>
      <c r="H606" s="73">
        <f>VLOOKUP(A606,'Aux - pivots1'!$A:$B,2,0)</f>
        <v>1</v>
      </c>
      <c r="I606" s="93">
        <f>SUMIFS(Table1[Estimação (horas)],Table1[Tabela],Plano_V1!E606,Table1[Campo],Plano_V1!F606)</f>
        <v>5.0999999999999996</v>
      </c>
      <c r="J606" s="93">
        <f t="shared" si="41"/>
        <v>0.63749999999999996</v>
      </c>
      <c r="K606" s="98" t="s">
        <v>39</v>
      </c>
      <c r="L606" s="99">
        <f t="shared" si="40"/>
        <v>0.63749999999999996</v>
      </c>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c r="AP606" s="87"/>
      <c r="AQ606" s="87"/>
      <c r="AR606" s="87"/>
      <c r="AS606" s="87"/>
      <c r="AT606" s="100"/>
      <c r="AU606" s="87"/>
      <c r="AV606" s="87"/>
      <c r="AW606" s="87"/>
      <c r="AX606" s="87"/>
      <c r="AY606" s="87"/>
      <c r="AZ606" s="87"/>
      <c r="BA606" s="87"/>
      <c r="BB606" s="87"/>
      <c r="BC606" s="87"/>
      <c r="BD606" s="87"/>
      <c r="BE606" s="87"/>
      <c r="BF606" s="87"/>
      <c r="BG606" s="87"/>
      <c r="BH606" s="87"/>
      <c r="BI606" s="87"/>
      <c r="BJ606" s="87"/>
      <c r="BK606" s="87"/>
      <c r="BL606" s="87"/>
      <c r="BM606" s="87"/>
      <c r="BN606" s="87"/>
      <c r="BO606" s="87"/>
      <c r="BP606" s="87"/>
      <c r="BQ606" s="87"/>
      <c r="BR606" s="87"/>
      <c r="BS606" s="87"/>
      <c r="BT606" s="87"/>
      <c r="BU606" s="87"/>
      <c r="BV606" s="87"/>
      <c r="BW606" s="87"/>
      <c r="BX606" s="87"/>
      <c r="BY606" s="87"/>
      <c r="BZ606" s="87"/>
      <c r="CA606" s="87"/>
      <c r="CB606" s="87"/>
      <c r="CC606" s="87"/>
      <c r="CD606" s="87"/>
      <c r="CE606" s="87"/>
      <c r="CF606" s="87"/>
      <c r="CG606" s="87"/>
      <c r="CH606" s="87"/>
      <c r="CI606" s="87"/>
      <c r="CJ606" s="87"/>
      <c r="CK606" s="87"/>
      <c r="CL606" s="87"/>
      <c r="CM606" s="87"/>
      <c r="CN606" s="87"/>
      <c r="CO606" s="87"/>
      <c r="CP606" s="87"/>
      <c r="CQ606" s="87"/>
      <c r="CR606" s="87"/>
      <c r="CS606" s="87"/>
      <c r="CT606" s="87"/>
      <c r="CU606" s="87"/>
      <c r="CV606" s="87"/>
      <c r="CW606" s="87"/>
      <c r="CX606" s="87"/>
      <c r="CY606" s="87"/>
      <c r="CZ606" s="87"/>
      <c r="DA606" s="87"/>
      <c r="DB606" s="87"/>
      <c r="DC606" s="87"/>
      <c r="DD606" s="87"/>
      <c r="DE606" s="87"/>
      <c r="DF606" s="87"/>
      <c r="DG606" s="87"/>
      <c r="DH606" s="87"/>
      <c r="DI606" s="87"/>
      <c r="DJ606" s="87"/>
      <c r="DK606" s="87"/>
      <c r="DL606" s="87"/>
      <c r="DM606" s="87"/>
      <c r="DN606" s="87"/>
      <c r="DO606" s="87"/>
      <c r="DP606" s="87"/>
      <c r="DQ606" s="87"/>
      <c r="DR606" s="87"/>
      <c r="DS606" s="87"/>
      <c r="DT606" s="87"/>
      <c r="DU606" s="87"/>
      <c r="DV606" s="87"/>
      <c r="DW606" s="87"/>
      <c r="DX606" s="87"/>
      <c r="DY606" s="87"/>
      <c r="DZ606" s="87"/>
      <c r="EA606" s="87"/>
      <c r="EB606" s="87"/>
      <c r="EC606" s="87"/>
      <c r="ED606" s="87"/>
      <c r="EE606" s="87"/>
      <c r="EF606" s="87"/>
      <c r="EG606" s="87"/>
      <c r="EH606" s="87"/>
      <c r="EI606" s="100"/>
      <c r="EJ606" s="100"/>
      <c r="EK606" s="100"/>
      <c r="EL606" s="100"/>
      <c r="EM606" s="100"/>
      <c r="EN606" s="100"/>
      <c r="EO606" s="100"/>
      <c r="EP606" s="87"/>
      <c r="EQ606" s="87"/>
      <c r="ER606" s="87"/>
      <c r="ES606" s="87"/>
      <c r="ET606" s="87"/>
      <c r="EU606" s="87"/>
      <c r="EV606" s="87"/>
      <c r="EW606" s="87"/>
      <c r="EX606" s="87"/>
      <c r="EY606" s="87"/>
      <c r="EZ606" s="87"/>
      <c r="FA606" s="87"/>
      <c r="FB606" s="87"/>
      <c r="FC606" s="87"/>
      <c r="FD606" s="87"/>
      <c r="FE606" s="87"/>
      <c r="FF606" s="87"/>
      <c r="FG606" s="87"/>
      <c r="FH606" s="87"/>
      <c r="FI606" s="87"/>
      <c r="FJ606" s="87"/>
      <c r="FK606" s="87"/>
    </row>
    <row r="607" spans="1:167" hidden="1" outlineLevel="1">
      <c r="A607" s="31" t="str">
        <f t="shared" si="42"/>
        <v>lt002_insrmntcod_soc_dstntn</v>
      </c>
      <c r="B607" s="76" t="s">
        <v>32</v>
      </c>
      <c r="C607" s="77" t="s">
        <v>32</v>
      </c>
      <c r="D607" s="73" t="s">
        <v>40</v>
      </c>
      <c r="E607" s="75" t="s">
        <v>439</v>
      </c>
      <c r="F607" s="73" t="s">
        <v>447</v>
      </c>
      <c r="G607" s="73" t="str">
        <f>INDEX(Auxiliar!$B$16:$B$23,MATCH(Plano_V1!H607,Auxiliar!$C$16:$C$23,0),1)</f>
        <v>1. Concluído</v>
      </c>
      <c r="H607" s="73">
        <f>VLOOKUP(A607,'Aux - pivots1'!$A:$B,2,0)</f>
        <v>1</v>
      </c>
      <c r="I607" s="93">
        <f>SUMIFS(Table1[Estimação (horas)],Table1[Tabela],Plano_V1!E607,Table1[Campo],Plano_V1!F607)</f>
        <v>5.0999999999999996</v>
      </c>
      <c r="J607" s="93">
        <f t="shared" si="41"/>
        <v>0.63749999999999996</v>
      </c>
      <c r="K607" s="98" t="s">
        <v>39</v>
      </c>
      <c r="L607" s="99">
        <f t="shared" si="40"/>
        <v>0.63749999999999996</v>
      </c>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c r="AM607" s="87"/>
      <c r="AN607" s="87"/>
      <c r="AO607" s="87"/>
      <c r="AP607" s="87"/>
      <c r="AQ607" s="87"/>
      <c r="AR607" s="87"/>
      <c r="AS607" s="87"/>
      <c r="AT607" s="100"/>
      <c r="AU607" s="87"/>
      <c r="AV607" s="87"/>
      <c r="AW607" s="87"/>
      <c r="AX607" s="87"/>
      <c r="AY607" s="87"/>
      <c r="AZ607" s="87"/>
      <c r="BA607" s="87"/>
      <c r="BB607" s="87"/>
      <c r="BC607" s="87"/>
      <c r="BD607" s="87"/>
      <c r="BE607" s="87"/>
      <c r="BF607" s="87"/>
      <c r="BG607" s="87"/>
      <c r="BH607" s="87"/>
      <c r="BI607" s="87"/>
      <c r="BJ607" s="87"/>
      <c r="BK607" s="87"/>
      <c r="BL607" s="87"/>
      <c r="BM607" s="87"/>
      <c r="BN607" s="87"/>
      <c r="BO607" s="87"/>
      <c r="BP607" s="87"/>
      <c r="BQ607" s="87"/>
      <c r="BR607" s="87"/>
      <c r="BS607" s="87"/>
      <c r="BT607" s="87"/>
      <c r="BU607" s="87"/>
      <c r="BV607" s="87"/>
      <c r="BW607" s="87"/>
      <c r="BX607" s="87"/>
      <c r="BY607" s="87"/>
      <c r="BZ607" s="87"/>
      <c r="CA607" s="87"/>
      <c r="CB607" s="87"/>
      <c r="CC607" s="87"/>
      <c r="CD607" s="87"/>
      <c r="CE607" s="87"/>
      <c r="CF607" s="87"/>
      <c r="CG607" s="87"/>
      <c r="CH607" s="87"/>
      <c r="CI607" s="87"/>
      <c r="CJ607" s="87"/>
      <c r="CK607" s="87"/>
      <c r="CL607" s="87"/>
      <c r="CM607" s="87"/>
      <c r="CN607" s="87"/>
      <c r="CO607" s="87"/>
      <c r="CP607" s="87"/>
      <c r="CQ607" s="87"/>
      <c r="CR607" s="87"/>
      <c r="CS607" s="87"/>
      <c r="CT607" s="87"/>
      <c r="CU607" s="87"/>
      <c r="CV607" s="87"/>
      <c r="CW607" s="87"/>
      <c r="CX607" s="87"/>
      <c r="CY607" s="87"/>
      <c r="CZ607" s="87"/>
      <c r="DA607" s="87"/>
      <c r="DB607" s="87"/>
      <c r="DC607" s="87"/>
      <c r="DD607" s="87"/>
      <c r="DE607" s="87"/>
      <c r="DF607" s="87"/>
      <c r="DG607" s="87"/>
      <c r="DH607" s="87"/>
      <c r="DI607" s="87"/>
      <c r="DJ607" s="87"/>
      <c r="DK607" s="87"/>
      <c r="DL607" s="87"/>
      <c r="DM607" s="87"/>
      <c r="DN607" s="87"/>
      <c r="DO607" s="87"/>
      <c r="DP607" s="87"/>
      <c r="DQ607" s="87"/>
      <c r="DR607" s="87"/>
      <c r="DS607" s="87"/>
      <c r="DT607" s="87"/>
      <c r="DU607" s="87"/>
      <c r="DV607" s="87"/>
      <c r="DW607" s="87"/>
      <c r="DX607" s="87"/>
      <c r="DY607" s="87"/>
      <c r="DZ607" s="87"/>
      <c r="EA607" s="87"/>
      <c r="EB607" s="87"/>
      <c r="EC607" s="87"/>
      <c r="ED607" s="87"/>
      <c r="EE607" s="87"/>
      <c r="EF607" s="87"/>
      <c r="EG607" s="87"/>
      <c r="EH607" s="87"/>
      <c r="EI607" s="100"/>
      <c r="EJ607" s="100"/>
      <c r="EK607" s="100"/>
      <c r="EL607" s="100"/>
      <c r="EM607" s="100"/>
      <c r="EN607" s="100"/>
      <c r="EO607" s="100"/>
      <c r="EP607" s="87"/>
      <c r="EQ607" s="87"/>
      <c r="ER607" s="87"/>
      <c r="ES607" s="87"/>
      <c r="ET607" s="87"/>
      <c r="EU607" s="87"/>
      <c r="EV607" s="87"/>
      <c r="EW607" s="87"/>
      <c r="EX607" s="87"/>
      <c r="EY607" s="87"/>
      <c r="EZ607" s="87"/>
      <c r="FA607" s="87"/>
      <c r="FB607" s="87"/>
      <c r="FC607" s="87"/>
      <c r="FD607" s="87"/>
      <c r="FE607" s="87"/>
      <c r="FF607" s="87"/>
      <c r="FG607" s="87"/>
      <c r="FH607" s="87"/>
      <c r="FI607" s="87"/>
      <c r="FJ607" s="87"/>
      <c r="FK607" s="87"/>
    </row>
    <row r="608" spans="1:167" hidden="1" outlineLevel="1">
      <c r="A608" s="31" t="str">
        <f t="shared" si="42"/>
        <v>lt002_insrmntrwa_off_blnc</v>
      </c>
      <c r="B608" s="76" t="s">
        <v>32</v>
      </c>
      <c r="C608" s="77" t="s">
        <v>32</v>
      </c>
      <c r="D608" s="73" t="s">
        <v>40</v>
      </c>
      <c r="E608" s="75" t="s">
        <v>439</v>
      </c>
      <c r="F608" s="73" t="s">
        <v>448</v>
      </c>
      <c r="G608" s="73" t="str">
        <f>INDEX(Auxiliar!$B$16:$B$23,MATCH(Plano_V1!H608,Auxiliar!$C$16:$C$23,0),1)</f>
        <v>1. Concluído</v>
      </c>
      <c r="H608" s="73">
        <f>VLOOKUP(A608,'Aux - pivots1'!$A:$B,2,0)</f>
        <v>1</v>
      </c>
      <c r="I608" s="93">
        <f>SUMIFS(Table1[Estimação (horas)],Table1[Tabela],Plano_V1!E608,Table1[Campo],Plano_V1!F608)</f>
        <v>5.0999999999999996</v>
      </c>
      <c r="J608" s="93">
        <f t="shared" si="41"/>
        <v>0.63749999999999996</v>
      </c>
      <c r="K608" s="98" t="s">
        <v>39</v>
      </c>
      <c r="L608" s="99">
        <f t="shared" si="40"/>
        <v>0.63749999999999996</v>
      </c>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c r="AM608" s="87"/>
      <c r="AN608" s="87"/>
      <c r="AO608" s="87"/>
      <c r="AP608" s="87"/>
      <c r="AQ608" s="87"/>
      <c r="AR608" s="87"/>
      <c r="AS608" s="87"/>
      <c r="AT608" s="100"/>
      <c r="AU608" s="87"/>
      <c r="AV608" s="87"/>
      <c r="AW608" s="87"/>
      <c r="AX608" s="87"/>
      <c r="AY608" s="87"/>
      <c r="AZ608" s="87"/>
      <c r="BA608" s="87"/>
      <c r="BB608" s="87"/>
      <c r="BC608" s="87"/>
      <c r="BD608" s="87"/>
      <c r="BE608" s="87"/>
      <c r="BF608" s="87"/>
      <c r="BG608" s="87"/>
      <c r="BH608" s="87"/>
      <c r="BI608" s="87"/>
      <c r="BJ608" s="87"/>
      <c r="BK608" s="87"/>
      <c r="BL608" s="87"/>
      <c r="BM608" s="87"/>
      <c r="BN608" s="87"/>
      <c r="BO608" s="87"/>
      <c r="BP608" s="87"/>
      <c r="BQ608" s="87"/>
      <c r="BR608" s="87"/>
      <c r="BS608" s="87"/>
      <c r="BT608" s="87"/>
      <c r="BU608" s="87"/>
      <c r="BV608" s="87"/>
      <c r="BW608" s="87"/>
      <c r="BX608" s="87"/>
      <c r="BY608" s="87"/>
      <c r="BZ608" s="87"/>
      <c r="CA608" s="87"/>
      <c r="CB608" s="87"/>
      <c r="CC608" s="87"/>
      <c r="CD608" s="87"/>
      <c r="CE608" s="87"/>
      <c r="CF608" s="87"/>
      <c r="CG608" s="87"/>
      <c r="CH608" s="87"/>
      <c r="CI608" s="87"/>
      <c r="CJ608" s="87"/>
      <c r="CK608" s="87"/>
      <c r="CL608" s="87"/>
      <c r="CM608" s="87"/>
      <c r="CN608" s="87"/>
      <c r="CO608" s="87"/>
      <c r="CP608" s="87"/>
      <c r="CQ608" s="87"/>
      <c r="CR608" s="87"/>
      <c r="CS608" s="87"/>
      <c r="CT608" s="87"/>
      <c r="CU608" s="87"/>
      <c r="CV608" s="87"/>
      <c r="CW608" s="87"/>
      <c r="CX608" s="87"/>
      <c r="CY608" s="87"/>
      <c r="CZ608" s="87"/>
      <c r="DA608" s="87"/>
      <c r="DB608" s="87"/>
      <c r="DC608" s="87"/>
      <c r="DD608" s="87"/>
      <c r="DE608" s="87"/>
      <c r="DF608" s="87"/>
      <c r="DG608" s="87"/>
      <c r="DH608" s="87"/>
      <c r="DI608" s="87"/>
      <c r="DJ608" s="87"/>
      <c r="DK608" s="87"/>
      <c r="DL608" s="87"/>
      <c r="DM608" s="87"/>
      <c r="DN608" s="87"/>
      <c r="DO608" s="87"/>
      <c r="DP608" s="87"/>
      <c r="DQ608" s="87"/>
      <c r="DR608" s="87"/>
      <c r="DS608" s="87"/>
      <c r="DT608" s="87"/>
      <c r="DU608" s="87"/>
      <c r="DV608" s="87"/>
      <c r="DW608" s="87"/>
      <c r="DX608" s="87"/>
      <c r="DY608" s="87"/>
      <c r="DZ608" s="87"/>
      <c r="EA608" s="87"/>
      <c r="EB608" s="87"/>
      <c r="EC608" s="87"/>
      <c r="ED608" s="87"/>
      <c r="EE608" s="87"/>
      <c r="EF608" s="87"/>
      <c r="EG608" s="87"/>
      <c r="EH608" s="87"/>
      <c r="EI608" s="100"/>
      <c r="EJ608" s="100"/>
      <c r="EK608" s="100"/>
      <c r="EL608" s="100"/>
      <c r="EM608" s="100"/>
      <c r="EN608" s="100"/>
      <c r="EO608" s="100"/>
      <c r="EP608" s="87"/>
      <c r="EQ608" s="87"/>
      <c r="ER608" s="87"/>
      <c r="ES608" s="87"/>
      <c r="ET608" s="87"/>
      <c r="EU608" s="87"/>
      <c r="EV608" s="87"/>
      <c r="EW608" s="87"/>
      <c r="EX608" s="87"/>
      <c r="EY608" s="87"/>
      <c r="EZ608" s="87"/>
      <c r="FA608" s="87"/>
      <c r="FB608" s="87"/>
      <c r="FC608" s="87"/>
      <c r="FD608" s="87"/>
      <c r="FE608" s="87"/>
      <c r="FF608" s="87"/>
      <c r="FG608" s="87"/>
      <c r="FH608" s="87"/>
      <c r="FI608" s="87"/>
      <c r="FJ608" s="87"/>
      <c r="FK608" s="87"/>
    </row>
    <row r="609" spans="1:167" hidden="1" outlineLevel="1">
      <c r="A609" s="31" t="str">
        <f t="shared" si="42"/>
        <v>lt002_insrmntintrnl_trnsfr_rt_off_blnc</v>
      </c>
      <c r="B609" s="76" t="s">
        <v>32</v>
      </c>
      <c r="C609" s="77" t="s">
        <v>32</v>
      </c>
      <c r="D609" s="73" t="s">
        <v>40</v>
      </c>
      <c r="E609" s="75" t="s">
        <v>439</v>
      </c>
      <c r="F609" s="73" t="s">
        <v>449</v>
      </c>
      <c r="G609" s="73" t="str">
        <f>INDEX(Auxiliar!$B$16:$B$23,MATCH(Plano_V1!H609,Auxiliar!$C$16:$C$23,0),1)</f>
        <v>1. Concluído</v>
      </c>
      <c r="H609" s="73">
        <f>VLOOKUP(A609,'Aux - pivots1'!$A:$B,2,0)</f>
        <v>1</v>
      </c>
      <c r="I609" s="93">
        <f>SUMIFS(Table1[Estimação (horas)],Table1[Tabela],Plano_V1!E609,Table1[Campo],Plano_V1!F609)</f>
        <v>5.0999999999999996</v>
      </c>
      <c r="J609" s="93">
        <f t="shared" si="41"/>
        <v>0.63749999999999996</v>
      </c>
      <c r="K609" s="98" t="s">
        <v>39</v>
      </c>
      <c r="L609" s="99">
        <f t="shared" si="40"/>
        <v>0.63749999999999996</v>
      </c>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c r="AM609" s="87"/>
      <c r="AN609" s="87"/>
      <c r="AO609" s="87"/>
      <c r="AP609" s="87"/>
      <c r="AQ609" s="87"/>
      <c r="AR609" s="87"/>
      <c r="AS609" s="87"/>
      <c r="AT609" s="100"/>
      <c r="AU609" s="87"/>
      <c r="AV609" s="87"/>
      <c r="AW609" s="87"/>
      <c r="AX609" s="87"/>
      <c r="AY609" s="87"/>
      <c r="AZ609" s="87"/>
      <c r="BA609" s="87"/>
      <c r="BB609" s="87"/>
      <c r="BC609" s="87"/>
      <c r="BD609" s="87"/>
      <c r="BE609" s="87"/>
      <c r="BF609" s="87"/>
      <c r="BG609" s="87"/>
      <c r="BH609" s="87"/>
      <c r="BI609" s="87"/>
      <c r="BJ609" s="87"/>
      <c r="BK609" s="87"/>
      <c r="BL609" s="87"/>
      <c r="BM609" s="87"/>
      <c r="BN609" s="87"/>
      <c r="BO609" s="87"/>
      <c r="BP609" s="87"/>
      <c r="BQ609" s="87"/>
      <c r="BR609" s="87"/>
      <c r="BS609" s="87"/>
      <c r="BT609" s="87"/>
      <c r="BU609" s="87"/>
      <c r="BV609" s="87"/>
      <c r="BW609" s="87"/>
      <c r="BX609" s="87"/>
      <c r="BY609" s="87"/>
      <c r="BZ609" s="87"/>
      <c r="CA609" s="87"/>
      <c r="CB609" s="87"/>
      <c r="CC609" s="87"/>
      <c r="CD609" s="87"/>
      <c r="CE609" s="87"/>
      <c r="CF609" s="87"/>
      <c r="CG609" s="87"/>
      <c r="CH609" s="87"/>
      <c r="CI609" s="87"/>
      <c r="CJ609" s="87"/>
      <c r="CK609" s="87"/>
      <c r="CL609" s="87"/>
      <c r="CM609" s="87"/>
      <c r="CN609" s="87"/>
      <c r="CO609" s="87"/>
      <c r="CP609" s="87"/>
      <c r="CQ609" s="87"/>
      <c r="CR609" s="87"/>
      <c r="CS609" s="87"/>
      <c r="CT609" s="87"/>
      <c r="CU609" s="87"/>
      <c r="CV609" s="87"/>
      <c r="CW609" s="87"/>
      <c r="CX609" s="87"/>
      <c r="CY609" s="87"/>
      <c r="CZ609" s="87"/>
      <c r="DA609" s="87"/>
      <c r="DB609" s="87"/>
      <c r="DC609" s="87"/>
      <c r="DD609" s="87"/>
      <c r="DE609" s="87"/>
      <c r="DF609" s="87"/>
      <c r="DG609" s="87"/>
      <c r="DH609" s="87"/>
      <c r="DI609" s="87"/>
      <c r="DJ609" s="87"/>
      <c r="DK609" s="87"/>
      <c r="DL609" s="87"/>
      <c r="DM609" s="87"/>
      <c r="DN609" s="87"/>
      <c r="DO609" s="87"/>
      <c r="DP609" s="87"/>
      <c r="DQ609" s="87"/>
      <c r="DR609" s="87"/>
      <c r="DS609" s="87"/>
      <c r="DT609" s="87"/>
      <c r="DU609" s="87"/>
      <c r="DV609" s="87"/>
      <c r="DW609" s="87"/>
      <c r="DX609" s="87"/>
      <c r="DY609" s="87"/>
      <c r="DZ609" s="87"/>
      <c r="EA609" s="87"/>
      <c r="EB609" s="87"/>
      <c r="EC609" s="87"/>
      <c r="ED609" s="87"/>
      <c r="EE609" s="87"/>
      <c r="EF609" s="87"/>
      <c r="EG609" s="87"/>
      <c r="EH609" s="87"/>
      <c r="EI609" s="100"/>
      <c r="EJ609" s="100"/>
      <c r="EK609" s="100"/>
      <c r="EL609" s="100"/>
      <c r="EM609" s="100"/>
      <c r="EN609" s="100"/>
      <c r="EO609" s="100"/>
      <c r="EP609" s="87"/>
      <c r="EQ609" s="87"/>
      <c r="ER609" s="87"/>
      <c r="ES609" s="87"/>
      <c r="ET609" s="87"/>
      <c r="EU609" s="87"/>
      <c r="EV609" s="87"/>
      <c r="EW609" s="87"/>
      <c r="EX609" s="87"/>
      <c r="EY609" s="87"/>
      <c r="EZ609" s="87"/>
      <c r="FA609" s="87"/>
      <c r="FB609" s="87"/>
      <c r="FC609" s="87"/>
      <c r="FD609" s="87"/>
      <c r="FE609" s="87"/>
      <c r="FF609" s="87"/>
      <c r="FG609" s="87"/>
      <c r="FH609" s="87"/>
      <c r="FI609" s="87"/>
      <c r="FJ609" s="87"/>
      <c r="FK609" s="87"/>
    </row>
    <row r="610" spans="1:167" hidden="1" outlineLevel="1">
      <c r="A610" s="31" t="str">
        <f t="shared" si="42"/>
        <v>lt002_insrmntbsnss_area</v>
      </c>
      <c r="B610" s="76" t="s">
        <v>32</v>
      </c>
      <c r="C610" s="77" t="s">
        <v>32</v>
      </c>
      <c r="D610" s="73" t="s">
        <v>40</v>
      </c>
      <c r="E610" s="75" t="s">
        <v>439</v>
      </c>
      <c r="F610" s="73" t="s">
        <v>450</v>
      </c>
      <c r="G610" s="73" t="str">
        <f>INDEX(Auxiliar!$B$16:$B$23,MATCH(Plano_V1!H610,Auxiliar!$C$16:$C$23,0),1)</f>
        <v>2. Em Teste</v>
      </c>
      <c r="H610" s="73">
        <f>VLOOKUP(A610,'Aux - pivots1'!$A:$B,2,0)</f>
        <v>2</v>
      </c>
      <c r="I610" s="93">
        <f>SUMIFS(Table1[Estimação (horas)],Table1[Tabela],Plano_V1!E610,Table1[Campo],Plano_V1!F610)</f>
        <v>22.1</v>
      </c>
      <c r="J610" s="93">
        <f t="shared" si="41"/>
        <v>2.7625000000000002</v>
      </c>
      <c r="K610" s="98" t="s">
        <v>39</v>
      </c>
      <c r="L610" s="99">
        <f t="shared" si="40"/>
        <v>2.7625000000000002</v>
      </c>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c r="AM610" s="87"/>
      <c r="AN610" s="87"/>
      <c r="AO610" s="87"/>
      <c r="AP610" s="87"/>
      <c r="AQ610" s="87"/>
      <c r="AR610" s="87"/>
      <c r="AS610" s="87"/>
      <c r="AT610" s="100"/>
      <c r="AU610" s="87"/>
      <c r="AV610" s="87"/>
      <c r="AW610" s="87"/>
      <c r="AX610" s="87"/>
      <c r="AY610" s="87"/>
      <c r="AZ610" s="87"/>
      <c r="BA610" s="87"/>
      <c r="BB610" s="87"/>
      <c r="BC610" s="87"/>
      <c r="BD610" s="87"/>
      <c r="BE610" s="87"/>
      <c r="BF610" s="87"/>
      <c r="BG610" s="87"/>
      <c r="BH610" s="87"/>
      <c r="BI610" s="87"/>
      <c r="BJ610" s="87"/>
      <c r="BK610" s="87"/>
      <c r="BL610" s="87"/>
      <c r="BM610" s="87"/>
      <c r="BN610" s="87"/>
      <c r="BO610" s="87"/>
      <c r="BP610" s="87"/>
      <c r="BQ610" s="87"/>
      <c r="BR610" s="87"/>
      <c r="BS610" s="87"/>
      <c r="BT610" s="87"/>
      <c r="BU610" s="87"/>
      <c r="BV610" s="87"/>
      <c r="BW610" s="87"/>
      <c r="BX610" s="87"/>
      <c r="BY610" s="87"/>
      <c r="BZ610" s="87"/>
      <c r="CA610" s="87"/>
      <c r="CB610" s="87"/>
      <c r="CC610" s="87"/>
      <c r="CD610" s="87"/>
      <c r="CE610" s="87"/>
      <c r="CF610" s="87"/>
      <c r="CG610" s="87"/>
      <c r="CH610" s="87"/>
      <c r="CI610" s="87"/>
      <c r="CJ610" s="87"/>
      <c r="CK610" s="87"/>
      <c r="CL610" s="87"/>
      <c r="CM610" s="87"/>
      <c r="CN610" s="87"/>
      <c r="CO610" s="87"/>
      <c r="CP610" s="87"/>
      <c r="CQ610" s="87"/>
      <c r="CR610" s="87"/>
      <c r="CS610" s="87"/>
      <c r="CT610" s="87"/>
      <c r="CU610" s="87"/>
      <c r="CV610" s="87"/>
      <c r="CW610" s="87"/>
      <c r="CX610" s="87"/>
      <c r="CY610" s="87"/>
      <c r="CZ610" s="87"/>
      <c r="DA610" s="87"/>
      <c r="DB610" s="87"/>
      <c r="DC610" s="87"/>
      <c r="DD610" s="87"/>
      <c r="DE610" s="87"/>
      <c r="DF610" s="87"/>
      <c r="DG610" s="87"/>
      <c r="DH610" s="87"/>
      <c r="DI610" s="87"/>
      <c r="DJ610" s="87"/>
      <c r="DK610" s="87"/>
      <c r="DL610" s="87"/>
      <c r="DM610" s="87"/>
      <c r="DN610" s="87"/>
      <c r="DO610" s="87"/>
      <c r="DP610" s="87"/>
      <c r="DQ610" s="87"/>
      <c r="DR610" s="87"/>
      <c r="DS610" s="87"/>
      <c r="DT610" s="87"/>
      <c r="DU610" s="87"/>
      <c r="DV610" s="87"/>
      <c r="DW610" s="87"/>
      <c r="DX610" s="87"/>
      <c r="DY610" s="87"/>
      <c r="DZ610" s="87"/>
      <c r="EA610" s="87"/>
      <c r="EB610" s="87"/>
      <c r="EC610" s="87"/>
      <c r="ED610" s="87"/>
      <c r="EE610" s="87"/>
      <c r="EF610" s="87"/>
      <c r="EG610" s="87"/>
      <c r="EH610" s="87"/>
      <c r="EI610" s="100"/>
      <c r="EJ610" s="100"/>
      <c r="EK610" s="100"/>
      <c r="EL610" s="100"/>
      <c r="EM610" s="100"/>
      <c r="EN610" s="100"/>
      <c r="EO610" s="100"/>
      <c r="EP610" s="87"/>
      <c r="EQ610" s="87"/>
      <c r="ER610" s="87"/>
      <c r="ES610" s="87"/>
      <c r="ET610" s="87"/>
      <c r="EU610" s="87"/>
      <c r="EV610" s="87"/>
      <c r="EW610" s="87"/>
      <c r="EX610" s="87"/>
      <c r="EY610" s="87"/>
      <c r="EZ610" s="87"/>
      <c r="FA610" s="87"/>
      <c r="FB610" s="87"/>
      <c r="FC610" s="87"/>
      <c r="FD610" s="87"/>
      <c r="FE610" s="87"/>
      <c r="FF610" s="87"/>
      <c r="FG610" s="87"/>
      <c r="FH610" s="87"/>
      <c r="FI610" s="87"/>
      <c r="FJ610" s="87"/>
      <c r="FK610" s="87"/>
    </row>
    <row r="611" spans="1:167" hidden="1" outlineLevel="1">
      <c r="A611" s="31" t="str">
        <f t="shared" si="42"/>
        <v>lt002_insrmntavrg_blnc</v>
      </c>
      <c r="B611" s="76" t="s">
        <v>32</v>
      </c>
      <c r="C611" s="77" t="s">
        <v>32</v>
      </c>
      <c r="D611" s="73" t="s">
        <v>40</v>
      </c>
      <c r="E611" s="75" t="s">
        <v>439</v>
      </c>
      <c r="F611" s="73" t="s">
        <v>451</v>
      </c>
      <c r="G611" s="73" t="str">
        <f>INDEX(Auxiliar!$B$16:$B$23,MATCH(Plano_V1!H611,Auxiliar!$C$16:$C$23,0),1)</f>
        <v>2. Em Teste</v>
      </c>
      <c r="H611" s="73">
        <f>VLOOKUP(A611,'Aux - pivots1'!$A:$B,2,0)</f>
        <v>2</v>
      </c>
      <c r="I611" s="93">
        <f>SUMIFS(Table1[Estimação (horas)],Table1[Tabela],Plano_V1!E611,Table1[Campo],Plano_V1!F611)</f>
        <v>10.1</v>
      </c>
      <c r="J611" s="93">
        <f t="shared" si="41"/>
        <v>1.2625</v>
      </c>
      <c r="K611" s="98" t="s">
        <v>39</v>
      </c>
      <c r="L611" s="99">
        <f t="shared" si="40"/>
        <v>1.2625</v>
      </c>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c r="AM611" s="87"/>
      <c r="AN611" s="87"/>
      <c r="AO611" s="87"/>
      <c r="AP611" s="87"/>
      <c r="AQ611" s="87"/>
      <c r="AR611" s="87"/>
      <c r="AS611" s="87"/>
      <c r="AT611" s="100"/>
      <c r="AU611" s="87"/>
      <c r="AV611" s="87"/>
      <c r="AW611" s="87"/>
      <c r="AX611" s="87"/>
      <c r="AY611" s="87"/>
      <c r="AZ611" s="87"/>
      <c r="BA611" s="87"/>
      <c r="BB611" s="87"/>
      <c r="BC611" s="87"/>
      <c r="BD611" s="87"/>
      <c r="BE611" s="87"/>
      <c r="BF611" s="87"/>
      <c r="BG611" s="87"/>
      <c r="BH611" s="87"/>
      <c r="BI611" s="87"/>
      <c r="BJ611" s="87"/>
      <c r="BK611" s="87"/>
      <c r="BL611" s="87"/>
      <c r="BM611" s="87"/>
      <c r="BN611" s="87"/>
      <c r="BO611" s="87"/>
      <c r="BP611" s="87"/>
      <c r="BQ611" s="87"/>
      <c r="BR611" s="87"/>
      <c r="BS611" s="87"/>
      <c r="BT611" s="87"/>
      <c r="BU611" s="87"/>
      <c r="BV611" s="87"/>
      <c r="BW611" s="87"/>
      <c r="BX611" s="87"/>
      <c r="BY611" s="87"/>
      <c r="BZ611" s="87"/>
      <c r="CA611" s="87"/>
      <c r="CB611" s="87"/>
      <c r="CC611" s="87"/>
      <c r="CD611" s="87"/>
      <c r="CE611" s="87"/>
      <c r="CF611" s="87"/>
      <c r="CG611" s="87"/>
      <c r="CH611" s="87"/>
      <c r="CI611" s="87"/>
      <c r="CJ611" s="87"/>
      <c r="CK611" s="87"/>
      <c r="CL611" s="87"/>
      <c r="CM611" s="87"/>
      <c r="CN611" s="87"/>
      <c r="CO611" s="87"/>
      <c r="CP611" s="87"/>
      <c r="CQ611" s="87"/>
      <c r="CR611" s="87"/>
      <c r="CS611" s="87"/>
      <c r="CT611" s="87"/>
      <c r="CU611" s="87"/>
      <c r="CV611" s="87"/>
      <c r="CW611" s="87"/>
      <c r="CX611" s="87"/>
      <c r="CY611" s="87"/>
      <c r="CZ611" s="87"/>
      <c r="DA611" s="87"/>
      <c r="DB611" s="87"/>
      <c r="DC611" s="87"/>
      <c r="DD611" s="87"/>
      <c r="DE611" s="87"/>
      <c r="DF611" s="87"/>
      <c r="DG611" s="87"/>
      <c r="DH611" s="87"/>
      <c r="DI611" s="87"/>
      <c r="DJ611" s="87"/>
      <c r="DK611" s="87"/>
      <c r="DL611" s="87"/>
      <c r="DM611" s="87"/>
      <c r="DN611" s="87"/>
      <c r="DO611" s="87"/>
      <c r="DP611" s="87"/>
      <c r="DQ611" s="87"/>
      <c r="DR611" s="87"/>
      <c r="DS611" s="87"/>
      <c r="DT611" s="87"/>
      <c r="DU611" s="87"/>
      <c r="DV611" s="87"/>
      <c r="DW611" s="87"/>
      <c r="DX611" s="87"/>
      <c r="DY611" s="87"/>
      <c r="DZ611" s="87"/>
      <c r="EA611" s="87"/>
      <c r="EB611" s="87"/>
      <c r="EC611" s="87"/>
      <c r="ED611" s="87"/>
      <c r="EE611" s="87"/>
      <c r="EF611" s="87"/>
      <c r="EG611" s="87"/>
      <c r="EH611" s="87"/>
      <c r="EI611" s="100"/>
      <c r="EJ611" s="100"/>
      <c r="EK611" s="100"/>
      <c r="EL611" s="100"/>
      <c r="EM611" s="100"/>
      <c r="EN611" s="100"/>
      <c r="EO611" s="100"/>
      <c r="EP611" s="87"/>
      <c r="EQ611" s="87"/>
      <c r="ER611" s="87"/>
      <c r="ES611" s="87"/>
      <c r="ET611" s="87"/>
      <c r="EU611" s="87"/>
      <c r="EV611" s="87"/>
      <c r="EW611" s="87"/>
      <c r="EX611" s="87"/>
      <c r="EY611" s="87"/>
      <c r="EZ611" s="87"/>
      <c r="FA611" s="87"/>
      <c r="FB611" s="87"/>
      <c r="FC611" s="87"/>
      <c r="FD611" s="87"/>
      <c r="FE611" s="87"/>
      <c r="FF611" s="87"/>
      <c r="FG611" s="87"/>
      <c r="FH611" s="87"/>
      <c r="FI611" s="87"/>
      <c r="FJ611" s="87"/>
      <c r="FK611" s="87"/>
    </row>
    <row r="612" spans="1:167" hidden="1" outlineLevel="1">
      <c r="A612" s="31" t="str">
        <f t="shared" si="42"/>
        <v>lt002_insrmntnt_ln_lss_prvsn</v>
      </c>
      <c r="B612" s="76" t="s">
        <v>32</v>
      </c>
      <c r="C612" s="77" t="s">
        <v>32</v>
      </c>
      <c r="D612" s="73" t="s">
        <v>40</v>
      </c>
      <c r="E612" s="75" t="s">
        <v>439</v>
      </c>
      <c r="F612" s="82" t="s">
        <v>452</v>
      </c>
      <c r="G612" s="73" t="str">
        <f>INDEX(Auxiliar!$B$16:$B$23,MATCH(Plano_V1!H612,Auxiliar!$C$16:$C$23,0),1)</f>
        <v>2. Em Teste</v>
      </c>
      <c r="H612" s="73">
        <f>VLOOKUP(A612,'Aux - pivots1'!$A:$B,2,0)</f>
        <v>2</v>
      </c>
      <c r="I612" s="93">
        <f>SUMIFS(Table1[Estimação (horas)],Table1[Tabela],Plano_V1!E612,Table1[Campo],Plano_V1!F612)</f>
        <v>10.1</v>
      </c>
      <c r="J612" s="93">
        <f t="shared" si="41"/>
        <v>1.2625</v>
      </c>
      <c r="K612" s="98" t="s">
        <v>39</v>
      </c>
      <c r="L612" s="99">
        <f t="shared" si="40"/>
        <v>1.2625</v>
      </c>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c r="AM612" s="87"/>
      <c r="AN612" s="87"/>
      <c r="AO612" s="87"/>
      <c r="AP612" s="87"/>
      <c r="AQ612" s="87"/>
      <c r="AR612" s="87"/>
      <c r="AS612" s="87"/>
      <c r="AT612" s="100"/>
      <c r="AU612" s="87"/>
      <c r="AV612" s="87"/>
      <c r="AW612" s="87"/>
      <c r="AX612" s="87"/>
      <c r="AY612" s="87"/>
      <c r="AZ612" s="87"/>
      <c r="BA612" s="87"/>
      <c r="BB612" s="87"/>
      <c r="BC612" s="87"/>
      <c r="BD612" s="87"/>
      <c r="BE612" s="87"/>
      <c r="BF612" s="87"/>
      <c r="BG612" s="87"/>
      <c r="BH612" s="87"/>
      <c r="BI612" s="87"/>
      <c r="BJ612" s="87"/>
      <c r="BK612" s="87"/>
      <c r="BL612" s="87"/>
      <c r="BM612" s="87"/>
      <c r="BN612" s="87"/>
      <c r="BO612" s="87"/>
      <c r="BP612" s="87"/>
      <c r="BQ612" s="87"/>
      <c r="BR612" s="87"/>
      <c r="BS612" s="87"/>
      <c r="BT612" s="87"/>
      <c r="BU612" s="87"/>
      <c r="BV612" s="87"/>
      <c r="BW612" s="87"/>
      <c r="BX612" s="87"/>
      <c r="BY612" s="87"/>
      <c r="BZ612" s="87"/>
      <c r="CA612" s="87"/>
      <c r="CB612" s="87"/>
      <c r="CC612" s="87"/>
      <c r="CD612" s="87"/>
      <c r="CE612" s="87"/>
      <c r="CF612" s="87"/>
      <c r="CG612" s="87"/>
      <c r="CH612" s="87"/>
      <c r="CI612" s="87"/>
      <c r="CJ612" s="87"/>
      <c r="CK612" s="87"/>
      <c r="CL612" s="87"/>
      <c r="CM612" s="87"/>
      <c r="CN612" s="87"/>
      <c r="CO612" s="87"/>
      <c r="CP612" s="87"/>
      <c r="CQ612" s="87"/>
      <c r="CR612" s="87"/>
      <c r="CS612" s="87"/>
      <c r="CT612" s="87"/>
      <c r="CU612" s="87"/>
      <c r="CV612" s="87"/>
      <c r="CW612" s="87"/>
      <c r="CX612" s="87"/>
      <c r="CY612" s="87"/>
      <c r="CZ612" s="87"/>
      <c r="DA612" s="87"/>
      <c r="DB612" s="87"/>
      <c r="DC612" s="87"/>
      <c r="DD612" s="87"/>
      <c r="DE612" s="87"/>
      <c r="DF612" s="87"/>
      <c r="DG612" s="87"/>
      <c r="DH612" s="87"/>
      <c r="DI612" s="87"/>
      <c r="DJ612" s="87"/>
      <c r="DK612" s="87"/>
      <c r="DL612" s="87"/>
      <c r="DM612" s="87"/>
      <c r="DN612" s="87"/>
      <c r="DO612" s="87"/>
      <c r="DP612" s="87"/>
      <c r="DQ612" s="87"/>
      <c r="DR612" s="87"/>
      <c r="DS612" s="87"/>
      <c r="DT612" s="87"/>
      <c r="DU612" s="87"/>
      <c r="DV612" s="87"/>
      <c r="DW612" s="87"/>
      <c r="DX612" s="87"/>
      <c r="DY612" s="87"/>
      <c r="DZ612" s="87"/>
      <c r="EA612" s="87"/>
      <c r="EB612" s="87"/>
      <c r="EC612" s="87"/>
      <c r="ED612" s="87"/>
      <c r="EE612" s="87"/>
      <c r="EF612" s="87"/>
      <c r="EG612" s="87"/>
      <c r="EH612" s="87"/>
      <c r="EI612" s="100"/>
      <c r="EJ612" s="100"/>
      <c r="EK612" s="100"/>
      <c r="EL612" s="100"/>
      <c r="EM612" s="100"/>
      <c r="EN612" s="100"/>
      <c r="EO612" s="100"/>
      <c r="EP612" s="87"/>
      <c r="EQ612" s="87"/>
      <c r="ER612" s="87"/>
      <c r="ES612" s="87"/>
      <c r="ET612" s="87"/>
      <c r="EU612" s="87"/>
      <c r="EV612" s="87"/>
      <c r="EW612" s="87"/>
      <c r="EX612" s="87"/>
      <c r="EY612" s="87"/>
      <c r="EZ612" s="87"/>
      <c r="FA612" s="87"/>
      <c r="FB612" s="87"/>
      <c r="FC612" s="87"/>
      <c r="FD612" s="87"/>
      <c r="FE612" s="87"/>
      <c r="FF612" s="87"/>
      <c r="FG612" s="87"/>
      <c r="FH612" s="87"/>
      <c r="FI612" s="87"/>
      <c r="FJ612" s="87"/>
      <c r="FK612" s="87"/>
    </row>
    <row r="613" spans="1:167" hidden="1" outlineLevel="1">
      <c r="A613" s="31" t="str">
        <f t="shared" si="42"/>
        <v>lt002_insrmntmngmnt_prdct</v>
      </c>
      <c r="B613" s="76" t="s">
        <v>32</v>
      </c>
      <c r="C613" s="77" t="s">
        <v>32</v>
      </c>
      <c r="D613" s="73" t="s">
        <v>40</v>
      </c>
      <c r="E613" s="75" t="s">
        <v>439</v>
      </c>
      <c r="F613" s="73" t="s">
        <v>453</v>
      </c>
      <c r="G613" s="73" t="str">
        <f>INDEX(Auxiliar!$B$16:$B$23,MATCH(Plano_V1!H613,Auxiliar!$C$16:$C$23,0),1)</f>
        <v>2. Em Teste</v>
      </c>
      <c r="H613" s="73">
        <f>VLOOKUP(A613,'Aux - pivots1'!$A:$B,2,0)</f>
        <v>2</v>
      </c>
      <c r="I613" s="93">
        <f>SUMIFS(Table1[Estimação (horas)],Table1[Tabela],Plano_V1!E613,Table1[Campo],Plano_V1!F613)</f>
        <v>14.1</v>
      </c>
      <c r="J613" s="93">
        <f t="shared" si="41"/>
        <v>1.7625</v>
      </c>
      <c r="K613" s="98" t="s">
        <v>39</v>
      </c>
      <c r="L613" s="99">
        <f t="shared" si="40"/>
        <v>1.7625</v>
      </c>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c r="AM613" s="87"/>
      <c r="AN613" s="87"/>
      <c r="AO613" s="87"/>
      <c r="AP613" s="87"/>
      <c r="AQ613" s="87"/>
      <c r="AR613" s="87"/>
      <c r="AS613" s="87"/>
      <c r="AT613" s="100"/>
      <c r="AU613" s="87"/>
      <c r="AV613" s="87"/>
      <c r="AW613" s="87"/>
      <c r="AX613" s="87"/>
      <c r="AY613" s="87"/>
      <c r="AZ613" s="87"/>
      <c r="BA613" s="87"/>
      <c r="BB613" s="87"/>
      <c r="BC613" s="87"/>
      <c r="BD613" s="87"/>
      <c r="BE613" s="87"/>
      <c r="BF613" s="87"/>
      <c r="BG613" s="87"/>
      <c r="BH613" s="87"/>
      <c r="BI613" s="87"/>
      <c r="BJ613" s="87"/>
      <c r="BK613" s="87"/>
      <c r="BL613" s="87"/>
      <c r="BM613" s="87"/>
      <c r="BN613" s="87"/>
      <c r="BO613" s="87"/>
      <c r="BP613" s="87"/>
      <c r="BQ613" s="87"/>
      <c r="BR613" s="87"/>
      <c r="BS613" s="87"/>
      <c r="BT613" s="87"/>
      <c r="BU613" s="87"/>
      <c r="BV613" s="87"/>
      <c r="BW613" s="87"/>
      <c r="BX613" s="87"/>
      <c r="BY613" s="87"/>
      <c r="BZ613" s="87"/>
      <c r="CA613" s="87"/>
      <c r="CB613" s="87"/>
      <c r="CC613" s="87"/>
      <c r="CD613" s="87"/>
      <c r="CE613" s="87"/>
      <c r="CF613" s="87"/>
      <c r="CG613" s="87"/>
      <c r="CH613" s="87"/>
      <c r="CI613" s="87"/>
      <c r="CJ613" s="87"/>
      <c r="CK613" s="87"/>
      <c r="CL613" s="87"/>
      <c r="CM613" s="87"/>
      <c r="CN613" s="87"/>
      <c r="CO613" s="87"/>
      <c r="CP613" s="87"/>
      <c r="CQ613" s="87"/>
      <c r="CR613" s="87"/>
      <c r="CS613" s="87"/>
      <c r="CT613" s="87"/>
      <c r="CU613" s="87"/>
      <c r="CV613" s="87"/>
      <c r="CW613" s="87"/>
      <c r="CX613" s="87"/>
      <c r="CY613" s="87"/>
      <c r="CZ613" s="87"/>
      <c r="DA613" s="87"/>
      <c r="DB613" s="87"/>
      <c r="DC613" s="87"/>
      <c r="DD613" s="87"/>
      <c r="DE613" s="87"/>
      <c r="DF613" s="87"/>
      <c r="DG613" s="87"/>
      <c r="DH613" s="87"/>
      <c r="DI613" s="87"/>
      <c r="DJ613" s="87"/>
      <c r="DK613" s="87"/>
      <c r="DL613" s="87"/>
      <c r="DM613" s="87"/>
      <c r="DN613" s="87"/>
      <c r="DO613" s="87"/>
      <c r="DP613" s="87"/>
      <c r="DQ613" s="87"/>
      <c r="DR613" s="87"/>
      <c r="DS613" s="87"/>
      <c r="DT613" s="87"/>
      <c r="DU613" s="87"/>
      <c r="DV613" s="87"/>
      <c r="DW613" s="87"/>
      <c r="DX613" s="87"/>
      <c r="DY613" s="87"/>
      <c r="DZ613" s="87"/>
      <c r="EA613" s="87"/>
      <c r="EB613" s="87"/>
      <c r="EC613" s="87"/>
      <c r="ED613" s="87"/>
      <c r="EE613" s="87"/>
      <c r="EF613" s="87"/>
      <c r="EG613" s="87"/>
      <c r="EH613" s="87"/>
      <c r="EI613" s="100"/>
      <c r="EJ613" s="100"/>
      <c r="EK613" s="100"/>
      <c r="EL613" s="100"/>
      <c r="EM613" s="100"/>
      <c r="EN613" s="100"/>
      <c r="EO613" s="100"/>
      <c r="EP613" s="87"/>
      <c r="EQ613" s="87"/>
      <c r="ER613" s="87"/>
      <c r="ES613" s="87"/>
      <c r="ET613" s="87"/>
      <c r="EU613" s="87"/>
      <c r="EV613" s="87"/>
      <c r="EW613" s="87"/>
      <c r="EX613" s="87"/>
      <c r="EY613" s="87"/>
      <c r="EZ613" s="87"/>
      <c r="FA613" s="87"/>
      <c r="FB613" s="87"/>
      <c r="FC613" s="87"/>
      <c r="FD613" s="87"/>
      <c r="FE613" s="87"/>
      <c r="FF613" s="87"/>
      <c r="FG613" s="87"/>
      <c r="FH613" s="87"/>
      <c r="FI613" s="87"/>
      <c r="FJ613" s="87"/>
      <c r="FK613" s="87"/>
    </row>
    <row r="614" spans="1:167" hidden="1" outlineLevel="1">
      <c r="A614" s="31" t="str">
        <f t="shared" si="42"/>
        <v>lt002_insrmntnw_bsnss</v>
      </c>
      <c r="B614" s="76" t="s">
        <v>32</v>
      </c>
      <c r="C614" s="77" t="s">
        <v>32</v>
      </c>
      <c r="D614" s="73" t="s">
        <v>40</v>
      </c>
      <c r="E614" s="75" t="s">
        <v>439</v>
      </c>
      <c r="F614" s="73" t="s">
        <v>454</v>
      </c>
      <c r="G614" s="73" t="str">
        <f>INDEX(Auxiliar!$B$16:$B$23,MATCH(Plano_V1!H614,Auxiliar!$C$16:$C$23,0),1)</f>
        <v>2. Em Teste</v>
      </c>
      <c r="H614" s="73">
        <f>VLOOKUP(A614,'Aux - pivots1'!$A:$B,2,0)</f>
        <v>2</v>
      </c>
      <c r="I614" s="93">
        <f>SUMIFS(Table1[Estimação (horas)],Table1[Tabela],Plano_V1!E614,Table1[Campo],Plano_V1!F614)</f>
        <v>10.1</v>
      </c>
      <c r="J614" s="93">
        <f t="shared" si="41"/>
        <v>1.2625</v>
      </c>
      <c r="K614" s="98" t="s">
        <v>39</v>
      </c>
      <c r="L614" s="99">
        <f t="shared" si="40"/>
        <v>1.2625</v>
      </c>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c r="AM614" s="87"/>
      <c r="AN614" s="87"/>
      <c r="AO614" s="87"/>
      <c r="AP614" s="87"/>
      <c r="AQ614" s="87"/>
      <c r="AR614" s="87"/>
      <c r="AS614" s="87"/>
      <c r="AT614" s="100"/>
      <c r="AU614" s="87"/>
      <c r="AV614" s="87"/>
      <c r="AW614" s="87"/>
      <c r="AX614" s="87"/>
      <c r="AY614" s="87"/>
      <c r="AZ614" s="87"/>
      <c r="BA614" s="87"/>
      <c r="BB614" s="87"/>
      <c r="BC614" s="87"/>
      <c r="BD614" s="87"/>
      <c r="BE614" s="87"/>
      <c r="BF614" s="87"/>
      <c r="BG614" s="87"/>
      <c r="BH614" s="87"/>
      <c r="BI614" s="87"/>
      <c r="BJ614" s="87"/>
      <c r="BK614" s="87"/>
      <c r="BL614" s="87"/>
      <c r="BM614" s="87"/>
      <c r="BN614" s="87"/>
      <c r="BO614" s="87"/>
      <c r="BP614" s="87"/>
      <c r="BQ614" s="87"/>
      <c r="BR614" s="87"/>
      <c r="BS614" s="87"/>
      <c r="BT614" s="87"/>
      <c r="BU614" s="87"/>
      <c r="BV614" s="87"/>
      <c r="BW614" s="87"/>
      <c r="BX614" s="87"/>
      <c r="BY614" s="87"/>
      <c r="BZ614" s="87"/>
      <c r="CA614" s="87"/>
      <c r="CB614" s="87"/>
      <c r="CC614" s="87"/>
      <c r="CD614" s="87"/>
      <c r="CE614" s="87"/>
      <c r="CF614" s="87"/>
      <c r="CG614" s="87"/>
      <c r="CH614" s="87"/>
      <c r="CI614" s="87"/>
      <c r="CJ614" s="87"/>
      <c r="CK614" s="87"/>
      <c r="CL614" s="87"/>
      <c r="CM614" s="87"/>
      <c r="CN614" s="87"/>
      <c r="CO614" s="87"/>
      <c r="CP614" s="87"/>
      <c r="CQ614" s="87"/>
      <c r="CR614" s="87"/>
      <c r="CS614" s="87"/>
      <c r="CT614" s="87"/>
      <c r="CU614" s="87"/>
      <c r="CV614" s="87"/>
      <c r="CW614" s="87"/>
      <c r="CX614" s="87"/>
      <c r="CY614" s="87"/>
      <c r="CZ614" s="87"/>
      <c r="DA614" s="87"/>
      <c r="DB614" s="87"/>
      <c r="DC614" s="87"/>
      <c r="DD614" s="87"/>
      <c r="DE614" s="87"/>
      <c r="DF614" s="87"/>
      <c r="DG614" s="87"/>
      <c r="DH614" s="87"/>
      <c r="DI614" s="87"/>
      <c r="DJ614" s="87"/>
      <c r="DK614" s="87"/>
      <c r="DL614" s="87"/>
      <c r="DM614" s="87"/>
      <c r="DN614" s="87"/>
      <c r="DO614" s="87"/>
      <c r="DP614" s="87"/>
      <c r="DQ614" s="87"/>
      <c r="DR614" s="87"/>
      <c r="DS614" s="87"/>
      <c r="DT614" s="87"/>
      <c r="DU614" s="87"/>
      <c r="DV614" s="87"/>
      <c r="DW614" s="87"/>
      <c r="DX614" s="87"/>
      <c r="DY614" s="87"/>
      <c r="DZ614" s="87"/>
      <c r="EA614" s="87"/>
      <c r="EB614" s="87"/>
      <c r="EC614" s="87"/>
      <c r="ED614" s="87"/>
      <c r="EE614" s="87"/>
      <c r="EF614" s="87"/>
      <c r="EG614" s="87"/>
      <c r="EH614" s="87"/>
      <c r="EI614" s="100"/>
      <c r="EJ614" s="100"/>
      <c r="EK614" s="100"/>
      <c r="EL614" s="100"/>
      <c r="EM614" s="100"/>
      <c r="EN614" s="100"/>
      <c r="EO614" s="100"/>
      <c r="EP614" s="87"/>
      <c r="EQ614" s="87"/>
      <c r="ER614" s="87"/>
      <c r="ES614" s="87"/>
      <c r="ET614" s="87"/>
      <c r="EU614" s="87"/>
      <c r="EV614" s="87"/>
      <c r="EW614" s="87"/>
      <c r="EX614" s="87"/>
      <c r="EY614" s="87"/>
      <c r="EZ614" s="87"/>
      <c r="FA614" s="87"/>
      <c r="FB614" s="87"/>
      <c r="FC614" s="87"/>
      <c r="FD614" s="87"/>
      <c r="FE614" s="87"/>
      <c r="FF614" s="87"/>
      <c r="FG614" s="87"/>
      <c r="FH614" s="87"/>
      <c r="FI614" s="87"/>
      <c r="FJ614" s="87"/>
      <c r="FK614" s="87"/>
    </row>
    <row r="615" spans="1:167" hidden="1" outlineLevel="1">
      <c r="A615" s="31" t="str">
        <f t="shared" si="42"/>
        <v>lt002_insrmntgrss_intrst_incm_ccrr</v>
      </c>
      <c r="B615" s="76" t="s">
        <v>32</v>
      </c>
      <c r="C615" s="77" t="s">
        <v>32</v>
      </c>
      <c r="D615" s="73" t="s">
        <v>40</v>
      </c>
      <c r="E615" s="75" t="s">
        <v>439</v>
      </c>
      <c r="F615" s="73" t="s">
        <v>455</v>
      </c>
      <c r="G615" s="73" t="str">
        <f>INDEX(Auxiliar!$B$16:$B$23,MATCH(Plano_V1!H615,Auxiliar!$C$16:$C$23,0),1)</f>
        <v>2. Em Teste</v>
      </c>
      <c r="H615" s="73">
        <f>VLOOKUP(A615,'Aux - pivots1'!$A:$B,2,0)</f>
        <v>2</v>
      </c>
      <c r="I615" s="93">
        <f>SUMIFS(Table1[Estimação (horas)],Table1[Tabela],Plano_V1!E615,Table1[Campo],Plano_V1!F615)</f>
        <v>0.1</v>
      </c>
      <c r="J615" s="93">
        <f t="shared" si="41"/>
        <v>1.2500000000000001E-2</v>
      </c>
      <c r="K615" s="98" t="s">
        <v>39</v>
      </c>
      <c r="L615" s="99">
        <f t="shared" si="40"/>
        <v>1.2500000000000001E-2</v>
      </c>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c r="AM615" s="87"/>
      <c r="AN615" s="87"/>
      <c r="AO615" s="87"/>
      <c r="AP615" s="87"/>
      <c r="AQ615" s="87"/>
      <c r="AR615" s="87"/>
      <c r="AS615" s="87"/>
      <c r="AT615" s="100"/>
      <c r="AU615" s="87"/>
      <c r="AV615" s="87"/>
      <c r="AW615" s="87"/>
      <c r="AX615" s="87"/>
      <c r="AY615" s="87"/>
      <c r="AZ615" s="87"/>
      <c r="BA615" s="87"/>
      <c r="BB615" s="87"/>
      <c r="BC615" s="87"/>
      <c r="BD615" s="87"/>
      <c r="BE615" s="87"/>
      <c r="BF615" s="87"/>
      <c r="BG615" s="87"/>
      <c r="BH615" s="87"/>
      <c r="BI615" s="87"/>
      <c r="BJ615" s="87"/>
      <c r="BK615" s="87"/>
      <c r="BL615" s="87"/>
      <c r="BM615" s="87"/>
      <c r="BN615" s="87"/>
      <c r="BO615" s="87"/>
      <c r="BP615" s="87"/>
      <c r="BQ615" s="87"/>
      <c r="BR615" s="87"/>
      <c r="BS615" s="87"/>
      <c r="BT615" s="87"/>
      <c r="BU615" s="87"/>
      <c r="BV615" s="87"/>
      <c r="BW615" s="87"/>
      <c r="BX615" s="87"/>
      <c r="BY615" s="87"/>
      <c r="BZ615" s="87"/>
      <c r="CA615" s="87"/>
      <c r="CB615" s="87"/>
      <c r="CC615" s="87"/>
      <c r="CD615" s="87"/>
      <c r="CE615" s="87"/>
      <c r="CF615" s="87"/>
      <c r="CG615" s="87"/>
      <c r="CH615" s="87"/>
      <c r="CI615" s="87"/>
      <c r="CJ615" s="87"/>
      <c r="CK615" s="87"/>
      <c r="CL615" s="87"/>
      <c r="CM615" s="87"/>
      <c r="CN615" s="87"/>
      <c r="CO615" s="87"/>
      <c r="CP615" s="87"/>
      <c r="CQ615" s="87"/>
      <c r="CR615" s="87"/>
      <c r="CS615" s="87"/>
      <c r="CT615" s="87"/>
      <c r="CU615" s="87"/>
      <c r="CV615" s="87"/>
      <c r="CW615" s="87"/>
      <c r="CX615" s="87"/>
      <c r="CY615" s="87"/>
      <c r="CZ615" s="87"/>
      <c r="DA615" s="87"/>
      <c r="DB615" s="87"/>
      <c r="DC615" s="87"/>
      <c r="DD615" s="87"/>
      <c r="DE615" s="87"/>
      <c r="DF615" s="87"/>
      <c r="DG615" s="87"/>
      <c r="DH615" s="87"/>
      <c r="DI615" s="87"/>
      <c r="DJ615" s="87"/>
      <c r="DK615" s="87"/>
      <c r="DL615" s="87"/>
      <c r="DM615" s="87"/>
      <c r="DN615" s="87"/>
      <c r="DO615" s="87"/>
      <c r="DP615" s="87"/>
      <c r="DQ615" s="87"/>
      <c r="DR615" s="87"/>
      <c r="DS615" s="87"/>
      <c r="DT615" s="87"/>
      <c r="DU615" s="87"/>
      <c r="DV615" s="87"/>
      <c r="DW615" s="87"/>
      <c r="DX615" s="87"/>
      <c r="DY615" s="87"/>
      <c r="DZ615" s="87"/>
      <c r="EA615" s="87"/>
      <c r="EB615" s="87"/>
      <c r="EC615" s="87"/>
      <c r="ED615" s="87"/>
      <c r="EE615" s="87"/>
      <c r="EF615" s="87"/>
      <c r="EG615" s="87"/>
      <c r="EH615" s="87"/>
      <c r="EI615" s="100"/>
      <c r="EJ615" s="100"/>
      <c r="EK615" s="100"/>
      <c r="EL615" s="100"/>
      <c r="EM615" s="100"/>
      <c r="EN615" s="100"/>
      <c r="EO615" s="100"/>
      <c r="EP615" s="87"/>
      <c r="EQ615" s="87"/>
      <c r="ER615" s="87"/>
      <c r="ES615" s="87"/>
      <c r="ET615" s="87"/>
      <c r="EU615" s="87"/>
      <c r="EV615" s="87"/>
      <c r="EW615" s="87"/>
      <c r="EX615" s="87"/>
      <c r="EY615" s="87"/>
      <c r="EZ615" s="87"/>
      <c r="FA615" s="87"/>
      <c r="FB615" s="87"/>
      <c r="FC615" s="87"/>
      <c r="FD615" s="87"/>
      <c r="FE615" s="87"/>
      <c r="FF615" s="87"/>
      <c r="FG615" s="87"/>
      <c r="FH615" s="87"/>
      <c r="FI615" s="87"/>
      <c r="FJ615" s="87"/>
      <c r="FK615" s="87"/>
    </row>
    <row r="616" spans="1:167" hidden="1" outlineLevel="1">
      <c r="A616" s="31" t="str">
        <f t="shared" si="42"/>
        <v>lt002_insrmntnt_ln_lss_prvsn_off_blnc</v>
      </c>
      <c r="B616" s="76" t="s">
        <v>32</v>
      </c>
      <c r="C616" s="77" t="s">
        <v>32</v>
      </c>
      <c r="D616" s="73" t="s">
        <v>40</v>
      </c>
      <c r="E616" s="75" t="s">
        <v>439</v>
      </c>
      <c r="F616" s="73" t="s">
        <v>456</v>
      </c>
      <c r="G616" s="73" t="str">
        <f>INDEX(Auxiliar!$B$16:$B$23,MATCH(Plano_V1!H616,Auxiliar!$C$16:$C$23,0),1)</f>
        <v>2. Em Teste</v>
      </c>
      <c r="H616" s="73">
        <f>VLOOKUP(A616,'Aux - pivots1'!$A:$B,2,0)</f>
        <v>2</v>
      </c>
      <c r="I616" s="93">
        <f>SUMIFS(Table1[Estimação (horas)],Table1[Tabela],Plano_V1!E616,Table1[Campo],Plano_V1!F616)</f>
        <v>10.1</v>
      </c>
      <c r="J616" s="93">
        <f t="shared" si="41"/>
        <v>1.2625</v>
      </c>
      <c r="K616" s="98" t="s">
        <v>39</v>
      </c>
      <c r="L616" s="99">
        <f t="shared" si="40"/>
        <v>1.2625</v>
      </c>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c r="AM616" s="87"/>
      <c r="AN616" s="87"/>
      <c r="AO616" s="87"/>
      <c r="AP616" s="87"/>
      <c r="AQ616" s="87"/>
      <c r="AR616" s="87"/>
      <c r="AS616" s="87"/>
      <c r="AT616" s="100"/>
      <c r="AU616" s="87"/>
      <c r="AV616" s="87"/>
      <c r="AW616" s="87"/>
      <c r="AX616" s="87"/>
      <c r="AY616" s="87"/>
      <c r="AZ616" s="87"/>
      <c r="BA616" s="87"/>
      <c r="BB616" s="87"/>
      <c r="BC616" s="87"/>
      <c r="BD616" s="87"/>
      <c r="BE616" s="87"/>
      <c r="BF616" s="87"/>
      <c r="BG616" s="87"/>
      <c r="BH616" s="87"/>
      <c r="BI616" s="87"/>
      <c r="BJ616" s="87"/>
      <c r="BK616" s="87"/>
      <c r="BL616" s="87"/>
      <c r="BM616" s="87"/>
      <c r="BN616" s="87"/>
      <c r="BO616" s="87"/>
      <c r="BP616" s="87"/>
      <c r="BQ616" s="87"/>
      <c r="BR616" s="87"/>
      <c r="BS616" s="87"/>
      <c r="BT616" s="87"/>
      <c r="BU616" s="87"/>
      <c r="BV616" s="87"/>
      <c r="BW616" s="87"/>
      <c r="BX616" s="87"/>
      <c r="BY616" s="87"/>
      <c r="BZ616" s="87"/>
      <c r="CA616" s="87"/>
      <c r="CB616" s="87"/>
      <c r="CC616" s="87"/>
      <c r="CD616" s="87"/>
      <c r="CE616" s="87"/>
      <c r="CF616" s="87"/>
      <c r="CG616" s="87"/>
      <c r="CH616" s="87"/>
      <c r="CI616" s="87"/>
      <c r="CJ616" s="87"/>
      <c r="CK616" s="87"/>
      <c r="CL616" s="87"/>
      <c r="CM616" s="87"/>
      <c r="CN616" s="87"/>
      <c r="CO616" s="87"/>
      <c r="CP616" s="87"/>
      <c r="CQ616" s="87"/>
      <c r="CR616" s="87"/>
      <c r="CS616" s="87"/>
      <c r="CT616" s="87"/>
      <c r="CU616" s="87"/>
      <c r="CV616" s="87"/>
      <c r="CW616" s="87"/>
      <c r="CX616" s="87"/>
      <c r="CY616" s="87"/>
      <c r="CZ616" s="87"/>
      <c r="DA616" s="87"/>
      <c r="DB616" s="87"/>
      <c r="DC616" s="87"/>
      <c r="DD616" s="87"/>
      <c r="DE616" s="87"/>
      <c r="DF616" s="87"/>
      <c r="DG616" s="87"/>
      <c r="DH616" s="87"/>
      <c r="DI616" s="87"/>
      <c r="DJ616" s="87"/>
      <c r="DK616" s="87"/>
      <c r="DL616" s="87"/>
      <c r="DM616" s="87"/>
      <c r="DN616" s="87"/>
      <c r="DO616" s="87"/>
      <c r="DP616" s="87"/>
      <c r="DQ616" s="87"/>
      <c r="DR616" s="87"/>
      <c r="DS616" s="87"/>
      <c r="DT616" s="87"/>
      <c r="DU616" s="87"/>
      <c r="DV616" s="87"/>
      <c r="DW616" s="87"/>
      <c r="DX616" s="87"/>
      <c r="DY616" s="87"/>
      <c r="DZ616" s="87"/>
      <c r="EA616" s="87"/>
      <c r="EB616" s="87"/>
      <c r="EC616" s="87"/>
      <c r="ED616" s="87"/>
      <c r="EE616" s="87"/>
      <c r="EF616" s="87"/>
      <c r="EG616" s="87"/>
      <c r="EH616" s="87"/>
      <c r="EI616" s="100"/>
      <c r="EJ616" s="100"/>
      <c r="EK616" s="100"/>
      <c r="EL616" s="100"/>
      <c r="EM616" s="100"/>
      <c r="EN616" s="100"/>
      <c r="EO616" s="100"/>
      <c r="EP616" s="87"/>
      <c r="EQ616" s="87"/>
      <c r="ER616" s="87"/>
      <c r="ES616" s="87"/>
      <c r="ET616" s="87"/>
      <c r="EU616" s="87"/>
      <c r="EV616" s="87"/>
      <c r="EW616" s="87"/>
      <c r="EX616" s="87"/>
      <c r="EY616" s="87"/>
      <c r="EZ616" s="87"/>
      <c r="FA616" s="87"/>
      <c r="FB616" s="87"/>
      <c r="FC616" s="87"/>
      <c r="FD616" s="87"/>
      <c r="FE616" s="87"/>
      <c r="FF616" s="87"/>
      <c r="FG616" s="87"/>
      <c r="FH616" s="87"/>
      <c r="FI616" s="87"/>
      <c r="FJ616" s="87"/>
      <c r="FK616" s="87"/>
    </row>
    <row r="617" spans="1:167" hidden="1" outlineLevel="1">
      <c r="A617" s="31" t="str">
        <f t="shared" si="42"/>
        <v>lt002_insrmntavrg_blnc_off_blnc</v>
      </c>
      <c r="B617" s="76" t="s">
        <v>32</v>
      </c>
      <c r="C617" s="77" t="s">
        <v>32</v>
      </c>
      <c r="D617" s="73" t="s">
        <v>40</v>
      </c>
      <c r="E617" s="75" t="s">
        <v>439</v>
      </c>
      <c r="F617" s="73" t="s">
        <v>457</v>
      </c>
      <c r="G617" s="73" t="str">
        <f>INDEX(Auxiliar!$B$16:$B$23,MATCH(Plano_V1!H617,Auxiliar!$C$16:$C$23,0),1)</f>
        <v>2. Em Teste</v>
      </c>
      <c r="H617" s="73">
        <f>VLOOKUP(A617,'Aux - pivots1'!$A:$B,2,0)</f>
        <v>2</v>
      </c>
      <c r="I617" s="93">
        <f>SUMIFS(Table1[Estimação (horas)],Table1[Tabela],Plano_V1!E617,Table1[Campo],Plano_V1!F617)</f>
        <v>10.1</v>
      </c>
      <c r="J617" s="93">
        <f t="shared" si="41"/>
        <v>1.2625</v>
      </c>
      <c r="K617" s="98" t="s">
        <v>39</v>
      </c>
      <c r="L617" s="99">
        <f t="shared" si="40"/>
        <v>1.2625</v>
      </c>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c r="AM617" s="87"/>
      <c r="AN617" s="87"/>
      <c r="AO617" s="87"/>
      <c r="AP617" s="87"/>
      <c r="AQ617" s="87"/>
      <c r="AR617" s="87"/>
      <c r="AS617" s="87"/>
      <c r="AT617" s="100"/>
      <c r="AU617" s="87"/>
      <c r="AV617" s="87"/>
      <c r="AW617" s="87"/>
      <c r="AX617" s="87"/>
      <c r="AY617" s="87"/>
      <c r="AZ617" s="87"/>
      <c r="BA617" s="87"/>
      <c r="BB617" s="87"/>
      <c r="BC617" s="87"/>
      <c r="BD617" s="87"/>
      <c r="BE617" s="87"/>
      <c r="BF617" s="87"/>
      <c r="BG617" s="87"/>
      <c r="BH617" s="87"/>
      <c r="BI617" s="87"/>
      <c r="BJ617" s="87"/>
      <c r="BK617" s="87"/>
      <c r="BL617" s="87"/>
      <c r="BM617" s="87"/>
      <c r="BN617" s="87"/>
      <c r="BO617" s="87"/>
      <c r="BP617" s="87"/>
      <c r="BQ617" s="87"/>
      <c r="BR617" s="87"/>
      <c r="BS617" s="87"/>
      <c r="BT617" s="87"/>
      <c r="BU617" s="87"/>
      <c r="BV617" s="87"/>
      <c r="BW617" s="87"/>
      <c r="BX617" s="87"/>
      <c r="BY617" s="87"/>
      <c r="BZ617" s="87"/>
      <c r="CA617" s="87"/>
      <c r="CB617" s="87"/>
      <c r="CC617" s="87"/>
      <c r="CD617" s="87"/>
      <c r="CE617" s="87"/>
      <c r="CF617" s="87"/>
      <c r="CG617" s="87"/>
      <c r="CH617" s="87"/>
      <c r="CI617" s="87"/>
      <c r="CJ617" s="87"/>
      <c r="CK617" s="87"/>
      <c r="CL617" s="87"/>
      <c r="CM617" s="87"/>
      <c r="CN617" s="87"/>
      <c r="CO617" s="87"/>
      <c r="CP617" s="87"/>
      <c r="CQ617" s="87"/>
      <c r="CR617" s="87"/>
      <c r="CS617" s="87"/>
      <c r="CT617" s="87"/>
      <c r="CU617" s="87"/>
      <c r="CV617" s="87"/>
      <c r="CW617" s="87"/>
      <c r="CX617" s="87"/>
      <c r="CY617" s="87"/>
      <c r="CZ617" s="87"/>
      <c r="DA617" s="87"/>
      <c r="DB617" s="87"/>
      <c r="DC617" s="87"/>
      <c r="DD617" s="87"/>
      <c r="DE617" s="87"/>
      <c r="DF617" s="87"/>
      <c r="DG617" s="87"/>
      <c r="DH617" s="87"/>
      <c r="DI617" s="87"/>
      <c r="DJ617" s="87"/>
      <c r="DK617" s="87"/>
      <c r="DL617" s="87"/>
      <c r="DM617" s="87"/>
      <c r="DN617" s="87"/>
      <c r="DO617" s="87"/>
      <c r="DP617" s="87"/>
      <c r="DQ617" s="87"/>
      <c r="DR617" s="87"/>
      <c r="DS617" s="87"/>
      <c r="DT617" s="87"/>
      <c r="DU617" s="87"/>
      <c r="DV617" s="87"/>
      <c r="DW617" s="87"/>
      <c r="DX617" s="87"/>
      <c r="DY617" s="87"/>
      <c r="DZ617" s="87"/>
      <c r="EA617" s="87"/>
      <c r="EB617" s="87"/>
      <c r="EC617" s="87"/>
      <c r="ED617" s="87"/>
      <c r="EE617" s="87"/>
      <c r="EF617" s="87"/>
      <c r="EG617" s="87"/>
      <c r="EH617" s="87"/>
      <c r="EI617" s="100"/>
      <c r="EJ617" s="100"/>
      <c r="EK617" s="100"/>
      <c r="EL617" s="100"/>
      <c r="EM617" s="100"/>
      <c r="EN617" s="100"/>
      <c r="EO617" s="100"/>
      <c r="EP617" s="87"/>
      <c r="EQ617" s="87"/>
      <c r="ER617" s="87"/>
      <c r="ES617" s="87"/>
      <c r="ET617" s="87"/>
      <c r="EU617" s="87"/>
      <c r="EV617" s="87"/>
      <c r="EW617" s="87"/>
      <c r="EX617" s="87"/>
      <c r="EY617" s="87"/>
      <c r="EZ617" s="87"/>
      <c r="FA617" s="87"/>
      <c r="FB617" s="87"/>
      <c r="FC617" s="87"/>
      <c r="FD617" s="87"/>
      <c r="FE617" s="87"/>
      <c r="FF617" s="87"/>
      <c r="FG617" s="87"/>
      <c r="FH617" s="87"/>
      <c r="FI617" s="87"/>
      <c r="FJ617" s="87"/>
      <c r="FK617" s="87"/>
    </row>
    <row r="618" spans="1:167" hidden="1" outlineLevel="1">
      <c r="A618" s="31" t="str">
        <f t="shared" si="42"/>
        <v>lt002_insrmntbsnss_area_ccrr</v>
      </c>
      <c r="B618" s="76" t="s">
        <v>32</v>
      </c>
      <c r="C618" s="77" t="s">
        <v>32</v>
      </c>
      <c r="D618" s="73" t="s">
        <v>40</v>
      </c>
      <c r="E618" s="75" t="s">
        <v>439</v>
      </c>
      <c r="F618" s="73" t="s">
        <v>458</v>
      </c>
      <c r="G618" s="73" t="str">
        <f>INDEX(Auxiliar!$B$16:$B$23,MATCH(Plano_V1!H618,Auxiliar!$C$16:$C$23,0),1)</f>
        <v>2. Em Teste</v>
      </c>
      <c r="H618" s="73">
        <f>VLOOKUP(A618,'Aux - pivots1'!$A:$B,2,0)</f>
        <v>2</v>
      </c>
      <c r="I618" s="93">
        <f>SUMIFS(Table1[Estimação (horas)],Table1[Tabela],Plano_V1!E618,Table1[Campo],Plano_V1!F618)</f>
        <v>0.1</v>
      </c>
      <c r="J618" s="93">
        <f t="shared" si="41"/>
        <v>1.2500000000000001E-2</v>
      </c>
      <c r="K618" s="98" t="s">
        <v>39</v>
      </c>
      <c r="L618" s="99">
        <f t="shared" si="40"/>
        <v>1.2500000000000001E-2</v>
      </c>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c r="AM618" s="87"/>
      <c r="AN618" s="87"/>
      <c r="AO618" s="87"/>
      <c r="AP618" s="87"/>
      <c r="AQ618" s="87"/>
      <c r="AR618" s="87"/>
      <c r="AS618" s="87"/>
      <c r="AT618" s="100"/>
      <c r="AU618" s="87"/>
      <c r="AV618" s="87"/>
      <c r="AW618" s="87"/>
      <c r="AX618" s="87"/>
      <c r="AY618" s="87"/>
      <c r="AZ618" s="87"/>
      <c r="BA618" s="87"/>
      <c r="BB618" s="87"/>
      <c r="BC618" s="87"/>
      <c r="BD618" s="87"/>
      <c r="BE618" s="87"/>
      <c r="BF618" s="87"/>
      <c r="BG618" s="87"/>
      <c r="BH618" s="87"/>
      <c r="BI618" s="87"/>
      <c r="BJ618" s="87"/>
      <c r="BK618" s="87"/>
      <c r="BL618" s="87"/>
      <c r="BM618" s="87"/>
      <c r="BN618" s="87"/>
      <c r="BO618" s="87"/>
      <c r="BP618" s="87"/>
      <c r="BQ618" s="87"/>
      <c r="BR618" s="87"/>
      <c r="BS618" s="87"/>
      <c r="BT618" s="87"/>
      <c r="BU618" s="87"/>
      <c r="BV618" s="87"/>
      <c r="BW618" s="87"/>
      <c r="BX618" s="87"/>
      <c r="BY618" s="87"/>
      <c r="BZ618" s="87"/>
      <c r="CA618" s="87"/>
      <c r="CB618" s="87"/>
      <c r="CC618" s="87"/>
      <c r="CD618" s="87"/>
      <c r="CE618" s="87"/>
      <c r="CF618" s="87"/>
      <c r="CG618" s="87"/>
      <c r="CH618" s="87"/>
      <c r="CI618" s="87"/>
      <c r="CJ618" s="87"/>
      <c r="CK618" s="87"/>
      <c r="CL618" s="87"/>
      <c r="CM618" s="87"/>
      <c r="CN618" s="87"/>
      <c r="CO618" s="87"/>
      <c r="CP618" s="87"/>
      <c r="CQ618" s="87"/>
      <c r="CR618" s="87"/>
      <c r="CS618" s="87"/>
      <c r="CT618" s="87"/>
      <c r="CU618" s="87"/>
      <c r="CV618" s="87"/>
      <c r="CW618" s="87"/>
      <c r="CX618" s="87"/>
      <c r="CY618" s="87"/>
      <c r="CZ618" s="87"/>
      <c r="DA618" s="87"/>
      <c r="DB618" s="87"/>
      <c r="DC618" s="87"/>
      <c r="DD618" s="87"/>
      <c r="DE618" s="87"/>
      <c r="DF618" s="87"/>
      <c r="DG618" s="87"/>
      <c r="DH618" s="87"/>
      <c r="DI618" s="87"/>
      <c r="DJ618" s="87"/>
      <c r="DK618" s="87"/>
      <c r="DL618" s="87"/>
      <c r="DM618" s="87"/>
      <c r="DN618" s="87"/>
      <c r="DO618" s="87"/>
      <c r="DP618" s="87"/>
      <c r="DQ618" s="87"/>
      <c r="DR618" s="87"/>
      <c r="DS618" s="87"/>
      <c r="DT618" s="87"/>
      <c r="DU618" s="87"/>
      <c r="DV618" s="87"/>
      <c r="DW618" s="87"/>
      <c r="DX618" s="87"/>
      <c r="DY618" s="87"/>
      <c r="DZ618" s="87"/>
      <c r="EA618" s="87"/>
      <c r="EB618" s="87"/>
      <c r="EC618" s="87"/>
      <c r="ED618" s="87"/>
      <c r="EE618" s="87"/>
      <c r="EF618" s="87"/>
      <c r="EG618" s="87"/>
      <c r="EH618" s="87"/>
      <c r="EI618" s="100"/>
      <c r="EJ618" s="100"/>
      <c r="EK618" s="100"/>
      <c r="EL618" s="100"/>
      <c r="EM618" s="100"/>
      <c r="EN618" s="100"/>
      <c r="EO618" s="100"/>
      <c r="EP618" s="87"/>
      <c r="EQ618" s="87"/>
      <c r="ER618" s="87"/>
      <c r="ES618" s="87"/>
      <c r="ET618" s="87"/>
      <c r="EU618" s="87"/>
      <c r="EV618" s="87"/>
      <c r="EW618" s="87"/>
      <c r="EX618" s="87"/>
      <c r="EY618" s="87"/>
      <c r="EZ618" s="87"/>
      <c r="FA618" s="87"/>
      <c r="FB618" s="87"/>
      <c r="FC618" s="87"/>
      <c r="FD618" s="87"/>
      <c r="FE618" s="87"/>
      <c r="FF618" s="87"/>
      <c r="FG618" s="87"/>
      <c r="FH618" s="87"/>
      <c r="FI618" s="87"/>
      <c r="FJ618" s="87"/>
      <c r="FK618" s="87"/>
    </row>
    <row r="619" spans="1:167" hidden="1" outlineLevel="1">
      <c r="A619" s="31" t="str">
        <f t="shared" si="42"/>
        <v>lt002_insrmntgrss_cmmssn_incm_off_blnc</v>
      </c>
      <c r="B619" s="76" t="s">
        <v>32</v>
      </c>
      <c r="C619" s="77" t="s">
        <v>32</v>
      </c>
      <c r="D619" s="73" t="s">
        <v>40</v>
      </c>
      <c r="E619" s="75" t="s">
        <v>439</v>
      </c>
      <c r="F619" s="78" t="s">
        <v>410</v>
      </c>
      <c r="G619" s="73" t="str">
        <f>INDEX(Auxiliar!$B$16:$B$23,MATCH(Plano_V1!H619,Auxiliar!$C$16:$C$23,0),1)</f>
        <v>2. Em Teste</v>
      </c>
      <c r="H619" s="73">
        <f>VLOOKUP(A619,'Aux - pivots1'!$A:$B,2,0)</f>
        <v>2</v>
      </c>
      <c r="I619" s="93">
        <f>SUMIFS(Table1[Estimação (horas)],Table1[Tabela],Plano_V1!E619,Table1[Campo],Plano_V1!F619)</f>
        <v>15.1</v>
      </c>
      <c r="J619" s="93">
        <f t="shared" si="41"/>
        <v>1.8875</v>
      </c>
      <c r="K619" s="98" t="s">
        <v>39</v>
      </c>
      <c r="L619" s="99">
        <f t="shared" si="40"/>
        <v>1.8875</v>
      </c>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c r="AM619" s="87"/>
      <c r="AN619" s="87"/>
      <c r="AO619" s="87"/>
      <c r="AP619" s="87"/>
      <c r="AQ619" s="87"/>
      <c r="AR619" s="87"/>
      <c r="AS619" s="87"/>
      <c r="AT619" s="100"/>
      <c r="AU619" s="87"/>
      <c r="AV619" s="87"/>
      <c r="AW619" s="87"/>
      <c r="AX619" s="87"/>
      <c r="AY619" s="87"/>
      <c r="AZ619" s="87"/>
      <c r="BA619" s="87"/>
      <c r="BB619" s="87"/>
      <c r="BC619" s="87"/>
      <c r="BD619" s="87"/>
      <c r="BE619" s="87"/>
      <c r="BF619" s="87"/>
      <c r="BG619" s="87"/>
      <c r="BH619" s="87"/>
      <c r="BI619" s="87"/>
      <c r="BJ619" s="87"/>
      <c r="BK619" s="87"/>
      <c r="BL619" s="87"/>
      <c r="BM619" s="87"/>
      <c r="BN619" s="87"/>
      <c r="BO619" s="87"/>
      <c r="BP619" s="87"/>
      <c r="BQ619" s="87"/>
      <c r="BR619" s="87"/>
      <c r="BS619" s="87"/>
      <c r="BT619" s="87"/>
      <c r="BU619" s="87"/>
      <c r="BV619" s="87"/>
      <c r="BW619" s="87"/>
      <c r="BX619" s="87"/>
      <c r="BY619" s="87"/>
      <c r="BZ619" s="87"/>
      <c r="CA619" s="87"/>
      <c r="CB619" s="87"/>
      <c r="CC619" s="87"/>
      <c r="CD619" s="87"/>
      <c r="CE619" s="87"/>
      <c r="CF619" s="87"/>
      <c r="CG619" s="87"/>
      <c r="CH619" s="87"/>
      <c r="CI619" s="87"/>
      <c r="CJ619" s="87"/>
      <c r="CK619" s="87"/>
      <c r="CL619" s="87"/>
      <c r="CM619" s="87"/>
      <c r="CN619" s="87"/>
      <c r="CO619" s="87"/>
      <c r="CP619" s="87"/>
      <c r="CQ619" s="87"/>
      <c r="CR619" s="87"/>
      <c r="CS619" s="87"/>
      <c r="CT619" s="87"/>
      <c r="CU619" s="87"/>
      <c r="CV619" s="87"/>
      <c r="CW619" s="87"/>
      <c r="CX619" s="87"/>
      <c r="CY619" s="87"/>
      <c r="CZ619" s="87"/>
      <c r="DA619" s="87"/>
      <c r="DB619" s="87"/>
      <c r="DC619" s="87"/>
      <c r="DD619" s="87"/>
      <c r="DE619" s="87"/>
      <c r="DF619" s="87"/>
      <c r="DG619" s="87"/>
      <c r="DH619" s="87"/>
      <c r="DI619" s="87"/>
      <c r="DJ619" s="87"/>
      <c r="DK619" s="87"/>
      <c r="DL619" s="87"/>
      <c r="DM619" s="87"/>
      <c r="DN619" s="87"/>
      <c r="DO619" s="87"/>
      <c r="DP619" s="87"/>
      <c r="DQ619" s="87"/>
      <c r="DR619" s="87"/>
      <c r="DS619" s="87"/>
      <c r="DT619" s="87"/>
      <c r="DU619" s="87"/>
      <c r="DV619" s="87"/>
      <c r="DW619" s="87"/>
      <c r="DX619" s="87"/>
      <c r="DY619" s="87"/>
      <c r="DZ619" s="87"/>
      <c r="EA619" s="87"/>
      <c r="EB619" s="87"/>
      <c r="EC619" s="87"/>
      <c r="ED619" s="87"/>
      <c r="EE619" s="87"/>
      <c r="EF619" s="87"/>
      <c r="EG619" s="87"/>
      <c r="EH619" s="87"/>
      <c r="EI619" s="100"/>
      <c r="EJ619" s="100"/>
      <c r="EK619" s="100"/>
      <c r="EL619" s="100"/>
      <c r="EM619" s="100"/>
      <c r="EN619" s="100"/>
      <c r="EO619" s="100"/>
      <c r="EP619" s="87"/>
      <c r="EQ619" s="87"/>
      <c r="ER619" s="87"/>
      <c r="ES619" s="87"/>
      <c r="ET619" s="87"/>
      <c r="EU619" s="87"/>
      <c r="EV619" s="87"/>
      <c r="EW619" s="87"/>
      <c r="EX619" s="87"/>
      <c r="EY619" s="87"/>
      <c r="EZ619" s="87"/>
      <c r="FA619" s="87"/>
      <c r="FB619" s="87"/>
      <c r="FC619" s="87"/>
      <c r="FD619" s="87"/>
      <c r="FE619" s="87"/>
      <c r="FF619" s="87"/>
      <c r="FG619" s="87"/>
      <c r="FH619" s="87"/>
      <c r="FI619" s="87"/>
      <c r="FJ619" s="87"/>
      <c r="FK619" s="87"/>
    </row>
    <row r="620" spans="1:167" hidden="1" outlineLevel="1">
      <c r="A620" s="31" t="str">
        <f t="shared" si="42"/>
        <v>lt002_insrmntgrss_cmmssn_expns_off_blnc_ccrr</v>
      </c>
      <c r="B620" s="76" t="s">
        <v>32</v>
      </c>
      <c r="C620" s="77" t="s">
        <v>32</v>
      </c>
      <c r="D620" s="73" t="s">
        <v>40</v>
      </c>
      <c r="E620" s="75" t="s">
        <v>439</v>
      </c>
      <c r="F620" s="73" t="s">
        <v>459</v>
      </c>
      <c r="G620" s="73" t="str">
        <f>INDEX(Auxiliar!$B$16:$B$23,MATCH(Plano_V1!H620,Auxiliar!$C$16:$C$23,0),1)</f>
        <v>2. Em Teste</v>
      </c>
      <c r="H620" s="73">
        <f>VLOOKUP(A620,'Aux - pivots1'!$A:$B,2,0)</f>
        <v>2</v>
      </c>
      <c r="I620" s="93">
        <f>SUMIFS(Table1[Estimação (horas)],Table1[Tabela],Plano_V1!E620,Table1[Campo],Plano_V1!F620)</f>
        <v>0.1</v>
      </c>
      <c r="J620" s="93">
        <f t="shared" si="41"/>
        <v>1.2500000000000001E-2</v>
      </c>
      <c r="K620" s="98" t="s">
        <v>39</v>
      </c>
      <c r="L620" s="99">
        <f t="shared" si="40"/>
        <v>1.2500000000000001E-2</v>
      </c>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c r="AM620" s="87"/>
      <c r="AN620" s="87"/>
      <c r="AO620" s="87"/>
      <c r="AP620" s="87"/>
      <c r="AQ620" s="87"/>
      <c r="AR620" s="87"/>
      <c r="AS620" s="87"/>
      <c r="AT620" s="100"/>
      <c r="AU620" s="87"/>
      <c r="AV620" s="87"/>
      <c r="AW620" s="87"/>
      <c r="AX620" s="87"/>
      <c r="AY620" s="87"/>
      <c r="AZ620" s="87"/>
      <c r="BA620" s="87"/>
      <c r="BB620" s="87"/>
      <c r="BC620" s="87"/>
      <c r="BD620" s="87"/>
      <c r="BE620" s="87"/>
      <c r="BF620" s="87"/>
      <c r="BG620" s="87"/>
      <c r="BH620" s="87"/>
      <c r="BI620" s="87"/>
      <c r="BJ620" s="87"/>
      <c r="BK620" s="87"/>
      <c r="BL620" s="87"/>
      <c r="BM620" s="87"/>
      <c r="BN620" s="87"/>
      <c r="BO620" s="87"/>
      <c r="BP620" s="87"/>
      <c r="BQ620" s="87"/>
      <c r="BR620" s="87"/>
      <c r="BS620" s="87"/>
      <c r="BT620" s="87"/>
      <c r="BU620" s="87"/>
      <c r="BV620" s="87"/>
      <c r="BW620" s="87"/>
      <c r="BX620" s="87"/>
      <c r="BY620" s="87"/>
      <c r="BZ620" s="87"/>
      <c r="CA620" s="87"/>
      <c r="CB620" s="87"/>
      <c r="CC620" s="87"/>
      <c r="CD620" s="87"/>
      <c r="CE620" s="87"/>
      <c r="CF620" s="87"/>
      <c r="CG620" s="87"/>
      <c r="CH620" s="87"/>
      <c r="CI620" s="87"/>
      <c r="CJ620" s="87"/>
      <c r="CK620" s="87"/>
      <c r="CL620" s="87"/>
      <c r="CM620" s="87"/>
      <c r="CN620" s="87"/>
      <c r="CO620" s="87"/>
      <c r="CP620" s="87"/>
      <c r="CQ620" s="87"/>
      <c r="CR620" s="87"/>
      <c r="CS620" s="87"/>
      <c r="CT620" s="87"/>
      <c r="CU620" s="87"/>
      <c r="CV620" s="87"/>
      <c r="CW620" s="87"/>
      <c r="CX620" s="87"/>
      <c r="CY620" s="87"/>
      <c r="CZ620" s="87"/>
      <c r="DA620" s="87"/>
      <c r="DB620" s="87"/>
      <c r="DC620" s="87"/>
      <c r="DD620" s="87"/>
      <c r="DE620" s="87"/>
      <c r="DF620" s="87"/>
      <c r="DG620" s="87"/>
      <c r="DH620" s="87"/>
      <c r="DI620" s="87"/>
      <c r="DJ620" s="87"/>
      <c r="DK620" s="87"/>
      <c r="DL620" s="87"/>
      <c r="DM620" s="87"/>
      <c r="DN620" s="87"/>
      <c r="DO620" s="87"/>
      <c r="DP620" s="87"/>
      <c r="DQ620" s="87"/>
      <c r="DR620" s="87"/>
      <c r="DS620" s="87"/>
      <c r="DT620" s="87"/>
      <c r="DU620" s="87"/>
      <c r="DV620" s="87"/>
      <c r="DW620" s="87"/>
      <c r="DX620" s="87"/>
      <c r="DY620" s="87"/>
      <c r="DZ620" s="87"/>
      <c r="EA620" s="87"/>
      <c r="EB620" s="87"/>
      <c r="EC620" s="87"/>
      <c r="ED620" s="87"/>
      <c r="EE620" s="87"/>
      <c r="EF620" s="87"/>
      <c r="EG620" s="87"/>
      <c r="EH620" s="87"/>
      <c r="EI620" s="100"/>
      <c r="EJ620" s="100"/>
      <c r="EK620" s="100"/>
      <c r="EL620" s="100"/>
      <c r="EM620" s="100"/>
      <c r="EN620" s="100"/>
      <c r="EO620" s="100"/>
      <c r="EP620" s="87"/>
      <c r="EQ620" s="87"/>
      <c r="ER620" s="87"/>
      <c r="ES620" s="87"/>
      <c r="ET620" s="87"/>
      <c r="EU620" s="87"/>
      <c r="EV620" s="87"/>
      <c r="EW620" s="87"/>
      <c r="EX620" s="87"/>
      <c r="EY620" s="87"/>
      <c r="EZ620" s="87"/>
      <c r="FA620" s="87"/>
      <c r="FB620" s="87"/>
      <c r="FC620" s="87"/>
      <c r="FD620" s="87"/>
      <c r="FE620" s="87"/>
      <c r="FF620" s="87"/>
      <c r="FG620" s="87"/>
      <c r="FH620" s="87"/>
      <c r="FI620" s="87"/>
      <c r="FJ620" s="87"/>
      <c r="FK620" s="87"/>
    </row>
    <row r="621" spans="1:167" hidden="1" outlineLevel="1">
      <c r="A621" s="31" t="str">
        <f t="shared" si="42"/>
        <v>lt002_insrmntgrss_cmmssn_expns_off_blnc</v>
      </c>
      <c r="B621" s="76" t="s">
        <v>32</v>
      </c>
      <c r="C621" s="77" t="s">
        <v>32</v>
      </c>
      <c r="D621" s="73" t="s">
        <v>40</v>
      </c>
      <c r="E621" s="75" t="s">
        <v>439</v>
      </c>
      <c r="F621" s="73" t="s">
        <v>460</v>
      </c>
      <c r="G621" s="73" t="str">
        <f>INDEX(Auxiliar!$B$16:$B$23,MATCH(Plano_V1!H621,Auxiliar!$C$16:$C$23,0),1)</f>
        <v>2. Em Teste</v>
      </c>
      <c r="H621" s="73">
        <f>VLOOKUP(A621,'Aux - pivots1'!$A:$B,2,0)</f>
        <v>2</v>
      </c>
      <c r="I621" s="93">
        <f>SUMIFS(Table1[Estimação (horas)],Table1[Tabela],Plano_V1!E621,Table1[Campo],Plano_V1!F621)</f>
        <v>15.1</v>
      </c>
      <c r="J621" s="93">
        <f t="shared" si="41"/>
        <v>1.8875</v>
      </c>
      <c r="K621" s="98" t="s">
        <v>39</v>
      </c>
      <c r="L621" s="99">
        <f t="shared" si="40"/>
        <v>1.8875</v>
      </c>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c r="AM621" s="87"/>
      <c r="AN621" s="87"/>
      <c r="AO621" s="87"/>
      <c r="AP621" s="87"/>
      <c r="AQ621" s="87"/>
      <c r="AR621" s="87"/>
      <c r="AS621" s="87"/>
      <c r="AT621" s="100"/>
      <c r="AU621" s="87"/>
      <c r="AV621" s="87"/>
      <c r="AW621" s="87"/>
      <c r="AX621" s="87"/>
      <c r="AY621" s="87"/>
      <c r="AZ621" s="87"/>
      <c r="BA621" s="87"/>
      <c r="BB621" s="87"/>
      <c r="BC621" s="87"/>
      <c r="BD621" s="87"/>
      <c r="BE621" s="87"/>
      <c r="BF621" s="87"/>
      <c r="BG621" s="87"/>
      <c r="BH621" s="87"/>
      <c r="BI621" s="87"/>
      <c r="BJ621" s="87"/>
      <c r="BK621" s="87"/>
      <c r="BL621" s="87"/>
      <c r="BM621" s="87"/>
      <c r="BN621" s="87"/>
      <c r="BO621" s="87"/>
      <c r="BP621" s="87"/>
      <c r="BQ621" s="87"/>
      <c r="BR621" s="87"/>
      <c r="BS621" s="87"/>
      <c r="BT621" s="87"/>
      <c r="BU621" s="87"/>
      <c r="BV621" s="87"/>
      <c r="BW621" s="87"/>
      <c r="BX621" s="87"/>
      <c r="BY621" s="87"/>
      <c r="BZ621" s="87"/>
      <c r="CA621" s="87"/>
      <c r="CB621" s="87"/>
      <c r="CC621" s="87"/>
      <c r="CD621" s="87"/>
      <c r="CE621" s="87"/>
      <c r="CF621" s="87"/>
      <c r="CG621" s="87"/>
      <c r="CH621" s="87"/>
      <c r="CI621" s="87"/>
      <c r="CJ621" s="87"/>
      <c r="CK621" s="87"/>
      <c r="CL621" s="87"/>
      <c r="CM621" s="87"/>
      <c r="CN621" s="87"/>
      <c r="CO621" s="87"/>
      <c r="CP621" s="87"/>
      <c r="CQ621" s="87"/>
      <c r="CR621" s="87"/>
      <c r="CS621" s="87"/>
      <c r="CT621" s="87"/>
      <c r="CU621" s="87"/>
      <c r="CV621" s="87"/>
      <c r="CW621" s="87"/>
      <c r="CX621" s="87"/>
      <c r="CY621" s="87"/>
      <c r="CZ621" s="87"/>
      <c r="DA621" s="87"/>
      <c r="DB621" s="87"/>
      <c r="DC621" s="87"/>
      <c r="DD621" s="87"/>
      <c r="DE621" s="87"/>
      <c r="DF621" s="87"/>
      <c r="DG621" s="87"/>
      <c r="DH621" s="87"/>
      <c r="DI621" s="87"/>
      <c r="DJ621" s="87"/>
      <c r="DK621" s="87"/>
      <c r="DL621" s="87"/>
      <c r="DM621" s="87"/>
      <c r="DN621" s="87"/>
      <c r="DO621" s="87"/>
      <c r="DP621" s="87"/>
      <c r="DQ621" s="87"/>
      <c r="DR621" s="87"/>
      <c r="DS621" s="87"/>
      <c r="DT621" s="87"/>
      <c r="DU621" s="87"/>
      <c r="DV621" s="87"/>
      <c r="DW621" s="87"/>
      <c r="DX621" s="87"/>
      <c r="DY621" s="87"/>
      <c r="DZ621" s="87"/>
      <c r="EA621" s="87"/>
      <c r="EB621" s="87"/>
      <c r="EC621" s="87"/>
      <c r="ED621" s="87"/>
      <c r="EE621" s="87"/>
      <c r="EF621" s="87"/>
      <c r="EG621" s="87"/>
      <c r="EH621" s="87"/>
      <c r="EI621" s="100"/>
      <c r="EJ621" s="100"/>
      <c r="EK621" s="100"/>
      <c r="EL621" s="100"/>
      <c r="EM621" s="100"/>
      <c r="EN621" s="100"/>
      <c r="EO621" s="100"/>
      <c r="EP621" s="87"/>
      <c r="EQ621" s="87"/>
      <c r="ER621" s="87"/>
      <c r="ES621" s="87"/>
      <c r="ET621" s="87"/>
      <c r="EU621" s="87"/>
      <c r="EV621" s="87"/>
      <c r="EW621" s="87"/>
      <c r="EX621" s="87"/>
      <c r="EY621" s="87"/>
      <c r="EZ621" s="87"/>
      <c r="FA621" s="87"/>
      <c r="FB621" s="87"/>
      <c r="FC621" s="87"/>
      <c r="FD621" s="87"/>
      <c r="FE621" s="87"/>
      <c r="FF621" s="87"/>
      <c r="FG621" s="87"/>
      <c r="FH621" s="87"/>
      <c r="FI621" s="87"/>
      <c r="FJ621" s="87"/>
      <c r="FK621" s="87"/>
    </row>
    <row r="622" spans="1:167" hidden="1" outlineLevel="1">
      <c r="A622" s="31" t="str">
        <f t="shared" si="42"/>
        <v>lt002_insrmntgrss_cmmssn_incm_off_blnc_ccrr</v>
      </c>
      <c r="B622" s="76" t="s">
        <v>32</v>
      </c>
      <c r="C622" s="77" t="s">
        <v>32</v>
      </c>
      <c r="D622" s="73" t="s">
        <v>40</v>
      </c>
      <c r="E622" s="75" t="s">
        <v>439</v>
      </c>
      <c r="F622" s="73" t="s">
        <v>461</v>
      </c>
      <c r="G622" s="73" t="str">
        <f>INDEX(Auxiliar!$B$16:$B$23,MATCH(Plano_V1!H622,Auxiliar!$C$16:$C$23,0),1)</f>
        <v>2. Em Teste</v>
      </c>
      <c r="H622" s="73">
        <f>VLOOKUP(A622,'Aux - pivots1'!$A:$B,2,0)</f>
        <v>2</v>
      </c>
      <c r="I622" s="93">
        <f>SUMIFS(Table1[Estimação (horas)],Table1[Tabela],Plano_V1!E622,Table1[Campo],Plano_V1!F622)</f>
        <v>0.1</v>
      </c>
      <c r="J622" s="93">
        <f t="shared" si="41"/>
        <v>1.2500000000000001E-2</v>
      </c>
      <c r="K622" s="98" t="s">
        <v>39</v>
      </c>
      <c r="L622" s="99">
        <f t="shared" si="40"/>
        <v>1.2500000000000001E-2</v>
      </c>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c r="AM622" s="87"/>
      <c r="AN622" s="87"/>
      <c r="AO622" s="87"/>
      <c r="AP622" s="87"/>
      <c r="AQ622" s="87"/>
      <c r="AR622" s="87"/>
      <c r="AS622" s="87"/>
      <c r="AT622" s="100"/>
      <c r="AU622" s="87"/>
      <c r="AV622" s="87"/>
      <c r="AW622" s="87"/>
      <c r="AX622" s="87"/>
      <c r="AY622" s="87"/>
      <c r="AZ622" s="87"/>
      <c r="BA622" s="87"/>
      <c r="BB622" s="87"/>
      <c r="BC622" s="87"/>
      <c r="BD622" s="87"/>
      <c r="BE622" s="87"/>
      <c r="BF622" s="87"/>
      <c r="BG622" s="87"/>
      <c r="BH622" s="87"/>
      <c r="BI622" s="87"/>
      <c r="BJ622" s="87"/>
      <c r="BK622" s="87"/>
      <c r="BL622" s="87"/>
      <c r="BM622" s="87"/>
      <c r="BN622" s="87"/>
      <c r="BO622" s="87"/>
      <c r="BP622" s="87"/>
      <c r="BQ622" s="87"/>
      <c r="BR622" s="87"/>
      <c r="BS622" s="87"/>
      <c r="BT622" s="87"/>
      <c r="BU622" s="87"/>
      <c r="BV622" s="87"/>
      <c r="BW622" s="87"/>
      <c r="BX622" s="87"/>
      <c r="BY622" s="87"/>
      <c r="BZ622" s="87"/>
      <c r="CA622" s="87"/>
      <c r="CB622" s="87"/>
      <c r="CC622" s="87"/>
      <c r="CD622" s="87"/>
      <c r="CE622" s="87"/>
      <c r="CF622" s="87"/>
      <c r="CG622" s="87"/>
      <c r="CH622" s="87"/>
      <c r="CI622" s="87"/>
      <c r="CJ622" s="87"/>
      <c r="CK622" s="87"/>
      <c r="CL622" s="87"/>
      <c r="CM622" s="87"/>
      <c r="CN622" s="87"/>
      <c r="CO622" s="87"/>
      <c r="CP622" s="87"/>
      <c r="CQ622" s="87"/>
      <c r="CR622" s="87"/>
      <c r="CS622" s="87"/>
      <c r="CT622" s="87"/>
      <c r="CU622" s="87"/>
      <c r="CV622" s="87"/>
      <c r="CW622" s="87"/>
      <c r="CX622" s="87"/>
      <c r="CY622" s="87"/>
      <c r="CZ622" s="87"/>
      <c r="DA622" s="87"/>
      <c r="DB622" s="87"/>
      <c r="DC622" s="87"/>
      <c r="DD622" s="87"/>
      <c r="DE622" s="87"/>
      <c r="DF622" s="87"/>
      <c r="DG622" s="87"/>
      <c r="DH622" s="87"/>
      <c r="DI622" s="87"/>
      <c r="DJ622" s="87"/>
      <c r="DK622" s="87"/>
      <c r="DL622" s="87"/>
      <c r="DM622" s="87"/>
      <c r="DN622" s="87"/>
      <c r="DO622" s="87"/>
      <c r="DP622" s="87"/>
      <c r="DQ622" s="87"/>
      <c r="DR622" s="87"/>
      <c r="DS622" s="87"/>
      <c r="DT622" s="87"/>
      <c r="DU622" s="87"/>
      <c r="DV622" s="87"/>
      <c r="DW622" s="87"/>
      <c r="DX622" s="87"/>
      <c r="DY622" s="87"/>
      <c r="DZ622" s="87"/>
      <c r="EA622" s="87"/>
      <c r="EB622" s="87"/>
      <c r="EC622" s="87"/>
      <c r="ED622" s="87"/>
      <c r="EE622" s="87"/>
      <c r="EF622" s="87"/>
      <c r="EG622" s="87"/>
      <c r="EH622" s="87"/>
      <c r="EI622" s="100"/>
      <c r="EJ622" s="100"/>
      <c r="EK622" s="100"/>
      <c r="EL622" s="100"/>
      <c r="EM622" s="100"/>
      <c r="EN622" s="100"/>
      <c r="EO622" s="100"/>
      <c r="EP622" s="87"/>
      <c r="EQ622" s="87"/>
      <c r="ER622" s="87"/>
      <c r="ES622" s="87"/>
      <c r="ET622" s="87"/>
      <c r="EU622" s="87"/>
      <c r="EV622" s="87"/>
      <c r="EW622" s="87"/>
      <c r="EX622" s="87"/>
      <c r="EY622" s="87"/>
      <c r="EZ622" s="87"/>
      <c r="FA622" s="87"/>
      <c r="FB622" s="87"/>
      <c r="FC622" s="87"/>
      <c r="FD622" s="87"/>
      <c r="FE622" s="87"/>
      <c r="FF622" s="87"/>
      <c r="FG622" s="87"/>
      <c r="FH622" s="87"/>
      <c r="FI622" s="87"/>
      <c r="FJ622" s="87"/>
      <c r="FK622" s="87"/>
    </row>
    <row r="623" spans="1:167" hidden="1" outlineLevel="1">
      <c r="A623" s="31" t="str">
        <f t="shared" si="42"/>
        <v>lt002_insrmntgrss_intrst_incm</v>
      </c>
      <c r="B623" s="76" t="s">
        <v>32</v>
      </c>
      <c r="C623" s="77" t="s">
        <v>32</v>
      </c>
      <c r="D623" s="73" t="s">
        <v>40</v>
      </c>
      <c r="E623" s="75" t="s">
        <v>439</v>
      </c>
      <c r="F623" s="82" t="s">
        <v>408</v>
      </c>
      <c r="G623" s="73" t="str">
        <f>INDEX(Auxiliar!$B$16:$B$23,MATCH(Plano_V1!H623,Auxiliar!$C$16:$C$23,0),1)</f>
        <v>2. Em Teste</v>
      </c>
      <c r="H623" s="73">
        <f>VLOOKUP(A623,'Aux - pivots1'!$A:$B,2,0)</f>
        <v>2</v>
      </c>
      <c r="I623" s="93">
        <f>SUMIFS(Table1[Estimação (horas)],Table1[Tabela],Plano_V1!E623,Table1[Campo],Plano_V1!F623)</f>
        <v>15.1</v>
      </c>
      <c r="J623" s="93">
        <f t="shared" si="41"/>
        <v>1.8875</v>
      </c>
      <c r="K623" s="98" t="s">
        <v>39</v>
      </c>
      <c r="L623" s="99">
        <f t="shared" si="40"/>
        <v>1.8875</v>
      </c>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c r="AM623" s="87"/>
      <c r="AN623" s="87"/>
      <c r="AO623" s="87"/>
      <c r="AP623" s="87"/>
      <c r="AQ623" s="87"/>
      <c r="AR623" s="87"/>
      <c r="AS623" s="87"/>
      <c r="AT623" s="100"/>
      <c r="AU623" s="87"/>
      <c r="AV623" s="87"/>
      <c r="AW623" s="87"/>
      <c r="AX623" s="87"/>
      <c r="AY623" s="87"/>
      <c r="AZ623" s="87"/>
      <c r="BA623" s="87"/>
      <c r="BB623" s="87"/>
      <c r="BC623" s="87"/>
      <c r="BD623" s="87"/>
      <c r="BE623" s="87"/>
      <c r="BF623" s="87"/>
      <c r="BG623" s="87"/>
      <c r="BH623" s="87"/>
      <c r="BI623" s="87"/>
      <c r="BJ623" s="87"/>
      <c r="BK623" s="87"/>
      <c r="BL623" s="87"/>
      <c r="BM623" s="87"/>
      <c r="BN623" s="87"/>
      <c r="BO623" s="87"/>
      <c r="BP623" s="87"/>
      <c r="BQ623" s="87"/>
      <c r="BR623" s="87"/>
      <c r="BS623" s="87"/>
      <c r="BT623" s="87"/>
      <c r="BU623" s="87"/>
      <c r="BV623" s="87"/>
      <c r="BW623" s="87"/>
      <c r="BX623" s="87"/>
      <c r="BY623" s="87"/>
      <c r="BZ623" s="87"/>
      <c r="CA623" s="87"/>
      <c r="CB623" s="87"/>
      <c r="CC623" s="87"/>
      <c r="CD623" s="87"/>
      <c r="CE623" s="87"/>
      <c r="CF623" s="87"/>
      <c r="CG623" s="87"/>
      <c r="CH623" s="87"/>
      <c r="CI623" s="87"/>
      <c r="CJ623" s="87"/>
      <c r="CK623" s="87"/>
      <c r="CL623" s="87"/>
      <c r="CM623" s="87"/>
      <c r="CN623" s="87"/>
      <c r="CO623" s="87"/>
      <c r="CP623" s="87"/>
      <c r="CQ623" s="87"/>
      <c r="CR623" s="87"/>
      <c r="CS623" s="87"/>
      <c r="CT623" s="87"/>
      <c r="CU623" s="87"/>
      <c r="CV623" s="87"/>
      <c r="CW623" s="87"/>
      <c r="CX623" s="87"/>
      <c r="CY623" s="87"/>
      <c r="CZ623" s="87"/>
      <c r="DA623" s="87"/>
      <c r="DB623" s="87"/>
      <c r="DC623" s="87"/>
      <c r="DD623" s="87"/>
      <c r="DE623" s="87"/>
      <c r="DF623" s="87"/>
      <c r="DG623" s="87"/>
      <c r="DH623" s="87"/>
      <c r="DI623" s="87"/>
      <c r="DJ623" s="87"/>
      <c r="DK623" s="87"/>
      <c r="DL623" s="87"/>
      <c r="DM623" s="87"/>
      <c r="DN623" s="87"/>
      <c r="DO623" s="87"/>
      <c r="DP623" s="87"/>
      <c r="DQ623" s="87"/>
      <c r="DR623" s="87"/>
      <c r="DS623" s="87"/>
      <c r="DT623" s="87"/>
      <c r="DU623" s="87"/>
      <c r="DV623" s="87"/>
      <c r="DW623" s="87"/>
      <c r="DX623" s="87"/>
      <c r="DY623" s="87"/>
      <c r="DZ623" s="87"/>
      <c r="EA623" s="87"/>
      <c r="EB623" s="87"/>
      <c r="EC623" s="87"/>
      <c r="ED623" s="87"/>
      <c r="EE623" s="87"/>
      <c r="EF623" s="87"/>
      <c r="EG623" s="87"/>
      <c r="EH623" s="87"/>
      <c r="EI623" s="100"/>
      <c r="EJ623" s="100"/>
      <c r="EK623" s="100"/>
      <c r="EL623" s="100"/>
      <c r="EM623" s="100"/>
      <c r="EN623" s="100"/>
      <c r="EO623" s="100"/>
      <c r="EP623" s="87"/>
      <c r="EQ623" s="87"/>
      <c r="ER623" s="87"/>
      <c r="ES623" s="87"/>
      <c r="ET623" s="87"/>
      <c r="EU623" s="87"/>
      <c r="EV623" s="87"/>
      <c r="EW623" s="87"/>
      <c r="EX623" s="87"/>
      <c r="EY623" s="87"/>
      <c r="EZ623" s="87"/>
      <c r="FA623" s="87"/>
      <c r="FB623" s="87"/>
      <c r="FC623" s="87"/>
      <c r="FD623" s="87"/>
      <c r="FE623" s="87"/>
      <c r="FF623" s="87"/>
      <c r="FG623" s="87"/>
      <c r="FH623" s="87"/>
      <c r="FI623" s="87"/>
      <c r="FJ623" s="87"/>
      <c r="FK623" s="87"/>
    </row>
    <row r="624" spans="1:167" hidden="1" outlineLevel="1">
      <c r="A624" s="31" t="str">
        <f t="shared" si="42"/>
        <v>lt002_insrmntgrss_cmmssn_incm</v>
      </c>
      <c r="B624" s="76" t="s">
        <v>32</v>
      </c>
      <c r="C624" s="77" t="s">
        <v>32</v>
      </c>
      <c r="D624" s="73" t="s">
        <v>40</v>
      </c>
      <c r="E624" s="75" t="s">
        <v>439</v>
      </c>
      <c r="F624" s="82" t="s">
        <v>409</v>
      </c>
      <c r="G624" s="73" t="str">
        <f>INDEX(Auxiliar!$B$16:$B$23,MATCH(Plano_V1!H624,Auxiliar!$C$16:$C$23,0),1)</f>
        <v>2. Em Teste</v>
      </c>
      <c r="H624" s="73">
        <f>VLOOKUP(A624,'Aux - pivots1'!$A:$B,2,0)</f>
        <v>2</v>
      </c>
      <c r="I624" s="93">
        <f>SUMIFS(Table1[Estimação (horas)],Table1[Tabela],Plano_V1!E624,Table1[Campo],Plano_V1!F624)</f>
        <v>15.1</v>
      </c>
      <c r="J624" s="93">
        <f t="shared" si="41"/>
        <v>1.8875</v>
      </c>
      <c r="K624" s="98" t="s">
        <v>39</v>
      </c>
      <c r="L624" s="99">
        <f t="shared" si="40"/>
        <v>1.8875</v>
      </c>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c r="AM624" s="87"/>
      <c r="AN624" s="87"/>
      <c r="AO624" s="87"/>
      <c r="AP624" s="87"/>
      <c r="AQ624" s="87"/>
      <c r="AR624" s="87"/>
      <c r="AS624" s="87"/>
      <c r="AT624" s="100"/>
      <c r="AU624" s="87"/>
      <c r="AV624" s="87"/>
      <c r="AW624" s="87"/>
      <c r="AX624" s="87"/>
      <c r="AY624" s="87"/>
      <c r="AZ624" s="87"/>
      <c r="BA624" s="87"/>
      <c r="BB624" s="87"/>
      <c r="BC624" s="87"/>
      <c r="BD624" s="87"/>
      <c r="BE624" s="87"/>
      <c r="BF624" s="87"/>
      <c r="BG624" s="87"/>
      <c r="BH624" s="87"/>
      <c r="BI624" s="87"/>
      <c r="BJ624" s="87"/>
      <c r="BK624" s="87"/>
      <c r="BL624" s="87"/>
      <c r="BM624" s="87"/>
      <c r="BN624" s="87"/>
      <c r="BO624" s="87"/>
      <c r="BP624" s="87"/>
      <c r="BQ624" s="87"/>
      <c r="BR624" s="87"/>
      <c r="BS624" s="87"/>
      <c r="BT624" s="87"/>
      <c r="BU624" s="87"/>
      <c r="BV624" s="87"/>
      <c r="BW624" s="87"/>
      <c r="BX624" s="87"/>
      <c r="BY624" s="87"/>
      <c r="BZ624" s="87"/>
      <c r="CA624" s="87"/>
      <c r="CB624" s="87"/>
      <c r="CC624" s="87"/>
      <c r="CD624" s="87"/>
      <c r="CE624" s="87"/>
      <c r="CF624" s="87"/>
      <c r="CG624" s="87"/>
      <c r="CH624" s="87"/>
      <c r="CI624" s="87"/>
      <c r="CJ624" s="87"/>
      <c r="CK624" s="87"/>
      <c r="CL624" s="87"/>
      <c r="CM624" s="87"/>
      <c r="CN624" s="87"/>
      <c r="CO624" s="87"/>
      <c r="CP624" s="87"/>
      <c r="CQ624" s="87"/>
      <c r="CR624" s="87"/>
      <c r="CS624" s="87"/>
      <c r="CT624" s="87"/>
      <c r="CU624" s="87"/>
      <c r="CV624" s="87"/>
      <c r="CW624" s="87"/>
      <c r="CX624" s="87"/>
      <c r="CY624" s="87"/>
      <c r="CZ624" s="87"/>
      <c r="DA624" s="87"/>
      <c r="DB624" s="87"/>
      <c r="DC624" s="87"/>
      <c r="DD624" s="87"/>
      <c r="DE624" s="87"/>
      <c r="DF624" s="87"/>
      <c r="DG624" s="87"/>
      <c r="DH624" s="87"/>
      <c r="DI624" s="87"/>
      <c r="DJ624" s="87"/>
      <c r="DK624" s="87"/>
      <c r="DL624" s="87"/>
      <c r="DM624" s="87"/>
      <c r="DN624" s="87"/>
      <c r="DO624" s="87"/>
      <c r="DP624" s="87"/>
      <c r="DQ624" s="87"/>
      <c r="DR624" s="87"/>
      <c r="DS624" s="87"/>
      <c r="DT624" s="87"/>
      <c r="DU624" s="87"/>
      <c r="DV624" s="87"/>
      <c r="DW624" s="87"/>
      <c r="DX624" s="87"/>
      <c r="DY624" s="87"/>
      <c r="DZ624" s="87"/>
      <c r="EA624" s="87"/>
      <c r="EB624" s="87"/>
      <c r="EC624" s="87"/>
      <c r="ED624" s="87"/>
      <c r="EE624" s="87"/>
      <c r="EF624" s="87"/>
      <c r="EG624" s="87"/>
      <c r="EH624" s="87"/>
      <c r="EI624" s="100"/>
      <c r="EJ624" s="100"/>
      <c r="EK624" s="100"/>
      <c r="EL624" s="100"/>
      <c r="EM624" s="100"/>
      <c r="EN624" s="100"/>
      <c r="EO624" s="100"/>
      <c r="EP624" s="87"/>
      <c r="EQ624" s="87"/>
      <c r="ER624" s="87"/>
      <c r="ES624" s="87"/>
      <c r="ET624" s="87"/>
      <c r="EU624" s="87"/>
      <c r="EV624" s="87"/>
      <c r="EW624" s="87"/>
      <c r="EX624" s="87"/>
      <c r="EY624" s="87"/>
      <c r="EZ624" s="87"/>
      <c r="FA624" s="87"/>
      <c r="FB624" s="87"/>
      <c r="FC624" s="87"/>
      <c r="FD624" s="87"/>
      <c r="FE624" s="87"/>
      <c r="FF624" s="87"/>
      <c r="FG624" s="87"/>
      <c r="FH624" s="87"/>
      <c r="FI624" s="87"/>
      <c r="FJ624" s="87"/>
      <c r="FK624" s="87"/>
    </row>
    <row r="625" spans="1:167" hidden="1" outlineLevel="1">
      <c r="A625" s="31" t="str">
        <f t="shared" si="42"/>
        <v>lt002_insrmntgrss_cmmssn_incm_ccrr</v>
      </c>
      <c r="B625" s="76" t="s">
        <v>32</v>
      </c>
      <c r="C625" s="77" t="s">
        <v>32</v>
      </c>
      <c r="D625" s="73" t="s">
        <v>40</v>
      </c>
      <c r="E625" s="75" t="s">
        <v>439</v>
      </c>
      <c r="F625" s="73" t="s">
        <v>462</v>
      </c>
      <c r="G625" s="73" t="str">
        <f>INDEX(Auxiliar!$B$16:$B$23,MATCH(Plano_V1!H625,Auxiliar!$C$16:$C$23,0),1)</f>
        <v>2. Em Teste</v>
      </c>
      <c r="H625" s="73">
        <f>VLOOKUP(A625,'Aux - pivots1'!$A:$B,2,0)</f>
        <v>2</v>
      </c>
      <c r="I625" s="93">
        <f>SUMIFS(Table1[Estimação (horas)],Table1[Tabela],Plano_V1!E625,Table1[Campo],Plano_V1!F625)</f>
        <v>0.1</v>
      </c>
      <c r="J625" s="93">
        <f t="shared" si="41"/>
        <v>1.2500000000000001E-2</v>
      </c>
      <c r="K625" s="98" t="s">
        <v>39</v>
      </c>
      <c r="L625" s="99">
        <f t="shared" si="40"/>
        <v>1.2500000000000001E-2</v>
      </c>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c r="AM625" s="87"/>
      <c r="AN625" s="87"/>
      <c r="AO625" s="87"/>
      <c r="AP625" s="87"/>
      <c r="AQ625" s="87"/>
      <c r="AR625" s="87"/>
      <c r="AS625" s="87"/>
      <c r="AT625" s="100"/>
      <c r="AU625" s="87"/>
      <c r="AV625" s="87"/>
      <c r="AW625" s="87"/>
      <c r="AX625" s="87"/>
      <c r="AY625" s="87"/>
      <c r="AZ625" s="87"/>
      <c r="BA625" s="87"/>
      <c r="BB625" s="87"/>
      <c r="BC625" s="87"/>
      <c r="BD625" s="87"/>
      <c r="BE625" s="87"/>
      <c r="BF625" s="87"/>
      <c r="BG625" s="87"/>
      <c r="BH625" s="87"/>
      <c r="BI625" s="87"/>
      <c r="BJ625" s="87"/>
      <c r="BK625" s="87"/>
      <c r="BL625" s="87"/>
      <c r="BM625" s="87"/>
      <c r="BN625" s="87"/>
      <c r="BO625" s="87"/>
      <c r="BP625" s="87"/>
      <c r="BQ625" s="87"/>
      <c r="BR625" s="87"/>
      <c r="BS625" s="87"/>
      <c r="BT625" s="87"/>
      <c r="BU625" s="87"/>
      <c r="BV625" s="87"/>
      <c r="BW625" s="87"/>
      <c r="BX625" s="87"/>
      <c r="BY625" s="87"/>
      <c r="BZ625" s="87"/>
      <c r="CA625" s="87"/>
      <c r="CB625" s="87"/>
      <c r="CC625" s="87"/>
      <c r="CD625" s="87"/>
      <c r="CE625" s="87"/>
      <c r="CF625" s="87"/>
      <c r="CG625" s="87"/>
      <c r="CH625" s="87"/>
      <c r="CI625" s="87"/>
      <c r="CJ625" s="87"/>
      <c r="CK625" s="87"/>
      <c r="CL625" s="87"/>
      <c r="CM625" s="87"/>
      <c r="CN625" s="87"/>
      <c r="CO625" s="87"/>
      <c r="CP625" s="87"/>
      <c r="CQ625" s="87"/>
      <c r="CR625" s="87"/>
      <c r="CS625" s="87"/>
      <c r="CT625" s="87"/>
      <c r="CU625" s="87"/>
      <c r="CV625" s="87"/>
      <c r="CW625" s="87"/>
      <c r="CX625" s="87"/>
      <c r="CY625" s="87"/>
      <c r="CZ625" s="87"/>
      <c r="DA625" s="87"/>
      <c r="DB625" s="87"/>
      <c r="DC625" s="87"/>
      <c r="DD625" s="87"/>
      <c r="DE625" s="87"/>
      <c r="DF625" s="87"/>
      <c r="DG625" s="87"/>
      <c r="DH625" s="87"/>
      <c r="DI625" s="87"/>
      <c r="DJ625" s="87"/>
      <c r="DK625" s="87"/>
      <c r="DL625" s="87"/>
      <c r="DM625" s="87"/>
      <c r="DN625" s="87"/>
      <c r="DO625" s="87"/>
      <c r="DP625" s="87"/>
      <c r="DQ625" s="87"/>
      <c r="DR625" s="87"/>
      <c r="DS625" s="87"/>
      <c r="DT625" s="87"/>
      <c r="DU625" s="87"/>
      <c r="DV625" s="87"/>
      <c r="DW625" s="87"/>
      <c r="DX625" s="87"/>
      <c r="DY625" s="87"/>
      <c r="DZ625" s="87"/>
      <c r="EA625" s="87"/>
      <c r="EB625" s="87"/>
      <c r="EC625" s="87"/>
      <c r="ED625" s="87"/>
      <c r="EE625" s="87"/>
      <c r="EF625" s="87"/>
      <c r="EG625" s="87"/>
      <c r="EH625" s="87"/>
      <c r="EI625" s="100"/>
      <c r="EJ625" s="100"/>
      <c r="EK625" s="100"/>
      <c r="EL625" s="100"/>
      <c r="EM625" s="100"/>
      <c r="EN625" s="100"/>
      <c r="EO625" s="100"/>
      <c r="EP625" s="87"/>
      <c r="EQ625" s="87"/>
      <c r="ER625" s="87"/>
      <c r="ES625" s="87"/>
      <c r="ET625" s="87"/>
      <c r="EU625" s="87"/>
      <c r="EV625" s="87"/>
      <c r="EW625" s="87"/>
      <c r="EX625" s="87"/>
      <c r="EY625" s="87"/>
      <c r="EZ625" s="87"/>
      <c r="FA625" s="87"/>
      <c r="FB625" s="87"/>
      <c r="FC625" s="87"/>
      <c r="FD625" s="87"/>
      <c r="FE625" s="87"/>
      <c r="FF625" s="87"/>
      <c r="FG625" s="87"/>
      <c r="FH625" s="87"/>
      <c r="FI625" s="87"/>
      <c r="FJ625" s="87"/>
      <c r="FK625" s="87"/>
    </row>
    <row r="626" spans="1:167" hidden="1" outlineLevel="1">
      <c r="A626" s="31" t="str">
        <f t="shared" si="42"/>
        <v>lt002_insrmntintrnl_trnsfr_rt</v>
      </c>
      <c r="B626" s="76" t="s">
        <v>32</v>
      </c>
      <c r="C626" s="77" t="s">
        <v>32</v>
      </c>
      <c r="D626" s="73" t="s">
        <v>40</v>
      </c>
      <c r="E626" s="75" t="s">
        <v>439</v>
      </c>
      <c r="F626" s="73" t="s">
        <v>463</v>
      </c>
      <c r="G626" s="73" t="str">
        <f>INDEX(Auxiliar!$B$16:$B$23,MATCH(Plano_V1!H626,Auxiliar!$C$16:$C$23,0),1)</f>
        <v>2. Em Teste</v>
      </c>
      <c r="H626" s="73">
        <f>VLOOKUP(A626,'Aux - pivots1'!$A:$B,2,0)</f>
        <v>2</v>
      </c>
      <c r="I626" s="93">
        <f>SUMIFS(Table1[Estimação (horas)],Table1[Tabela],Plano_V1!E626,Table1[Campo],Plano_V1!F626)</f>
        <v>15.1</v>
      </c>
      <c r="J626" s="93">
        <f t="shared" si="41"/>
        <v>1.8875</v>
      </c>
      <c r="K626" s="98" t="s">
        <v>39</v>
      </c>
      <c r="L626" s="99">
        <f t="shared" si="40"/>
        <v>1.8875</v>
      </c>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c r="AM626" s="87"/>
      <c r="AN626" s="87"/>
      <c r="AO626" s="87"/>
      <c r="AP626" s="87"/>
      <c r="AQ626" s="87"/>
      <c r="AR626" s="87"/>
      <c r="AS626" s="87"/>
      <c r="AT626" s="100"/>
      <c r="AU626" s="87"/>
      <c r="AV626" s="87"/>
      <c r="AW626" s="87"/>
      <c r="AX626" s="87"/>
      <c r="AY626" s="87"/>
      <c r="AZ626" s="87"/>
      <c r="BA626" s="87"/>
      <c r="BB626" s="87"/>
      <c r="BC626" s="87"/>
      <c r="BD626" s="87"/>
      <c r="BE626" s="87"/>
      <c r="BF626" s="87"/>
      <c r="BG626" s="87"/>
      <c r="BH626" s="87"/>
      <c r="BI626" s="87"/>
      <c r="BJ626" s="87"/>
      <c r="BK626" s="87"/>
      <c r="BL626" s="87"/>
      <c r="BM626" s="87"/>
      <c r="BN626" s="87"/>
      <c r="BO626" s="87"/>
      <c r="BP626" s="87"/>
      <c r="BQ626" s="87"/>
      <c r="BR626" s="87"/>
      <c r="BS626" s="87"/>
      <c r="BT626" s="87"/>
      <c r="BU626" s="87"/>
      <c r="BV626" s="87"/>
      <c r="BW626" s="87"/>
      <c r="BX626" s="87"/>
      <c r="BY626" s="87"/>
      <c r="BZ626" s="87"/>
      <c r="CA626" s="87"/>
      <c r="CB626" s="87"/>
      <c r="CC626" s="87"/>
      <c r="CD626" s="87"/>
      <c r="CE626" s="87"/>
      <c r="CF626" s="87"/>
      <c r="CG626" s="87"/>
      <c r="CH626" s="87"/>
      <c r="CI626" s="87"/>
      <c r="CJ626" s="87"/>
      <c r="CK626" s="87"/>
      <c r="CL626" s="87"/>
      <c r="CM626" s="87"/>
      <c r="CN626" s="87"/>
      <c r="CO626" s="87"/>
      <c r="CP626" s="87"/>
      <c r="CQ626" s="87"/>
      <c r="CR626" s="87"/>
      <c r="CS626" s="87"/>
      <c r="CT626" s="87"/>
      <c r="CU626" s="87"/>
      <c r="CV626" s="87"/>
      <c r="CW626" s="87"/>
      <c r="CX626" s="87"/>
      <c r="CY626" s="87"/>
      <c r="CZ626" s="87"/>
      <c r="DA626" s="87"/>
      <c r="DB626" s="87"/>
      <c r="DC626" s="87"/>
      <c r="DD626" s="87"/>
      <c r="DE626" s="87"/>
      <c r="DF626" s="87"/>
      <c r="DG626" s="87"/>
      <c r="DH626" s="87"/>
      <c r="DI626" s="87"/>
      <c r="DJ626" s="87"/>
      <c r="DK626" s="87"/>
      <c r="DL626" s="87"/>
      <c r="DM626" s="87"/>
      <c r="DN626" s="87"/>
      <c r="DO626" s="87"/>
      <c r="DP626" s="87"/>
      <c r="DQ626" s="87"/>
      <c r="DR626" s="87"/>
      <c r="DS626" s="87"/>
      <c r="DT626" s="87"/>
      <c r="DU626" s="87"/>
      <c r="DV626" s="87"/>
      <c r="DW626" s="87"/>
      <c r="DX626" s="87"/>
      <c r="DY626" s="87"/>
      <c r="DZ626" s="87"/>
      <c r="EA626" s="87"/>
      <c r="EB626" s="87"/>
      <c r="EC626" s="87"/>
      <c r="ED626" s="87"/>
      <c r="EE626" s="87"/>
      <c r="EF626" s="87"/>
      <c r="EG626" s="87"/>
      <c r="EH626" s="87"/>
      <c r="EI626" s="100"/>
      <c r="EJ626" s="100"/>
      <c r="EK626" s="100"/>
      <c r="EL626" s="100"/>
      <c r="EM626" s="100"/>
      <c r="EN626" s="100"/>
      <c r="EO626" s="100"/>
      <c r="EP626" s="87"/>
      <c r="EQ626" s="87"/>
      <c r="ER626" s="87"/>
      <c r="ES626" s="87"/>
      <c r="ET626" s="87"/>
      <c r="EU626" s="87"/>
      <c r="EV626" s="87"/>
      <c r="EW626" s="87"/>
      <c r="EX626" s="87"/>
      <c r="EY626" s="87"/>
      <c r="EZ626" s="87"/>
      <c r="FA626" s="87"/>
      <c r="FB626" s="87"/>
      <c r="FC626" s="87"/>
      <c r="FD626" s="87"/>
      <c r="FE626" s="87"/>
      <c r="FF626" s="87"/>
      <c r="FG626" s="87"/>
      <c r="FH626" s="87"/>
      <c r="FI626" s="87"/>
      <c r="FJ626" s="87"/>
      <c r="FK626" s="87"/>
    </row>
    <row r="627" spans="1:167" hidden="1" outlineLevel="1">
      <c r="A627" s="31" t="str">
        <f t="shared" si="42"/>
        <v>lt002_insrmntgrss_cmmssn_expns</v>
      </c>
      <c r="B627" s="76" t="s">
        <v>32</v>
      </c>
      <c r="C627" s="77" t="s">
        <v>32</v>
      </c>
      <c r="D627" s="73" t="s">
        <v>40</v>
      </c>
      <c r="E627" s="75" t="s">
        <v>439</v>
      </c>
      <c r="F627" s="78" t="s">
        <v>464</v>
      </c>
      <c r="G627" s="73" t="str">
        <f>INDEX(Auxiliar!$B$16:$B$23,MATCH(Plano_V1!H627,Auxiliar!$C$16:$C$23,0),1)</f>
        <v>2. Em Teste</v>
      </c>
      <c r="H627" s="73">
        <f>VLOOKUP(A627,'Aux - pivots1'!$A:$B,2,0)</f>
        <v>2</v>
      </c>
      <c r="I627" s="93">
        <f>SUMIFS(Table1[Estimação (horas)],Table1[Tabela],Plano_V1!E627,Table1[Campo],Plano_V1!F627)</f>
        <v>15.1</v>
      </c>
      <c r="J627" s="93">
        <f t="shared" si="41"/>
        <v>1.8875</v>
      </c>
      <c r="K627" s="98" t="s">
        <v>39</v>
      </c>
      <c r="L627" s="99">
        <f t="shared" si="40"/>
        <v>1.8875</v>
      </c>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c r="AM627" s="87"/>
      <c r="AN627" s="87"/>
      <c r="AO627" s="87"/>
      <c r="AP627" s="87"/>
      <c r="AQ627" s="87"/>
      <c r="AR627" s="87"/>
      <c r="AS627" s="87"/>
      <c r="AT627" s="100"/>
      <c r="AU627" s="87"/>
      <c r="AV627" s="87"/>
      <c r="AW627" s="87"/>
      <c r="AX627" s="87"/>
      <c r="AY627" s="87"/>
      <c r="AZ627" s="87"/>
      <c r="BA627" s="87"/>
      <c r="BB627" s="87"/>
      <c r="BC627" s="87"/>
      <c r="BD627" s="87"/>
      <c r="BE627" s="87"/>
      <c r="BF627" s="87"/>
      <c r="BG627" s="87"/>
      <c r="BH627" s="87"/>
      <c r="BI627" s="87"/>
      <c r="BJ627" s="87"/>
      <c r="BK627" s="87"/>
      <c r="BL627" s="87"/>
      <c r="BM627" s="87"/>
      <c r="BN627" s="87"/>
      <c r="BO627" s="87"/>
      <c r="BP627" s="87"/>
      <c r="BQ627" s="87"/>
      <c r="BR627" s="87"/>
      <c r="BS627" s="87"/>
      <c r="BT627" s="87"/>
      <c r="BU627" s="87"/>
      <c r="BV627" s="87"/>
      <c r="BW627" s="87"/>
      <c r="BX627" s="87"/>
      <c r="BY627" s="87"/>
      <c r="BZ627" s="87"/>
      <c r="CA627" s="87"/>
      <c r="CB627" s="87"/>
      <c r="CC627" s="87"/>
      <c r="CD627" s="87"/>
      <c r="CE627" s="87"/>
      <c r="CF627" s="87"/>
      <c r="CG627" s="87"/>
      <c r="CH627" s="87"/>
      <c r="CI627" s="87"/>
      <c r="CJ627" s="87"/>
      <c r="CK627" s="87"/>
      <c r="CL627" s="87"/>
      <c r="CM627" s="87"/>
      <c r="CN627" s="87"/>
      <c r="CO627" s="87"/>
      <c r="CP627" s="87"/>
      <c r="CQ627" s="87"/>
      <c r="CR627" s="87"/>
      <c r="CS627" s="87"/>
      <c r="CT627" s="87"/>
      <c r="CU627" s="87"/>
      <c r="CV627" s="87"/>
      <c r="CW627" s="87"/>
      <c r="CX627" s="87"/>
      <c r="CY627" s="87"/>
      <c r="CZ627" s="87"/>
      <c r="DA627" s="87"/>
      <c r="DB627" s="87"/>
      <c r="DC627" s="87"/>
      <c r="DD627" s="87"/>
      <c r="DE627" s="87"/>
      <c r="DF627" s="87"/>
      <c r="DG627" s="87"/>
      <c r="DH627" s="87"/>
      <c r="DI627" s="87"/>
      <c r="DJ627" s="87"/>
      <c r="DK627" s="87"/>
      <c r="DL627" s="87"/>
      <c r="DM627" s="87"/>
      <c r="DN627" s="87"/>
      <c r="DO627" s="87"/>
      <c r="DP627" s="87"/>
      <c r="DQ627" s="87"/>
      <c r="DR627" s="87"/>
      <c r="DS627" s="87"/>
      <c r="DT627" s="87"/>
      <c r="DU627" s="87"/>
      <c r="DV627" s="87"/>
      <c r="DW627" s="87"/>
      <c r="DX627" s="87"/>
      <c r="DY627" s="87"/>
      <c r="DZ627" s="87"/>
      <c r="EA627" s="87"/>
      <c r="EB627" s="87"/>
      <c r="EC627" s="87"/>
      <c r="ED627" s="87"/>
      <c r="EE627" s="87"/>
      <c r="EF627" s="87"/>
      <c r="EG627" s="87"/>
      <c r="EH627" s="87"/>
      <c r="EI627" s="100"/>
      <c r="EJ627" s="100"/>
      <c r="EK627" s="100"/>
      <c r="EL627" s="100"/>
      <c r="EM627" s="100"/>
      <c r="EN627" s="100"/>
      <c r="EO627" s="100"/>
      <c r="EP627" s="87"/>
      <c r="EQ627" s="87"/>
      <c r="ER627" s="87"/>
      <c r="ES627" s="87"/>
      <c r="ET627" s="87"/>
      <c r="EU627" s="87"/>
      <c r="EV627" s="87"/>
      <c r="EW627" s="87"/>
      <c r="EX627" s="87"/>
      <c r="EY627" s="87"/>
      <c r="EZ627" s="87"/>
      <c r="FA627" s="87"/>
      <c r="FB627" s="87"/>
      <c r="FC627" s="87"/>
      <c r="FD627" s="87"/>
      <c r="FE627" s="87"/>
      <c r="FF627" s="87"/>
      <c r="FG627" s="87"/>
      <c r="FH627" s="87"/>
      <c r="FI627" s="87"/>
      <c r="FJ627" s="87"/>
      <c r="FK627" s="87"/>
    </row>
    <row r="628" spans="1:167" hidden="1" outlineLevel="1">
      <c r="A628" s="31" t="str">
        <f t="shared" si="42"/>
        <v>lt002_insrmntgrss_cmmssn_expns_ccrr</v>
      </c>
      <c r="B628" s="76" t="s">
        <v>32</v>
      </c>
      <c r="C628" s="77" t="s">
        <v>32</v>
      </c>
      <c r="D628" s="73" t="s">
        <v>40</v>
      </c>
      <c r="E628" s="75" t="s">
        <v>439</v>
      </c>
      <c r="F628" s="73" t="s">
        <v>465</v>
      </c>
      <c r="G628" s="73" t="str">
        <f>INDEX(Auxiliar!$B$16:$B$23,MATCH(Plano_V1!H628,Auxiliar!$C$16:$C$23,0),1)</f>
        <v>2. Em Teste</v>
      </c>
      <c r="H628" s="73">
        <f>VLOOKUP(A628,'Aux - pivots1'!$A:$B,2,0)</f>
        <v>2</v>
      </c>
      <c r="I628" s="93">
        <f>SUMIFS(Table1[Estimação (horas)],Table1[Tabela],Plano_V1!E628,Table1[Campo],Plano_V1!F628)</f>
        <v>0.1</v>
      </c>
      <c r="J628" s="93">
        <f t="shared" si="41"/>
        <v>1.2500000000000001E-2</v>
      </c>
      <c r="K628" s="98" t="s">
        <v>39</v>
      </c>
      <c r="L628" s="99">
        <f t="shared" si="40"/>
        <v>1.2500000000000001E-2</v>
      </c>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c r="AM628" s="87"/>
      <c r="AN628" s="87"/>
      <c r="AO628" s="87"/>
      <c r="AP628" s="87"/>
      <c r="AQ628" s="87"/>
      <c r="AR628" s="87"/>
      <c r="AS628" s="87"/>
      <c r="AT628" s="100"/>
      <c r="AU628" s="87"/>
      <c r="AV628" s="87"/>
      <c r="AW628" s="87"/>
      <c r="AX628" s="87"/>
      <c r="AY628" s="87"/>
      <c r="AZ628" s="87"/>
      <c r="BA628" s="87"/>
      <c r="BB628" s="87"/>
      <c r="BC628" s="87"/>
      <c r="BD628" s="87"/>
      <c r="BE628" s="87"/>
      <c r="BF628" s="87"/>
      <c r="BG628" s="87"/>
      <c r="BH628" s="87"/>
      <c r="BI628" s="87"/>
      <c r="BJ628" s="87"/>
      <c r="BK628" s="87"/>
      <c r="BL628" s="87"/>
      <c r="BM628" s="87"/>
      <c r="BN628" s="87"/>
      <c r="BO628" s="87"/>
      <c r="BP628" s="87"/>
      <c r="BQ628" s="87"/>
      <c r="BR628" s="87"/>
      <c r="BS628" s="87"/>
      <c r="BT628" s="87"/>
      <c r="BU628" s="87"/>
      <c r="BV628" s="87"/>
      <c r="BW628" s="87"/>
      <c r="BX628" s="87"/>
      <c r="BY628" s="87"/>
      <c r="BZ628" s="87"/>
      <c r="CA628" s="87"/>
      <c r="CB628" s="87"/>
      <c r="CC628" s="87"/>
      <c r="CD628" s="87"/>
      <c r="CE628" s="87"/>
      <c r="CF628" s="87"/>
      <c r="CG628" s="87"/>
      <c r="CH628" s="87"/>
      <c r="CI628" s="87"/>
      <c r="CJ628" s="87"/>
      <c r="CK628" s="87"/>
      <c r="CL628" s="87"/>
      <c r="CM628" s="87"/>
      <c r="CN628" s="87"/>
      <c r="CO628" s="87"/>
      <c r="CP628" s="87"/>
      <c r="CQ628" s="87"/>
      <c r="CR628" s="87"/>
      <c r="CS628" s="87"/>
      <c r="CT628" s="87"/>
      <c r="CU628" s="87"/>
      <c r="CV628" s="87"/>
      <c r="CW628" s="87"/>
      <c r="CX628" s="87"/>
      <c r="CY628" s="87"/>
      <c r="CZ628" s="87"/>
      <c r="DA628" s="87"/>
      <c r="DB628" s="87"/>
      <c r="DC628" s="87"/>
      <c r="DD628" s="87"/>
      <c r="DE628" s="87"/>
      <c r="DF628" s="87"/>
      <c r="DG628" s="87"/>
      <c r="DH628" s="87"/>
      <c r="DI628" s="87"/>
      <c r="DJ628" s="87"/>
      <c r="DK628" s="87"/>
      <c r="DL628" s="87"/>
      <c r="DM628" s="87"/>
      <c r="DN628" s="87"/>
      <c r="DO628" s="87"/>
      <c r="DP628" s="87"/>
      <c r="DQ628" s="87"/>
      <c r="DR628" s="87"/>
      <c r="DS628" s="87"/>
      <c r="DT628" s="87"/>
      <c r="DU628" s="87"/>
      <c r="DV628" s="87"/>
      <c r="DW628" s="87"/>
      <c r="DX628" s="87"/>
      <c r="DY628" s="87"/>
      <c r="DZ628" s="87"/>
      <c r="EA628" s="87"/>
      <c r="EB628" s="87"/>
      <c r="EC628" s="87"/>
      <c r="ED628" s="87"/>
      <c r="EE628" s="87"/>
      <c r="EF628" s="87"/>
      <c r="EG628" s="87"/>
      <c r="EH628" s="87"/>
      <c r="EI628" s="100"/>
      <c r="EJ628" s="100"/>
      <c r="EK628" s="100"/>
      <c r="EL628" s="100"/>
      <c r="EM628" s="100"/>
      <c r="EN628" s="100"/>
      <c r="EO628" s="100"/>
      <c r="EP628" s="87"/>
      <c r="EQ628" s="87"/>
      <c r="ER628" s="87"/>
      <c r="ES628" s="87"/>
      <c r="ET628" s="87"/>
      <c r="EU628" s="87"/>
      <c r="EV628" s="87"/>
      <c r="EW628" s="87"/>
      <c r="EX628" s="87"/>
      <c r="EY628" s="87"/>
      <c r="EZ628" s="87"/>
      <c r="FA628" s="87"/>
      <c r="FB628" s="87"/>
      <c r="FC628" s="87"/>
      <c r="FD628" s="87"/>
      <c r="FE628" s="87"/>
      <c r="FF628" s="87"/>
      <c r="FG628" s="87"/>
      <c r="FH628" s="87"/>
      <c r="FI628" s="87"/>
      <c r="FJ628" s="87"/>
      <c r="FK628" s="87"/>
    </row>
    <row r="629" spans="1:167" hidden="1" outlineLevel="1">
      <c r="A629" s="31" t="str">
        <f t="shared" si="42"/>
        <v>lt002_insrmntgrss_intrst_expns</v>
      </c>
      <c r="B629" s="76" t="s">
        <v>32</v>
      </c>
      <c r="C629" s="77" t="s">
        <v>32</v>
      </c>
      <c r="D629" s="73" t="s">
        <v>40</v>
      </c>
      <c r="E629" s="75" t="s">
        <v>439</v>
      </c>
      <c r="F629" s="73" t="s">
        <v>466</v>
      </c>
      <c r="G629" s="73" t="str">
        <f>INDEX(Auxiliar!$B$16:$B$23,MATCH(Plano_V1!H629,Auxiliar!$C$16:$C$23,0),1)</f>
        <v>2. Em Teste</v>
      </c>
      <c r="H629" s="73">
        <f>VLOOKUP(A629,'Aux - pivots1'!$A:$B,2,0)</f>
        <v>2</v>
      </c>
      <c r="I629" s="93">
        <f>SUMIFS(Table1[Estimação (horas)],Table1[Tabela],Plano_V1!E629,Table1[Campo],Plano_V1!F629)</f>
        <v>15.1</v>
      </c>
      <c r="J629" s="93">
        <f t="shared" si="41"/>
        <v>1.8875</v>
      </c>
      <c r="K629" s="98" t="s">
        <v>39</v>
      </c>
      <c r="L629" s="99">
        <f t="shared" si="40"/>
        <v>1.8875</v>
      </c>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c r="AM629" s="87"/>
      <c r="AN629" s="87"/>
      <c r="AO629" s="87"/>
      <c r="AP629" s="87"/>
      <c r="AQ629" s="87"/>
      <c r="AR629" s="87"/>
      <c r="AS629" s="87"/>
      <c r="AT629" s="100"/>
      <c r="AU629" s="87"/>
      <c r="AV629" s="87"/>
      <c r="AW629" s="87"/>
      <c r="AX629" s="87"/>
      <c r="AY629" s="87"/>
      <c r="AZ629" s="87"/>
      <c r="BA629" s="87"/>
      <c r="BB629" s="87"/>
      <c r="BC629" s="87"/>
      <c r="BD629" s="87"/>
      <c r="BE629" s="87"/>
      <c r="BF629" s="87"/>
      <c r="BG629" s="87"/>
      <c r="BH629" s="87"/>
      <c r="BI629" s="87"/>
      <c r="BJ629" s="87"/>
      <c r="BK629" s="87"/>
      <c r="BL629" s="87"/>
      <c r="BM629" s="87"/>
      <c r="BN629" s="87"/>
      <c r="BO629" s="87"/>
      <c r="BP629" s="87"/>
      <c r="BQ629" s="87"/>
      <c r="BR629" s="87"/>
      <c r="BS629" s="87"/>
      <c r="BT629" s="87"/>
      <c r="BU629" s="87"/>
      <c r="BV629" s="87"/>
      <c r="BW629" s="87"/>
      <c r="BX629" s="87"/>
      <c r="BY629" s="87"/>
      <c r="BZ629" s="87"/>
      <c r="CA629" s="87"/>
      <c r="CB629" s="87"/>
      <c r="CC629" s="87"/>
      <c r="CD629" s="87"/>
      <c r="CE629" s="87"/>
      <c r="CF629" s="87"/>
      <c r="CG629" s="87"/>
      <c r="CH629" s="87"/>
      <c r="CI629" s="87"/>
      <c r="CJ629" s="87"/>
      <c r="CK629" s="87"/>
      <c r="CL629" s="87"/>
      <c r="CM629" s="87"/>
      <c r="CN629" s="87"/>
      <c r="CO629" s="87"/>
      <c r="CP629" s="87"/>
      <c r="CQ629" s="87"/>
      <c r="CR629" s="87"/>
      <c r="CS629" s="87"/>
      <c r="CT629" s="87"/>
      <c r="CU629" s="87"/>
      <c r="CV629" s="87"/>
      <c r="CW629" s="87"/>
      <c r="CX629" s="87"/>
      <c r="CY629" s="87"/>
      <c r="CZ629" s="87"/>
      <c r="DA629" s="87"/>
      <c r="DB629" s="87"/>
      <c r="DC629" s="87"/>
      <c r="DD629" s="87"/>
      <c r="DE629" s="87"/>
      <c r="DF629" s="87"/>
      <c r="DG629" s="87"/>
      <c r="DH629" s="87"/>
      <c r="DI629" s="87"/>
      <c r="DJ629" s="87"/>
      <c r="DK629" s="87"/>
      <c r="DL629" s="87"/>
      <c r="DM629" s="87"/>
      <c r="DN629" s="87"/>
      <c r="DO629" s="87"/>
      <c r="DP629" s="87"/>
      <c r="DQ629" s="87"/>
      <c r="DR629" s="87"/>
      <c r="DS629" s="87"/>
      <c r="DT629" s="87"/>
      <c r="DU629" s="87"/>
      <c r="DV629" s="87"/>
      <c r="DW629" s="87"/>
      <c r="DX629" s="87"/>
      <c r="DY629" s="87"/>
      <c r="DZ629" s="87"/>
      <c r="EA629" s="87"/>
      <c r="EB629" s="87"/>
      <c r="EC629" s="87"/>
      <c r="ED629" s="87"/>
      <c r="EE629" s="87"/>
      <c r="EF629" s="87"/>
      <c r="EG629" s="87"/>
      <c r="EH629" s="87"/>
      <c r="EI629" s="100"/>
      <c r="EJ629" s="100"/>
      <c r="EK629" s="100"/>
      <c r="EL629" s="100"/>
      <c r="EM629" s="100"/>
      <c r="EN629" s="100"/>
      <c r="EO629" s="100"/>
      <c r="EP629" s="87"/>
      <c r="EQ629" s="87"/>
      <c r="ER629" s="87"/>
      <c r="ES629" s="87"/>
      <c r="ET629" s="87"/>
      <c r="EU629" s="87"/>
      <c r="EV629" s="87"/>
      <c r="EW629" s="87"/>
      <c r="EX629" s="87"/>
      <c r="EY629" s="87"/>
      <c r="EZ629" s="87"/>
      <c r="FA629" s="87"/>
      <c r="FB629" s="87"/>
      <c r="FC629" s="87"/>
      <c r="FD629" s="87"/>
      <c r="FE629" s="87"/>
      <c r="FF629" s="87"/>
      <c r="FG629" s="87"/>
      <c r="FH629" s="87"/>
      <c r="FI629" s="87"/>
      <c r="FJ629" s="87"/>
      <c r="FK629" s="87"/>
    </row>
    <row r="630" spans="1:167" hidden="1" outlineLevel="1">
      <c r="A630" s="31" t="str">
        <f t="shared" si="42"/>
        <v>lt002_insrmntgrss_intrst_expns_ccrr</v>
      </c>
      <c r="B630" s="76" t="s">
        <v>32</v>
      </c>
      <c r="C630" s="77" t="s">
        <v>32</v>
      </c>
      <c r="D630" s="73" t="s">
        <v>40</v>
      </c>
      <c r="E630" s="75" t="s">
        <v>439</v>
      </c>
      <c r="F630" s="73" t="s">
        <v>467</v>
      </c>
      <c r="G630" s="73" t="str">
        <f>INDEX(Auxiliar!$B$16:$B$23,MATCH(Plano_V1!H630,Auxiliar!$C$16:$C$23,0),1)</f>
        <v>2. Em Teste</v>
      </c>
      <c r="H630" s="73">
        <f>VLOOKUP(A630,'Aux - pivots1'!$A:$B,2,0)</f>
        <v>2</v>
      </c>
      <c r="I630" s="93">
        <f>SUMIFS(Table1[Estimação (horas)],Table1[Tabela],Plano_V1!E630,Table1[Campo],Plano_V1!F630)</f>
        <v>0.1</v>
      </c>
      <c r="J630" s="93">
        <f t="shared" si="41"/>
        <v>1.2500000000000001E-2</v>
      </c>
      <c r="K630" s="98" t="s">
        <v>39</v>
      </c>
      <c r="L630" s="99">
        <f t="shared" si="40"/>
        <v>1.2500000000000001E-2</v>
      </c>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c r="AM630" s="87"/>
      <c r="AN630" s="87"/>
      <c r="AO630" s="87"/>
      <c r="AP630" s="87"/>
      <c r="AQ630" s="87"/>
      <c r="AR630" s="87"/>
      <c r="AS630" s="87"/>
      <c r="AT630" s="100"/>
      <c r="AU630" s="87"/>
      <c r="AV630" s="87"/>
      <c r="AW630" s="87"/>
      <c r="AX630" s="87"/>
      <c r="AY630" s="87"/>
      <c r="AZ630" s="87"/>
      <c r="BA630" s="87"/>
      <c r="BB630" s="87"/>
      <c r="BC630" s="87"/>
      <c r="BD630" s="87"/>
      <c r="BE630" s="87"/>
      <c r="BF630" s="87"/>
      <c r="BG630" s="87"/>
      <c r="BH630" s="87"/>
      <c r="BI630" s="87"/>
      <c r="BJ630" s="87"/>
      <c r="BK630" s="87"/>
      <c r="BL630" s="87"/>
      <c r="BM630" s="87"/>
      <c r="BN630" s="87"/>
      <c r="BO630" s="87"/>
      <c r="BP630" s="87"/>
      <c r="BQ630" s="87"/>
      <c r="BR630" s="87"/>
      <c r="BS630" s="87"/>
      <c r="BT630" s="87"/>
      <c r="BU630" s="87"/>
      <c r="BV630" s="87"/>
      <c r="BW630" s="87"/>
      <c r="BX630" s="87"/>
      <c r="BY630" s="87"/>
      <c r="BZ630" s="87"/>
      <c r="CA630" s="87"/>
      <c r="CB630" s="87"/>
      <c r="CC630" s="87"/>
      <c r="CD630" s="87"/>
      <c r="CE630" s="87"/>
      <c r="CF630" s="87"/>
      <c r="CG630" s="87"/>
      <c r="CH630" s="87"/>
      <c r="CI630" s="87"/>
      <c r="CJ630" s="87"/>
      <c r="CK630" s="87"/>
      <c r="CL630" s="87"/>
      <c r="CM630" s="87"/>
      <c r="CN630" s="87"/>
      <c r="CO630" s="87"/>
      <c r="CP630" s="87"/>
      <c r="CQ630" s="87"/>
      <c r="CR630" s="87"/>
      <c r="CS630" s="87"/>
      <c r="CT630" s="87"/>
      <c r="CU630" s="87"/>
      <c r="CV630" s="87"/>
      <c r="CW630" s="87"/>
      <c r="CX630" s="87"/>
      <c r="CY630" s="87"/>
      <c r="CZ630" s="87"/>
      <c r="DA630" s="87"/>
      <c r="DB630" s="87"/>
      <c r="DC630" s="87"/>
      <c r="DD630" s="87"/>
      <c r="DE630" s="87"/>
      <c r="DF630" s="87"/>
      <c r="DG630" s="87"/>
      <c r="DH630" s="87"/>
      <c r="DI630" s="87"/>
      <c r="DJ630" s="87"/>
      <c r="DK630" s="87"/>
      <c r="DL630" s="87"/>
      <c r="DM630" s="87"/>
      <c r="DN630" s="87"/>
      <c r="DO630" s="87"/>
      <c r="DP630" s="87"/>
      <c r="DQ630" s="87"/>
      <c r="DR630" s="87"/>
      <c r="DS630" s="87"/>
      <c r="DT630" s="87"/>
      <c r="DU630" s="87"/>
      <c r="DV630" s="87"/>
      <c r="DW630" s="87"/>
      <c r="DX630" s="87"/>
      <c r="DY630" s="87"/>
      <c r="DZ630" s="87"/>
      <c r="EA630" s="87"/>
      <c r="EB630" s="87"/>
      <c r="EC630" s="87"/>
      <c r="ED630" s="87"/>
      <c r="EE630" s="87"/>
      <c r="EF630" s="87"/>
      <c r="EG630" s="87"/>
      <c r="EH630" s="87"/>
      <c r="EI630" s="100"/>
      <c r="EJ630" s="100"/>
      <c r="EK630" s="100"/>
      <c r="EL630" s="100"/>
      <c r="EM630" s="100"/>
      <c r="EN630" s="100"/>
      <c r="EO630" s="100"/>
      <c r="EP630" s="87"/>
      <c r="EQ630" s="87"/>
      <c r="ER630" s="87"/>
      <c r="ES630" s="87"/>
      <c r="ET630" s="87"/>
      <c r="EU630" s="87"/>
      <c r="EV630" s="87"/>
      <c r="EW630" s="87"/>
      <c r="EX630" s="87"/>
      <c r="EY630" s="87"/>
      <c r="EZ630" s="87"/>
      <c r="FA630" s="87"/>
      <c r="FB630" s="87"/>
      <c r="FC630" s="87"/>
      <c r="FD630" s="87"/>
      <c r="FE630" s="87"/>
      <c r="FF630" s="87"/>
      <c r="FG630" s="87"/>
      <c r="FH630" s="87"/>
      <c r="FI630" s="87"/>
      <c r="FJ630" s="87"/>
      <c r="FK630" s="87"/>
    </row>
    <row r="631" spans="1:167" hidden="1" outlineLevel="1">
      <c r="A631" s="31" t="str">
        <f t="shared" si="42"/>
        <v>lt002_insrmntgns_fnncl_trnsctn_exchng_dffrncs</v>
      </c>
      <c r="B631" s="76" t="s">
        <v>32</v>
      </c>
      <c r="C631" s="77" t="s">
        <v>32</v>
      </c>
      <c r="D631" s="73" t="s">
        <v>40</v>
      </c>
      <c r="E631" s="75" t="s">
        <v>439</v>
      </c>
      <c r="F631" s="73" t="s">
        <v>468</v>
      </c>
      <c r="G631" s="73" t="str">
        <f>INDEX(Auxiliar!$B$16:$B$23,MATCH(Plano_V1!H631,Auxiliar!$C$16:$C$23,0),1)</f>
        <v>2. Em Teste</v>
      </c>
      <c r="H631" s="73">
        <f>VLOOKUP(A631,'Aux - pivots1'!$A:$B,2,0)</f>
        <v>2</v>
      </c>
      <c r="I631" s="93">
        <f>SUMIFS(Table1[Estimação (horas)],Table1[Tabela],Plano_V1!E631,Table1[Campo],Plano_V1!F631)</f>
        <v>15.1</v>
      </c>
      <c r="J631" s="93">
        <f t="shared" si="41"/>
        <v>1.8875</v>
      </c>
      <c r="K631" s="98" t="s">
        <v>39</v>
      </c>
      <c r="L631" s="99">
        <f t="shared" si="40"/>
        <v>1.8875</v>
      </c>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c r="AM631" s="87"/>
      <c r="AN631" s="87"/>
      <c r="AO631" s="87"/>
      <c r="AP631" s="87"/>
      <c r="AQ631" s="87"/>
      <c r="AR631" s="87"/>
      <c r="AS631" s="87"/>
      <c r="AT631" s="100"/>
      <c r="AU631" s="87"/>
      <c r="AV631" s="87"/>
      <c r="AW631" s="87"/>
      <c r="AX631" s="87"/>
      <c r="AY631" s="87"/>
      <c r="AZ631" s="87"/>
      <c r="BA631" s="87"/>
      <c r="BB631" s="87"/>
      <c r="BC631" s="87"/>
      <c r="BD631" s="87"/>
      <c r="BE631" s="87"/>
      <c r="BF631" s="87"/>
      <c r="BG631" s="87"/>
      <c r="BH631" s="87"/>
      <c r="BI631" s="87"/>
      <c r="BJ631" s="87"/>
      <c r="BK631" s="87"/>
      <c r="BL631" s="87"/>
      <c r="BM631" s="87"/>
      <c r="BN631" s="87"/>
      <c r="BO631" s="87"/>
      <c r="BP631" s="87"/>
      <c r="BQ631" s="87"/>
      <c r="BR631" s="87"/>
      <c r="BS631" s="87"/>
      <c r="BT631" s="87"/>
      <c r="BU631" s="87"/>
      <c r="BV631" s="87"/>
      <c r="BW631" s="87"/>
      <c r="BX631" s="87"/>
      <c r="BY631" s="87"/>
      <c r="BZ631" s="87"/>
      <c r="CA631" s="87"/>
      <c r="CB631" s="87"/>
      <c r="CC631" s="87"/>
      <c r="CD631" s="87"/>
      <c r="CE631" s="87"/>
      <c r="CF631" s="87"/>
      <c r="CG631" s="87"/>
      <c r="CH631" s="87"/>
      <c r="CI631" s="87"/>
      <c r="CJ631" s="87"/>
      <c r="CK631" s="87"/>
      <c r="CL631" s="87"/>
      <c r="CM631" s="87"/>
      <c r="CN631" s="87"/>
      <c r="CO631" s="87"/>
      <c r="CP631" s="87"/>
      <c r="CQ631" s="87"/>
      <c r="CR631" s="87"/>
      <c r="CS631" s="87"/>
      <c r="CT631" s="87"/>
      <c r="CU631" s="87"/>
      <c r="CV631" s="87"/>
      <c r="CW631" s="87"/>
      <c r="CX631" s="87"/>
      <c r="CY631" s="87"/>
      <c r="CZ631" s="87"/>
      <c r="DA631" s="87"/>
      <c r="DB631" s="87"/>
      <c r="DC631" s="87"/>
      <c r="DD631" s="87"/>
      <c r="DE631" s="87"/>
      <c r="DF631" s="87"/>
      <c r="DG631" s="87"/>
      <c r="DH631" s="87"/>
      <c r="DI631" s="87"/>
      <c r="DJ631" s="87"/>
      <c r="DK631" s="87"/>
      <c r="DL631" s="87"/>
      <c r="DM631" s="87"/>
      <c r="DN631" s="87"/>
      <c r="DO631" s="87"/>
      <c r="DP631" s="87"/>
      <c r="DQ631" s="87"/>
      <c r="DR631" s="87"/>
      <c r="DS631" s="87"/>
      <c r="DT631" s="87"/>
      <c r="DU631" s="87"/>
      <c r="DV631" s="87"/>
      <c r="DW631" s="87"/>
      <c r="DX631" s="87"/>
      <c r="DY631" s="87"/>
      <c r="DZ631" s="87"/>
      <c r="EA631" s="87"/>
      <c r="EB631" s="87"/>
      <c r="EC631" s="87"/>
      <c r="ED631" s="87"/>
      <c r="EE631" s="87"/>
      <c r="EF631" s="87"/>
      <c r="EG631" s="87"/>
      <c r="EH631" s="87"/>
      <c r="EI631" s="100"/>
      <c r="EJ631" s="100"/>
      <c r="EK631" s="100"/>
      <c r="EL631" s="100"/>
      <c r="EM631" s="100"/>
      <c r="EN631" s="100"/>
      <c r="EO631" s="100"/>
      <c r="EP631" s="87"/>
      <c r="EQ631" s="87"/>
      <c r="ER631" s="87"/>
      <c r="ES631" s="87"/>
      <c r="ET631" s="87"/>
      <c r="EU631" s="87"/>
      <c r="EV631" s="87"/>
      <c r="EW631" s="87"/>
      <c r="EX631" s="87"/>
      <c r="EY631" s="87"/>
      <c r="EZ631" s="87"/>
      <c r="FA631" s="87"/>
      <c r="FB631" s="87"/>
      <c r="FC631" s="87"/>
      <c r="FD631" s="87"/>
      <c r="FE631" s="87"/>
      <c r="FF631" s="87"/>
      <c r="FG631" s="87"/>
      <c r="FH631" s="87"/>
      <c r="FI631" s="87"/>
      <c r="FJ631" s="87"/>
      <c r="FK631" s="87"/>
    </row>
    <row r="632" spans="1:167" hidden="1" outlineLevel="1">
      <c r="A632" s="31" t="str">
        <f t="shared" si="42"/>
        <v>lt002_insrmntgns_fnncl_trnsctn_exchng_ccrr</v>
      </c>
      <c r="B632" s="76" t="s">
        <v>32</v>
      </c>
      <c r="C632" s="77" t="s">
        <v>32</v>
      </c>
      <c r="D632" s="73" t="s">
        <v>40</v>
      </c>
      <c r="E632" s="75" t="s">
        <v>439</v>
      </c>
      <c r="F632" s="73" t="s">
        <v>469</v>
      </c>
      <c r="G632" s="73" t="str">
        <f>INDEX(Auxiliar!$B$16:$B$23,MATCH(Plano_V1!H632,Auxiliar!$C$16:$C$23,0),1)</f>
        <v>2. Em Teste</v>
      </c>
      <c r="H632" s="73">
        <f>VLOOKUP(A632,'Aux - pivots1'!$A:$B,2,0)</f>
        <v>2</v>
      </c>
      <c r="I632" s="93">
        <f>SUMIFS(Table1[Estimação (horas)],Table1[Tabela],Plano_V1!E632,Table1[Campo],Plano_V1!F632)</f>
        <v>0.1</v>
      </c>
      <c r="J632" s="93">
        <f t="shared" si="41"/>
        <v>1.2500000000000001E-2</v>
      </c>
      <c r="K632" s="98" t="s">
        <v>39</v>
      </c>
      <c r="L632" s="99">
        <f t="shared" si="40"/>
        <v>1.2500000000000001E-2</v>
      </c>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c r="AM632" s="87"/>
      <c r="AN632" s="87"/>
      <c r="AO632" s="87"/>
      <c r="AP632" s="87"/>
      <c r="AQ632" s="87"/>
      <c r="AR632" s="87"/>
      <c r="AS632" s="87"/>
      <c r="AT632" s="100"/>
      <c r="AU632" s="87"/>
      <c r="AV632" s="87"/>
      <c r="AW632" s="87"/>
      <c r="AX632" s="87"/>
      <c r="AY632" s="87"/>
      <c r="AZ632" s="87"/>
      <c r="BA632" s="87"/>
      <c r="BB632" s="87"/>
      <c r="BC632" s="87"/>
      <c r="BD632" s="87"/>
      <c r="BE632" s="87"/>
      <c r="BF632" s="87"/>
      <c r="BG632" s="87"/>
      <c r="BH632" s="87"/>
      <c r="BI632" s="87"/>
      <c r="BJ632" s="87"/>
      <c r="BK632" s="87"/>
      <c r="BL632" s="87"/>
      <c r="BM632" s="87"/>
      <c r="BN632" s="87"/>
      <c r="BO632" s="87"/>
      <c r="BP632" s="87"/>
      <c r="BQ632" s="87"/>
      <c r="BR632" s="87"/>
      <c r="BS632" s="87"/>
      <c r="BT632" s="87"/>
      <c r="BU632" s="87"/>
      <c r="BV632" s="87"/>
      <c r="BW632" s="87"/>
      <c r="BX632" s="87"/>
      <c r="BY632" s="87"/>
      <c r="BZ632" s="87"/>
      <c r="CA632" s="87"/>
      <c r="CB632" s="87"/>
      <c r="CC632" s="87"/>
      <c r="CD632" s="87"/>
      <c r="CE632" s="87"/>
      <c r="CF632" s="87"/>
      <c r="CG632" s="87"/>
      <c r="CH632" s="87"/>
      <c r="CI632" s="87"/>
      <c r="CJ632" s="87"/>
      <c r="CK632" s="87"/>
      <c r="CL632" s="87"/>
      <c r="CM632" s="87"/>
      <c r="CN632" s="87"/>
      <c r="CO632" s="87"/>
      <c r="CP632" s="87"/>
      <c r="CQ632" s="87"/>
      <c r="CR632" s="87"/>
      <c r="CS632" s="87"/>
      <c r="CT632" s="87"/>
      <c r="CU632" s="87"/>
      <c r="CV632" s="87"/>
      <c r="CW632" s="87"/>
      <c r="CX632" s="87"/>
      <c r="CY632" s="87"/>
      <c r="CZ632" s="87"/>
      <c r="DA632" s="87"/>
      <c r="DB632" s="87"/>
      <c r="DC632" s="87"/>
      <c r="DD632" s="87"/>
      <c r="DE632" s="87"/>
      <c r="DF632" s="87"/>
      <c r="DG632" s="87"/>
      <c r="DH632" s="87"/>
      <c r="DI632" s="87"/>
      <c r="DJ632" s="87"/>
      <c r="DK632" s="87"/>
      <c r="DL632" s="87"/>
      <c r="DM632" s="87"/>
      <c r="DN632" s="87"/>
      <c r="DO632" s="87"/>
      <c r="DP632" s="87"/>
      <c r="DQ632" s="87"/>
      <c r="DR632" s="87"/>
      <c r="DS632" s="87"/>
      <c r="DT632" s="87"/>
      <c r="DU632" s="87"/>
      <c r="DV632" s="87"/>
      <c r="DW632" s="87"/>
      <c r="DX632" s="87"/>
      <c r="DY632" s="87"/>
      <c r="DZ632" s="87"/>
      <c r="EA632" s="87"/>
      <c r="EB632" s="87"/>
      <c r="EC632" s="87"/>
      <c r="ED632" s="87"/>
      <c r="EE632" s="87"/>
      <c r="EF632" s="87"/>
      <c r="EG632" s="87"/>
      <c r="EH632" s="87"/>
      <c r="EI632" s="100"/>
      <c r="EJ632" s="100"/>
      <c r="EK632" s="100"/>
      <c r="EL632" s="100"/>
      <c r="EM632" s="100"/>
      <c r="EN632" s="100"/>
      <c r="EO632" s="100"/>
      <c r="EP632" s="87"/>
      <c r="EQ632" s="87"/>
      <c r="ER632" s="87"/>
      <c r="ES632" s="87"/>
      <c r="ET632" s="87"/>
      <c r="EU632" s="87"/>
      <c r="EV632" s="87"/>
      <c r="EW632" s="87"/>
      <c r="EX632" s="87"/>
      <c r="EY632" s="87"/>
      <c r="EZ632" s="87"/>
      <c r="FA632" s="87"/>
      <c r="FB632" s="87"/>
      <c r="FC632" s="87"/>
      <c r="FD632" s="87"/>
      <c r="FE632" s="87"/>
      <c r="FF632" s="87"/>
      <c r="FG632" s="87"/>
      <c r="FH632" s="87"/>
      <c r="FI632" s="87"/>
      <c r="FJ632" s="87"/>
      <c r="FK632" s="87"/>
    </row>
    <row r="633" spans="1:167" hidden="1" outlineLevel="1">
      <c r="A633" s="31" t="str">
        <f t="shared" si="42"/>
        <v>lt002_insrmntcnclld_instrmnt_stts</v>
      </c>
      <c r="B633" s="76" t="s">
        <v>32</v>
      </c>
      <c r="C633" s="77" t="s">
        <v>32</v>
      </c>
      <c r="D633" s="73" t="s">
        <v>40</v>
      </c>
      <c r="E633" s="75" t="s">
        <v>439</v>
      </c>
      <c r="F633" s="73" t="s">
        <v>470</v>
      </c>
      <c r="G633" s="73" t="str">
        <f>INDEX(Auxiliar!$B$16:$B$23,MATCH(Plano_V1!H633,Auxiliar!$C$16:$C$23,0),1)</f>
        <v>2. Em Teste</v>
      </c>
      <c r="H633" s="73">
        <f>VLOOKUP(A633,'Aux - pivots1'!$A:$B,2,0)</f>
        <v>2</v>
      </c>
      <c r="I633" s="93">
        <f>SUMIFS(Table1[Estimação (horas)],Table1[Tabela],Plano_V1!E633,Table1[Campo],Plano_V1!F633)</f>
        <v>12.1</v>
      </c>
      <c r="J633" s="93">
        <f t="shared" si="41"/>
        <v>1.5125</v>
      </c>
      <c r="K633" s="98" t="s">
        <v>39</v>
      </c>
      <c r="L633" s="99">
        <f t="shared" si="40"/>
        <v>1.5125</v>
      </c>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c r="AM633" s="87"/>
      <c r="AN633" s="87"/>
      <c r="AO633" s="87"/>
      <c r="AP633" s="87"/>
      <c r="AQ633" s="87"/>
      <c r="AR633" s="87"/>
      <c r="AS633" s="87"/>
      <c r="AT633" s="100"/>
      <c r="AU633" s="87"/>
      <c r="AV633" s="87"/>
      <c r="AW633" s="87"/>
      <c r="AX633" s="87"/>
      <c r="AY633" s="87"/>
      <c r="AZ633" s="87"/>
      <c r="BA633" s="87"/>
      <c r="BB633" s="87"/>
      <c r="BC633" s="87"/>
      <c r="BD633" s="87"/>
      <c r="BE633" s="87"/>
      <c r="BF633" s="87"/>
      <c r="BG633" s="87"/>
      <c r="BH633" s="87"/>
      <c r="BI633" s="87"/>
      <c r="BJ633" s="87"/>
      <c r="BK633" s="87"/>
      <c r="BL633" s="87"/>
      <c r="BM633" s="87"/>
      <c r="BN633" s="87"/>
      <c r="BO633" s="87"/>
      <c r="BP633" s="87"/>
      <c r="BQ633" s="87"/>
      <c r="BR633" s="87"/>
      <c r="BS633" s="87"/>
      <c r="BT633" s="87"/>
      <c r="BU633" s="87"/>
      <c r="BV633" s="87"/>
      <c r="BW633" s="87"/>
      <c r="BX633" s="87"/>
      <c r="BY633" s="87"/>
      <c r="BZ633" s="87"/>
      <c r="CA633" s="87"/>
      <c r="CB633" s="87"/>
      <c r="CC633" s="87"/>
      <c r="CD633" s="87"/>
      <c r="CE633" s="87"/>
      <c r="CF633" s="87"/>
      <c r="CG633" s="87"/>
      <c r="CH633" s="87"/>
      <c r="CI633" s="87"/>
      <c r="CJ633" s="87"/>
      <c r="CK633" s="87"/>
      <c r="CL633" s="87"/>
      <c r="CM633" s="87"/>
      <c r="CN633" s="87"/>
      <c r="CO633" s="87"/>
      <c r="CP633" s="87"/>
      <c r="CQ633" s="87"/>
      <c r="CR633" s="87"/>
      <c r="CS633" s="87"/>
      <c r="CT633" s="87"/>
      <c r="CU633" s="87"/>
      <c r="CV633" s="87"/>
      <c r="CW633" s="87"/>
      <c r="CX633" s="87"/>
      <c r="CY633" s="87"/>
      <c r="CZ633" s="87"/>
      <c r="DA633" s="87"/>
      <c r="DB633" s="87"/>
      <c r="DC633" s="87"/>
      <c r="DD633" s="87"/>
      <c r="DE633" s="87"/>
      <c r="DF633" s="87"/>
      <c r="DG633" s="87"/>
      <c r="DH633" s="87"/>
      <c r="DI633" s="87"/>
      <c r="DJ633" s="87"/>
      <c r="DK633" s="87"/>
      <c r="DL633" s="87"/>
      <c r="DM633" s="87"/>
      <c r="DN633" s="87"/>
      <c r="DO633" s="87"/>
      <c r="DP633" s="87"/>
      <c r="DQ633" s="87"/>
      <c r="DR633" s="87"/>
      <c r="DS633" s="87"/>
      <c r="DT633" s="87"/>
      <c r="DU633" s="87"/>
      <c r="DV633" s="87"/>
      <c r="DW633" s="87"/>
      <c r="DX633" s="87"/>
      <c r="DY633" s="87"/>
      <c r="DZ633" s="87"/>
      <c r="EA633" s="87"/>
      <c r="EB633" s="87"/>
      <c r="EC633" s="87"/>
      <c r="ED633" s="87"/>
      <c r="EE633" s="87"/>
      <c r="EF633" s="87"/>
      <c r="EG633" s="87"/>
      <c r="EH633" s="87"/>
      <c r="EI633" s="100"/>
      <c r="EJ633" s="100"/>
      <c r="EK633" s="100"/>
      <c r="EL633" s="100"/>
      <c r="EM633" s="100"/>
      <c r="EN633" s="100"/>
      <c r="EO633" s="100"/>
      <c r="EP633" s="87"/>
      <c r="EQ633" s="87"/>
      <c r="ER633" s="87"/>
      <c r="ES633" s="87"/>
      <c r="ET633" s="87"/>
      <c r="EU633" s="87"/>
      <c r="EV633" s="87"/>
      <c r="EW633" s="87"/>
      <c r="EX633" s="87"/>
      <c r="EY633" s="87"/>
      <c r="EZ633" s="87"/>
      <c r="FA633" s="87"/>
      <c r="FB633" s="87"/>
      <c r="FC633" s="87"/>
      <c r="FD633" s="87"/>
      <c r="FE633" s="87"/>
      <c r="FF633" s="87"/>
      <c r="FG633" s="87"/>
      <c r="FH633" s="87"/>
      <c r="FI633" s="87"/>
      <c r="FJ633" s="87"/>
      <c r="FK633" s="87"/>
    </row>
    <row r="634" spans="1:167" hidden="1" outlineLevel="1">
      <c r="A634" s="31" t="str">
        <f t="shared" si="42"/>
        <v>lt002_insrmntsstnbl_indctr</v>
      </c>
      <c r="B634" s="76" t="s">
        <v>32</v>
      </c>
      <c r="C634" s="77" t="s">
        <v>32</v>
      </c>
      <c r="D634" s="73" t="s">
        <v>40</v>
      </c>
      <c r="E634" s="75" t="s">
        <v>439</v>
      </c>
      <c r="F634" s="73" t="s">
        <v>406</v>
      </c>
      <c r="G634" s="73" t="str">
        <f>INDEX(Auxiliar!$B$16:$B$23,MATCH(Plano_V1!H634,Auxiliar!$C$16:$C$23,0),1)</f>
        <v>2. Em Teste</v>
      </c>
      <c r="H634" s="73">
        <f>VLOOKUP(A634,'Aux - pivots1'!$A:$B,2,0)</f>
        <v>2</v>
      </c>
      <c r="I634" s="93">
        <f>SUMIFS(Table1[Estimação (horas)],Table1[Tabela],Plano_V1!E634,Table1[Campo],Plano_V1!F634)</f>
        <v>14.1</v>
      </c>
      <c r="J634" s="93">
        <f t="shared" si="41"/>
        <v>1.7625</v>
      </c>
      <c r="K634" s="98" t="s">
        <v>39</v>
      </c>
      <c r="L634" s="99">
        <f t="shared" si="40"/>
        <v>1.7625</v>
      </c>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c r="AM634" s="87"/>
      <c r="AN634" s="87"/>
      <c r="AO634" s="87"/>
      <c r="AP634" s="87"/>
      <c r="AQ634" s="87"/>
      <c r="AR634" s="87"/>
      <c r="AS634" s="87"/>
      <c r="AT634" s="100"/>
      <c r="AU634" s="87"/>
      <c r="AV634" s="87"/>
      <c r="AW634" s="87"/>
      <c r="AX634" s="87"/>
      <c r="AY634" s="87"/>
      <c r="AZ634" s="87"/>
      <c r="BA634" s="87"/>
      <c r="BB634" s="87"/>
      <c r="BC634" s="87"/>
      <c r="BD634" s="87"/>
      <c r="BE634" s="87"/>
      <c r="BF634" s="87"/>
      <c r="BG634" s="87"/>
      <c r="BH634" s="87"/>
      <c r="BI634" s="87"/>
      <c r="BJ634" s="87"/>
      <c r="BK634" s="87"/>
      <c r="BL634" s="87"/>
      <c r="BM634" s="87"/>
      <c r="BN634" s="87"/>
      <c r="BO634" s="87"/>
      <c r="BP634" s="87"/>
      <c r="BQ634" s="87"/>
      <c r="BR634" s="87"/>
      <c r="BS634" s="87"/>
      <c r="BT634" s="87"/>
      <c r="BU634" s="87"/>
      <c r="BV634" s="87"/>
      <c r="BW634" s="87"/>
      <c r="BX634" s="87"/>
      <c r="BY634" s="87"/>
      <c r="BZ634" s="87"/>
      <c r="CA634" s="87"/>
      <c r="CB634" s="87"/>
      <c r="CC634" s="87"/>
      <c r="CD634" s="87"/>
      <c r="CE634" s="87"/>
      <c r="CF634" s="87"/>
      <c r="CG634" s="87"/>
      <c r="CH634" s="87"/>
      <c r="CI634" s="87"/>
      <c r="CJ634" s="87"/>
      <c r="CK634" s="87"/>
      <c r="CL634" s="87"/>
      <c r="CM634" s="87"/>
      <c r="CN634" s="87"/>
      <c r="CO634" s="87"/>
      <c r="CP634" s="87"/>
      <c r="CQ634" s="87"/>
      <c r="CR634" s="87"/>
      <c r="CS634" s="87"/>
      <c r="CT634" s="87"/>
      <c r="CU634" s="87"/>
      <c r="CV634" s="87"/>
      <c r="CW634" s="87"/>
      <c r="CX634" s="87"/>
      <c r="CY634" s="87"/>
      <c r="CZ634" s="87"/>
      <c r="DA634" s="87"/>
      <c r="DB634" s="87"/>
      <c r="DC634" s="87"/>
      <c r="DD634" s="87"/>
      <c r="DE634" s="87"/>
      <c r="DF634" s="87"/>
      <c r="DG634" s="87"/>
      <c r="DH634" s="87"/>
      <c r="DI634" s="87"/>
      <c r="DJ634" s="87"/>
      <c r="DK634" s="87"/>
      <c r="DL634" s="87"/>
      <c r="DM634" s="87"/>
      <c r="DN634" s="87"/>
      <c r="DO634" s="87"/>
      <c r="DP634" s="87"/>
      <c r="DQ634" s="87"/>
      <c r="DR634" s="87"/>
      <c r="DS634" s="87"/>
      <c r="DT634" s="87"/>
      <c r="DU634" s="87"/>
      <c r="DV634" s="87"/>
      <c r="DW634" s="87"/>
      <c r="DX634" s="87"/>
      <c r="DY634" s="87"/>
      <c r="DZ634" s="87"/>
      <c r="EA634" s="87"/>
      <c r="EB634" s="87"/>
      <c r="EC634" s="87"/>
      <c r="ED634" s="87"/>
      <c r="EE634" s="87"/>
      <c r="EF634" s="87"/>
      <c r="EG634" s="87"/>
      <c r="EH634" s="87"/>
      <c r="EI634" s="100"/>
      <c r="EJ634" s="100"/>
      <c r="EK634" s="100"/>
      <c r="EL634" s="100"/>
      <c r="EM634" s="100"/>
      <c r="EN634" s="100"/>
      <c r="EO634" s="100"/>
      <c r="EP634" s="87"/>
      <c r="EQ634" s="87"/>
      <c r="ER634" s="87"/>
      <c r="ES634" s="87"/>
      <c r="ET634" s="87"/>
      <c r="EU634" s="87"/>
      <c r="EV634" s="87"/>
      <c r="EW634" s="87"/>
      <c r="EX634" s="87"/>
      <c r="EY634" s="87"/>
      <c r="EZ634" s="87"/>
      <c r="FA634" s="87"/>
      <c r="FB634" s="87"/>
      <c r="FC634" s="87"/>
      <c r="FD634" s="87"/>
      <c r="FE634" s="87"/>
      <c r="FF634" s="87"/>
      <c r="FG634" s="87"/>
      <c r="FH634" s="87"/>
      <c r="FI634" s="87"/>
      <c r="FJ634" s="87"/>
      <c r="FK634" s="87"/>
    </row>
    <row r="635" spans="1:167" hidden="1" outlineLevel="1">
      <c r="A635" s="31" t="str">
        <f t="shared" si="42"/>
        <v>Re-testesn.a.</v>
      </c>
      <c r="B635" s="76" t="s">
        <v>28</v>
      </c>
      <c r="C635" s="77" t="s">
        <v>54</v>
      </c>
      <c r="D635" s="73" t="s">
        <v>40</v>
      </c>
      <c r="E635" s="75" t="s">
        <v>53</v>
      </c>
      <c r="F635" s="73" t="s">
        <v>38</v>
      </c>
      <c r="G635" s="73" t="s">
        <v>177</v>
      </c>
      <c r="H635" s="73"/>
      <c r="I635" s="93">
        <f>SUM(I584:I634)*D7</f>
        <v>41.037500000000009</v>
      </c>
      <c r="J635" s="93">
        <f>I635/8</f>
        <v>5.1296875000000011</v>
      </c>
      <c r="K635" s="98" t="s">
        <v>39</v>
      </c>
      <c r="L635" s="99">
        <f t="shared" si="40"/>
        <v>5.1296875000000011</v>
      </c>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c r="AM635" s="87"/>
      <c r="AN635" s="87"/>
      <c r="AO635" s="87"/>
      <c r="AP635" s="87"/>
      <c r="AQ635" s="87"/>
      <c r="AR635" s="87"/>
      <c r="AS635" s="87"/>
      <c r="AT635" s="100"/>
      <c r="AU635" s="87"/>
      <c r="AV635" s="87"/>
      <c r="AW635" s="87"/>
      <c r="AX635" s="87"/>
      <c r="AY635" s="87"/>
      <c r="AZ635" s="87"/>
      <c r="BA635" s="87"/>
      <c r="BB635" s="87"/>
      <c r="BC635" s="87"/>
      <c r="BD635" s="87"/>
      <c r="BE635" s="87"/>
      <c r="BF635" s="87"/>
      <c r="BG635" s="87"/>
      <c r="BH635" s="87"/>
      <c r="BI635" s="87"/>
      <c r="BJ635" s="87"/>
      <c r="BK635" s="87"/>
      <c r="BL635" s="87"/>
      <c r="BM635" s="87"/>
      <c r="BN635" s="87"/>
      <c r="BO635" s="87"/>
      <c r="BP635" s="87"/>
      <c r="BQ635" s="87"/>
      <c r="BR635" s="87"/>
      <c r="BS635" s="87"/>
      <c r="BT635" s="87"/>
      <c r="BU635" s="87"/>
      <c r="BV635" s="87"/>
      <c r="BW635" s="87"/>
      <c r="BX635" s="87"/>
      <c r="BY635" s="87"/>
      <c r="BZ635" s="87"/>
      <c r="CA635" s="87"/>
      <c r="CB635" s="87"/>
      <c r="CC635" s="87"/>
      <c r="CD635" s="87"/>
      <c r="CE635" s="87"/>
      <c r="CF635" s="87"/>
      <c r="CG635" s="87"/>
      <c r="CH635" s="87"/>
      <c r="CI635" s="87"/>
      <c r="CJ635" s="87"/>
      <c r="CK635" s="87"/>
      <c r="CL635" s="87"/>
      <c r="CM635" s="87"/>
      <c r="CN635" s="87"/>
      <c r="CO635" s="87"/>
      <c r="CP635" s="87"/>
      <c r="CQ635" s="87"/>
      <c r="CR635" s="87"/>
      <c r="CS635" s="87"/>
      <c r="CT635" s="87"/>
      <c r="CU635" s="87"/>
      <c r="CV635" s="87"/>
      <c r="CW635" s="87"/>
      <c r="CX635" s="87"/>
      <c r="CY635" s="87"/>
      <c r="CZ635" s="87"/>
      <c r="DA635" s="87"/>
      <c r="DB635" s="87"/>
      <c r="DC635" s="87"/>
      <c r="DD635" s="87"/>
      <c r="DE635" s="87"/>
      <c r="DF635" s="87"/>
      <c r="DG635" s="87"/>
      <c r="DH635" s="87"/>
      <c r="DI635" s="87"/>
      <c r="DJ635" s="87"/>
      <c r="DK635" s="87"/>
      <c r="DL635" s="87"/>
      <c r="DM635" s="87"/>
      <c r="DN635" s="87"/>
      <c r="DO635" s="87"/>
      <c r="DP635" s="87"/>
      <c r="DQ635" s="87"/>
      <c r="DR635" s="87"/>
      <c r="DS635" s="87"/>
      <c r="DT635" s="87"/>
      <c r="DU635" s="87"/>
      <c r="DV635" s="87"/>
      <c r="DW635" s="87"/>
      <c r="DX635" s="87"/>
      <c r="DY635" s="87"/>
      <c r="DZ635" s="87"/>
      <c r="EA635" s="87"/>
      <c r="EB635" s="87"/>
      <c r="EC635" s="87"/>
      <c r="ED635" s="87"/>
      <c r="EE635" s="87"/>
      <c r="EF635" s="87"/>
      <c r="EG635" s="87"/>
      <c r="EH635" s="87"/>
      <c r="EI635" s="100"/>
      <c r="EJ635" s="100"/>
      <c r="EK635" s="100"/>
      <c r="EL635" s="100"/>
      <c r="EM635" s="100"/>
      <c r="EN635" s="100"/>
      <c r="EO635" s="100"/>
      <c r="EP635" s="87"/>
      <c r="EQ635" s="87"/>
      <c r="ER635" s="87"/>
      <c r="ES635" s="87"/>
      <c r="ET635" s="87"/>
      <c r="EU635" s="87"/>
      <c r="EV635" s="87"/>
      <c r="EW635" s="87"/>
      <c r="EX635" s="87"/>
      <c r="EY635" s="87"/>
      <c r="EZ635" s="87"/>
      <c r="FA635" s="87"/>
      <c r="FB635" s="87"/>
      <c r="FC635" s="87"/>
      <c r="FD635" s="87"/>
      <c r="FE635" s="87"/>
      <c r="FF635" s="87"/>
      <c r="FG635" s="87"/>
      <c r="FH635" s="87"/>
      <c r="FI635" s="87"/>
      <c r="FJ635" s="87"/>
      <c r="FK635" s="87"/>
    </row>
    <row r="636" spans="1:167" collapsed="1">
      <c r="A636" s="31" t="str">
        <f>E636&amp;F636</f>
        <v/>
      </c>
      <c r="B636" s="74" t="s">
        <v>32</v>
      </c>
      <c r="C636" s="73" t="s">
        <v>435</v>
      </c>
      <c r="D636" s="73"/>
      <c r="E636" s="73"/>
      <c r="F636" s="73"/>
      <c r="G636" s="73" t="s">
        <v>30</v>
      </c>
      <c r="H636" s="73"/>
      <c r="I636" s="108">
        <f>J636*8</f>
        <v>40</v>
      </c>
      <c r="J636" s="108">
        <v>5</v>
      </c>
      <c r="K636" s="96"/>
      <c r="L636" s="99">
        <f t="shared" si="40"/>
        <v>3</v>
      </c>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c r="AM636" s="87"/>
      <c r="AN636" s="87"/>
      <c r="AO636" s="87"/>
      <c r="AP636" s="87"/>
      <c r="AQ636" s="87"/>
      <c r="AR636" s="87"/>
      <c r="AS636" s="87"/>
      <c r="AT636" s="100"/>
      <c r="AU636" s="87"/>
      <c r="AV636" s="87"/>
      <c r="AW636" s="87"/>
      <c r="AX636" s="87"/>
      <c r="AY636" s="87"/>
      <c r="AZ636" s="87"/>
      <c r="BA636" s="87"/>
      <c r="BB636" s="87"/>
      <c r="BC636" s="87"/>
      <c r="BD636" s="87"/>
      <c r="BE636" s="87"/>
      <c r="BF636" s="87"/>
      <c r="BG636" s="87"/>
      <c r="BH636" s="87"/>
      <c r="BI636" s="87"/>
      <c r="BJ636" s="87"/>
      <c r="BK636" s="87"/>
      <c r="BL636" s="87"/>
      <c r="BM636" s="87"/>
      <c r="BN636" s="87"/>
      <c r="BO636" s="87"/>
      <c r="BP636" s="87"/>
      <c r="BQ636" s="87"/>
      <c r="BR636" s="87"/>
      <c r="BS636" s="87"/>
      <c r="BT636" s="87"/>
      <c r="BU636" s="87"/>
      <c r="BV636" s="87"/>
      <c r="BW636" s="87"/>
      <c r="BX636" s="87"/>
      <c r="BY636" s="87"/>
      <c r="BZ636" s="87"/>
      <c r="CA636" s="87"/>
      <c r="CB636" s="87"/>
      <c r="CC636" s="87"/>
      <c r="CD636" s="87"/>
      <c r="CE636" s="87"/>
      <c r="CF636" s="87"/>
      <c r="CG636" s="87"/>
      <c r="CH636" s="87"/>
      <c r="CI636" s="87"/>
      <c r="CJ636" s="87"/>
      <c r="CK636" s="87"/>
      <c r="CL636" s="87"/>
      <c r="CM636" s="87"/>
      <c r="CN636" s="87"/>
      <c r="CO636" s="87"/>
      <c r="CP636" s="87"/>
      <c r="CQ636" s="87"/>
      <c r="CR636" s="87"/>
      <c r="CS636" s="87"/>
      <c r="CT636" s="87"/>
      <c r="CU636" s="87"/>
      <c r="CV636" s="87"/>
      <c r="CW636" s="87"/>
      <c r="CX636" s="87"/>
      <c r="CY636" s="87"/>
      <c r="CZ636" s="87"/>
      <c r="DA636" s="87"/>
      <c r="DB636" s="87"/>
      <c r="DC636" s="87"/>
      <c r="DD636" s="87"/>
      <c r="DE636" s="87"/>
      <c r="DF636" s="87"/>
      <c r="DG636" s="87"/>
      <c r="DH636" s="87"/>
      <c r="DI636" s="87"/>
      <c r="DJ636" s="87"/>
      <c r="DK636" s="87"/>
      <c r="DL636" s="87"/>
      <c r="DM636" s="87"/>
      <c r="DN636" s="87"/>
      <c r="DO636" s="87"/>
      <c r="DP636" s="87"/>
      <c r="DQ636" s="87"/>
      <c r="DR636" s="87"/>
      <c r="DS636" s="87"/>
      <c r="DT636" s="87"/>
      <c r="DU636" s="87"/>
      <c r="DV636" s="87"/>
      <c r="DW636" s="87"/>
      <c r="DX636" s="87"/>
      <c r="DY636" s="87"/>
      <c r="DZ636" s="87"/>
      <c r="EA636" s="87"/>
      <c r="EB636" s="87"/>
      <c r="EC636" s="87"/>
      <c r="ED636" s="87"/>
      <c r="EE636" s="87"/>
      <c r="EF636" s="87"/>
      <c r="EG636" s="87"/>
      <c r="EH636" s="87"/>
      <c r="EI636" s="100"/>
      <c r="EJ636" s="100"/>
      <c r="EK636" s="100"/>
      <c r="EL636" s="100"/>
      <c r="EM636" s="100"/>
      <c r="EN636" s="100"/>
      <c r="EO636" s="100"/>
      <c r="EP636" s="87"/>
      <c r="EQ636" s="87"/>
      <c r="ER636" s="87"/>
      <c r="ES636" s="87"/>
      <c r="ET636" s="87"/>
      <c r="EU636" s="87"/>
      <c r="EV636" s="87"/>
      <c r="EW636" s="87"/>
      <c r="EX636" s="87"/>
      <c r="EY636" s="87"/>
      <c r="EZ636" s="87"/>
      <c r="FA636" s="87"/>
      <c r="FB636" s="87"/>
      <c r="FC636" s="87"/>
      <c r="FD636" s="87"/>
      <c r="FE636" s="87"/>
      <c r="FF636" s="87"/>
      <c r="FG636" s="87"/>
      <c r="FH636" s="87"/>
      <c r="FI636" s="87"/>
      <c r="FJ636" s="87"/>
      <c r="FK636" s="87">
        <v>2</v>
      </c>
    </row>
    <row r="639" spans="1:167">
      <c r="D639" s="13"/>
      <c r="AT639" t="s">
        <v>431</v>
      </c>
    </row>
  </sheetData>
  <autoFilter ref="B13:K636"/>
  <conditionalFormatting sqref="L15:L18 L26:L447">
    <cfRule type="cellIs" dxfId="111" priority="11" operator="notEqual">
      <formula>0</formula>
    </cfRule>
  </conditionalFormatting>
  <conditionalFormatting sqref="L21:L23">
    <cfRule type="cellIs" dxfId="110" priority="3" operator="notEqual">
      <formula>0</formula>
    </cfRule>
  </conditionalFormatting>
  <conditionalFormatting sqref="L577:L579">
    <cfRule type="cellIs" dxfId="109" priority="2" operator="notEqual">
      <formula>0</formula>
    </cfRule>
  </conditionalFormatting>
  <conditionalFormatting sqref="L582:L636">
    <cfRule type="cellIs" dxfId="108" priority="1" operator="notEqual">
      <formula>0</formula>
    </cfRule>
  </conditionalFormatting>
  <conditionalFormatting sqref="M5:M6 N6:FK6">
    <cfRule type="cellIs" dxfId="107" priority="12" operator="notEqual">
      <formula>0</formula>
    </cfRule>
  </conditionalFormatting>
  <conditionalFormatting sqref="M15:FK18 M21:FK23 M577:FK579 M636:FK636">
    <cfRule type="cellIs" dxfId="106" priority="10" operator="greaterThan">
      <formula>0</formula>
    </cfRule>
  </conditionalFormatting>
  <conditionalFormatting sqref="M26:FK27">
    <cfRule type="cellIs" dxfId="105" priority="9" operator="greaterThan">
      <formula>0</formula>
    </cfRule>
  </conditionalFormatting>
  <conditionalFormatting sqref="M42:FK42">
    <cfRule type="cellIs" dxfId="104" priority="8" operator="greaterThan">
      <formula>0</formula>
    </cfRule>
  </conditionalFormatting>
  <conditionalFormatting sqref="M198:FK198">
    <cfRule type="cellIs" dxfId="103" priority="7" operator="greaterThan">
      <formula>0</formula>
    </cfRule>
  </conditionalFormatting>
  <conditionalFormatting sqref="M362:FK362">
    <cfRule type="cellIs" dxfId="102" priority="6" operator="greaterThan">
      <formula>0</formula>
    </cfRule>
  </conditionalFormatting>
  <conditionalFormatting sqref="M447:FK447">
    <cfRule type="cellIs" dxfId="101" priority="5" operator="greaterThan">
      <formula>0</formula>
    </cfRule>
  </conditionalFormatting>
  <conditionalFormatting sqref="M582:FK583">
    <cfRule type="cellIs" dxfId="100"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8"/>
  <sheetViews>
    <sheetView showGridLines="0" tabSelected="1" zoomScale="70" zoomScaleNormal="70" workbookViewId="0">
      <selection activeCell="U26" sqref="U26"/>
    </sheetView>
  </sheetViews>
  <sheetFormatPr defaultColWidth="0" defaultRowHeight="17.399999999999999" zeroHeight="1"/>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796875" style="27" hidden="1"/>
  </cols>
  <sheetData>
    <row r="1" spans="1:34"/>
    <row r="2" spans="1:34"/>
    <row r="3" spans="1:34"/>
    <row r="4" spans="1:34"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row>
    <row r="5" spans="1:34">
      <c r="A5" s="135"/>
      <c r="B5" s="135"/>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row>
    <row r="6" spans="1:34" ht="22.2">
      <c r="A6" s="135"/>
      <c r="B6" s="145" t="s">
        <v>1891</v>
      </c>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row>
    <row r="7" spans="1:34" ht="4.95" customHeight="1">
      <c r="A7" s="135"/>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5"/>
      <c r="AC7" s="135"/>
      <c r="AD7" s="135"/>
      <c r="AE7" s="135"/>
      <c r="AF7" s="135"/>
      <c r="AG7" s="135"/>
      <c r="AH7" s="135"/>
    </row>
    <row r="8" spans="1:34" ht="17.55" customHeight="1">
      <c r="A8" s="135"/>
      <c r="B8" s="210" t="s">
        <v>1889</v>
      </c>
      <c r="C8" s="211"/>
      <c r="D8" s="211"/>
      <c r="E8" s="211"/>
      <c r="F8" s="211"/>
      <c r="G8" s="211"/>
      <c r="H8" s="211"/>
      <c r="I8" s="211"/>
      <c r="J8" s="211"/>
      <c r="K8" s="211"/>
      <c r="L8" s="211"/>
      <c r="M8" s="211"/>
      <c r="N8" s="211"/>
      <c r="O8" s="211"/>
      <c r="P8" s="211"/>
      <c r="Q8" s="211"/>
      <c r="R8" s="211"/>
      <c r="S8" s="211"/>
      <c r="T8" s="211"/>
      <c r="U8" s="211"/>
      <c r="V8" s="211"/>
      <c r="W8" s="211"/>
      <c r="X8" s="211"/>
      <c r="Y8" s="211"/>
      <c r="Z8" s="211"/>
      <c r="AA8" s="211"/>
      <c r="AB8" s="211"/>
      <c r="AC8" s="211"/>
      <c r="AD8" s="211"/>
      <c r="AE8" s="211"/>
      <c r="AF8" s="211"/>
      <c r="AG8" s="212"/>
      <c r="AH8" s="135"/>
    </row>
    <row r="9" spans="1:34" ht="17.55" customHeight="1">
      <c r="A9" s="135"/>
      <c r="B9" s="213"/>
      <c r="C9" s="214"/>
      <c r="D9" s="214"/>
      <c r="E9" s="214"/>
      <c r="F9" s="214"/>
      <c r="G9" s="214"/>
      <c r="H9" s="214"/>
      <c r="I9" s="214"/>
      <c r="J9" s="214"/>
      <c r="K9" s="214"/>
      <c r="L9" s="214"/>
      <c r="M9" s="214"/>
      <c r="N9" s="214"/>
      <c r="O9" s="214"/>
      <c r="P9" s="214"/>
      <c r="Q9" s="214"/>
      <c r="R9" s="214"/>
      <c r="S9" s="214"/>
      <c r="T9" s="214"/>
      <c r="U9" s="214"/>
      <c r="V9" s="214"/>
      <c r="W9" s="214"/>
      <c r="X9" s="214"/>
      <c r="Y9" s="214"/>
      <c r="Z9" s="214"/>
      <c r="AA9" s="214"/>
      <c r="AB9" s="214"/>
      <c r="AC9" s="214"/>
      <c r="AD9" s="214"/>
      <c r="AE9" s="214"/>
      <c r="AF9" s="214"/>
      <c r="AG9" s="215"/>
      <c r="AH9" s="135"/>
    </row>
    <row r="10" spans="1:34" ht="17.55" customHeight="1">
      <c r="A10" s="135"/>
      <c r="B10" s="213"/>
      <c r="C10" s="214"/>
      <c r="D10" s="214"/>
      <c r="E10" s="214"/>
      <c r="F10" s="214"/>
      <c r="G10" s="214"/>
      <c r="H10" s="214"/>
      <c r="I10" s="214"/>
      <c r="J10" s="214"/>
      <c r="K10" s="214"/>
      <c r="L10" s="214"/>
      <c r="M10" s="214"/>
      <c r="N10" s="214"/>
      <c r="O10" s="214"/>
      <c r="P10" s="214"/>
      <c r="Q10" s="214"/>
      <c r="R10" s="214"/>
      <c r="S10" s="214"/>
      <c r="T10" s="214"/>
      <c r="U10" s="214"/>
      <c r="V10" s="214"/>
      <c r="W10" s="214"/>
      <c r="X10" s="214"/>
      <c r="Y10" s="214"/>
      <c r="Z10" s="214"/>
      <c r="AA10" s="214"/>
      <c r="AB10" s="214"/>
      <c r="AC10" s="214"/>
      <c r="AD10" s="214"/>
      <c r="AE10" s="214"/>
      <c r="AF10" s="214"/>
      <c r="AG10" s="215"/>
      <c r="AH10" s="135"/>
    </row>
    <row r="11" spans="1:34" ht="17.55" customHeight="1">
      <c r="A11" s="135"/>
      <c r="B11" s="213"/>
      <c r="C11" s="214"/>
      <c r="D11" s="214"/>
      <c r="E11" s="214"/>
      <c r="F11" s="214"/>
      <c r="G11" s="214"/>
      <c r="H11" s="214"/>
      <c r="I11" s="214"/>
      <c r="J11" s="214"/>
      <c r="K11" s="214"/>
      <c r="L11" s="214"/>
      <c r="M11" s="214"/>
      <c r="N11" s="214"/>
      <c r="O11" s="214"/>
      <c r="P11" s="214"/>
      <c r="Q11" s="214"/>
      <c r="R11" s="214"/>
      <c r="S11" s="214"/>
      <c r="T11" s="214"/>
      <c r="U11" s="214"/>
      <c r="V11" s="214"/>
      <c r="W11" s="214"/>
      <c r="X11" s="214"/>
      <c r="Y11" s="214"/>
      <c r="Z11" s="214"/>
      <c r="AA11" s="214"/>
      <c r="AB11" s="214"/>
      <c r="AC11" s="214"/>
      <c r="AD11" s="214"/>
      <c r="AE11" s="214"/>
      <c r="AF11" s="214"/>
      <c r="AG11" s="215"/>
      <c r="AH11" s="135"/>
    </row>
    <row r="12" spans="1:34" ht="17.55" customHeight="1">
      <c r="A12" s="135"/>
      <c r="B12" s="213"/>
      <c r="C12" s="214"/>
      <c r="D12" s="214"/>
      <c r="E12" s="214"/>
      <c r="F12" s="214"/>
      <c r="G12" s="214"/>
      <c r="H12" s="214"/>
      <c r="I12" s="214"/>
      <c r="J12" s="214"/>
      <c r="K12" s="214"/>
      <c r="L12" s="214"/>
      <c r="M12" s="214"/>
      <c r="N12" s="214"/>
      <c r="O12" s="214"/>
      <c r="P12" s="214"/>
      <c r="Q12" s="214"/>
      <c r="R12" s="214"/>
      <c r="S12" s="214"/>
      <c r="T12" s="214"/>
      <c r="U12" s="214"/>
      <c r="V12" s="214"/>
      <c r="W12" s="214"/>
      <c r="X12" s="214"/>
      <c r="Y12" s="214"/>
      <c r="Z12" s="214"/>
      <c r="AA12" s="214"/>
      <c r="AB12" s="214"/>
      <c r="AC12" s="214"/>
      <c r="AD12" s="214"/>
      <c r="AE12" s="214"/>
      <c r="AF12" s="214"/>
      <c r="AG12" s="215"/>
      <c r="AH12" s="135"/>
    </row>
    <row r="13" spans="1:34" ht="17.55" customHeight="1">
      <c r="A13" s="135"/>
      <c r="B13" s="213"/>
      <c r="C13" s="214"/>
      <c r="D13" s="214"/>
      <c r="E13" s="214"/>
      <c r="F13" s="214"/>
      <c r="G13" s="214"/>
      <c r="H13" s="214"/>
      <c r="I13" s="214"/>
      <c r="J13" s="214"/>
      <c r="K13" s="214"/>
      <c r="L13" s="214"/>
      <c r="M13" s="214"/>
      <c r="N13" s="214"/>
      <c r="O13" s="214"/>
      <c r="P13" s="214"/>
      <c r="Q13" s="214"/>
      <c r="R13" s="214"/>
      <c r="S13" s="214"/>
      <c r="T13" s="214"/>
      <c r="U13" s="214"/>
      <c r="V13" s="214"/>
      <c r="W13" s="214"/>
      <c r="X13" s="214"/>
      <c r="Y13" s="214"/>
      <c r="Z13" s="214"/>
      <c r="AA13" s="214"/>
      <c r="AB13" s="214"/>
      <c r="AC13" s="214"/>
      <c r="AD13" s="214"/>
      <c r="AE13" s="214"/>
      <c r="AF13" s="214"/>
      <c r="AG13" s="215"/>
      <c r="AH13" s="135"/>
    </row>
    <row r="14" spans="1:34" ht="17.55" customHeight="1">
      <c r="A14" s="135"/>
      <c r="B14" s="213"/>
      <c r="C14" s="214"/>
      <c r="D14" s="214"/>
      <c r="E14" s="214"/>
      <c r="F14" s="214"/>
      <c r="G14" s="214"/>
      <c r="H14" s="214"/>
      <c r="I14" s="214"/>
      <c r="J14" s="214"/>
      <c r="K14" s="214"/>
      <c r="L14" s="214"/>
      <c r="M14" s="214"/>
      <c r="N14" s="214"/>
      <c r="O14" s="214"/>
      <c r="P14" s="214"/>
      <c r="Q14" s="214"/>
      <c r="R14" s="214"/>
      <c r="S14" s="214"/>
      <c r="T14" s="214"/>
      <c r="U14" s="214"/>
      <c r="V14" s="214"/>
      <c r="W14" s="214"/>
      <c r="X14" s="214"/>
      <c r="Y14" s="214"/>
      <c r="Z14" s="214"/>
      <c r="AA14" s="214"/>
      <c r="AB14" s="214"/>
      <c r="AC14" s="214"/>
      <c r="AD14" s="214"/>
      <c r="AE14" s="214"/>
      <c r="AF14" s="214"/>
      <c r="AG14" s="215"/>
      <c r="AH14" s="135"/>
    </row>
    <row r="15" spans="1:34" ht="17.55" customHeight="1">
      <c r="A15" s="135"/>
      <c r="B15" s="213"/>
      <c r="C15" s="214"/>
      <c r="D15" s="214"/>
      <c r="E15" s="214"/>
      <c r="F15" s="214"/>
      <c r="G15" s="214"/>
      <c r="H15" s="214"/>
      <c r="I15" s="214"/>
      <c r="J15" s="214"/>
      <c r="K15" s="214"/>
      <c r="L15" s="214"/>
      <c r="M15" s="214"/>
      <c r="N15" s="214"/>
      <c r="O15" s="214"/>
      <c r="P15" s="214"/>
      <c r="Q15" s="214"/>
      <c r="R15" s="214"/>
      <c r="S15" s="214"/>
      <c r="T15" s="214"/>
      <c r="U15" s="214"/>
      <c r="V15" s="214"/>
      <c r="W15" s="214"/>
      <c r="X15" s="214"/>
      <c r="Y15" s="214"/>
      <c r="Z15" s="214"/>
      <c r="AA15" s="214"/>
      <c r="AB15" s="214"/>
      <c r="AC15" s="214"/>
      <c r="AD15" s="214"/>
      <c r="AE15" s="214"/>
      <c r="AF15" s="214"/>
      <c r="AG15" s="215"/>
      <c r="AH15" s="135"/>
    </row>
    <row r="16" spans="1:34" ht="17.55" customHeight="1">
      <c r="A16" s="135"/>
      <c r="B16" s="213"/>
      <c r="C16" s="214"/>
      <c r="D16" s="214"/>
      <c r="E16" s="214"/>
      <c r="F16" s="214"/>
      <c r="G16" s="214"/>
      <c r="H16" s="214"/>
      <c r="I16" s="214"/>
      <c r="J16" s="214"/>
      <c r="K16" s="214"/>
      <c r="L16" s="214"/>
      <c r="M16" s="214"/>
      <c r="N16" s="214"/>
      <c r="O16" s="214"/>
      <c r="P16" s="214"/>
      <c r="Q16" s="214"/>
      <c r="R16" s="214"/>
      <c r="S16" s="214"/>
      <c r="T16" s="214"/>
      <c r="U16" s="214"/>
      <c r="V16" s="214"/>
      <c r="W16" s="214"/>
      <c r="X16" s="214"/>
      <c r="Y16" s="214"/>
      <c r="Z16" s="214"/>
      <c r="AA16" s="214"/>
      <c r="AB16" s="214"/>
      <c r="AC16" s="214"/>
      <c r="AD16" s="214"/>
      <c r="AE16" s="214"/>
      <c r="AF16" s="214"/>
      <c r="AG16" s="215"/>
      <c r="AH16" s="135"/>
    </row>
    <row r="17" spans="1:34" ht="17.55" customHeight="1">
      <c r="A17" s="135"/>
      <c r="B17" s="213"/>
      <c r="C17" s="214"/>
      <c r="D17" s="214"/>
      <c r="E17" s="214"/>
      <c r="F17" s="214"/>
      <c r="G17" s="214"/>
      <c r="H17" s="214"/>
      <c r="I17" s="214"/>
      <c r="J17" s="214"/>
      <c r="K17" s="214"/>
      <c r="L17" s="214"/>
      <c r="M17" s="214"/>
      <c r="N17" s="214"/>
      <c r="O17" s="214"/>
      <c r="P17" s="214"/>
      <c r="Q17" s="214"/>
      <c r="R17" s="214"/>
      <c r="S17" s="214"/>
      <c r="T17" s="214"/>
      <c r="U17" s="214"/>
      <c r="V17" s="214"/>
      <c r="W17" s="214"/>
      <c r="X17" s="214"/>
      <c r="Y17" s="214"/>
      <c r="Z17" s="214"/>
      <c r="AA17" s="214"/>
      <c r="AB17" s="214"/>
      <c r="AC17" s="214"/>
      <c r="AD17" s="214"/>
      <c r="AE17" s="214"/>
      <c r="AF17" s="214"/>
      <c r="AG17" s="215"/>
      <c r="AH17" s="135"/>
    </row>
    <row r="18" spans="1:34" ht="17.55" customHeight="1">
      <c r="A18" s="135"/>
      <c r="B18" s="213"/>
      <c r="C18" s="214"/>
      <c r="D18" s="214"/>
      <c r="E18" s="214"/>
      <c r="F18" s="214"/>
      <c r="G18" s="214"/>
      <c r="H18" s="214"/>
      <c r="I18" s="214"/>
      <c r="J18" s="214"/>
      <c r="K18" s="214"/>
      <c r="L18" s="214"/>
      <c r="M18" s="214"/>
      <c r="N18" s="214"/>
      <c r="O18" s="214"/>
      <c r="P18" s="214"/>
      <c r="Q18" s="214"/>
      <c r="R18" s="214"/>
      <c r="S18" s="214"/>
      <c r="T18" s="214"/>
      <c r="U18" s="214"/>
      <c r="V18" s="214"/>
      <c r="W18" s="214"/>
      <c r="X18" s="214"/>
      <c r="Y18" s="214"/>
      <c r="Z18" s="214"/>
      <c r="AA18" s="214"/>
      <c r="AB18" s="214"/>
      <c r="AC18" s="214"/>
      <c r="AD18" s="214"/>
      <c r="AE18" s="214"/>
      <c r="AF18" s="214"/>
      <c r="AG18" s="215"/>
      <c r="AH18" s="135"/>
    </row>
    <row r="19" spans="1:34" ht="17.55" customHeight="1">
      <c r="A19" s="135"/>
      <c r="B19" s="216"/>
      <c r="C19" s="217"/>
      <c r="D19" s="217"/>
      <c r="E19" s="217"/>
      <c r="F19" s="217"/>
      <c r="G19" s="217"/>
      <c r="H19" s="217"/>
      <c r="I19" s="217"/>
      <c r="J19" s="217"/>
      <c r="K19" s="217"/>
      <c r="L19" s="217"/>
      <c r="M19" s="217"/>
      <c r="N19" s="217"/>
      <c r="O19" s="217"/>
      <c r="P19" s="217"/>
      <c r="Q19" s="217"/>
      <c r="R19" s="217"/>
      <c r="S19" s="217"/>
      <c r="T19" s="217"/>
      <c r="U19" s="217"/>
      <c r="V19" s="217"/>
      <c r="W19" s="217"/>
      <c r="X19" s="217"/>
      <c r="Y19" s="217"/>
      <c r="Z19" s="217"/>
      <c r="AA19" s="217"/>
      <c r="AB19" s="217"/>
      <c r="AC19" s="217"/>
      <c r="AD19" s="217"/>
      <c r="AE19" s="217"/>
      <c r="AF19" s="217"/>
      <c r="AG19" s="218"/>
      <c r="AH19" s="135"/>
    </row>
    <row r="20" spans="1:34">
      <c r="A20" s="135"/>
      <c r="B20" s="135"/>
      <c r="C20" s="135"/>
      <c r="D20" s="135"/>
      <c r="E20" s="135"/>
      <c r="F20" s="135"/>
      <c r="G20" s="135"/>
      <c r="H20" s="135"/>
      <c r="I20" s="135"/>
      <c r="J20" s="135"/>
      <c r="K20" s="135"/>
      <c r="L20" s="135"/>
      <c r="M20" s="135"/>
      <c r="N20" s="135"/>
      <c r="O20" s="135"/>
      <c r="P20" s="135"/>
      <c r="Q20" s="135"/>
      <c r="R20" s="135"/>
      <c r="S20" s="135"/>
      <c r="T20" s="135"/>
      <c r="U20" s="135"/>
      <c r="V20" s="135"/>
      <c r="W20" s="135"/>
      <c r="X20" s="135"/>
      <c r="Y20" s="135"/>
      <c r="Z20" s="135"/>
      <c r="AA20" s="135"/>
      <c r="AB20" s="135"/>
      <c r="AC20" s="135"/>
      <c r="AD20" s="135"/>
      <c r="AE20" s="135"/>
      <c r="AF20" s="135"/>
      <c r="AG20" s="135"/>
      <c r="AH20" s="135"/>
    </row>
    <row r="21" spans="1:34">
      <c r="A21" s="135"/>
      <c r="B21" s="135"/>
      <c r="C21" s="135"/>
      <c r="D21" s="135"/>
      <c r="E21" s="135"/>
      <c r="F21" s="135"/>
      <c r="G21" s="135"/>
      <c r="H21" s="135"/>
      <c r="I21" s="135"/>
      <c r="J21" s="135"/>
      <c r="K21" s="135"/>
      <c r="L21" s="135"/>
      <c r="M21" s="135"/>
      <c r="N21" s="135"/>
      <c r="O21" s="135"/>
      <c r="P21" s="135"/>
      <c r="Q21" s="135"/>
      <c r="R21" s="135"/>
      <c r="S21" s="135"/>
      <c r="T21" s="135"/>
      <c r="U21" s="135"/>
      <c r="V21" s="135"/>
      <c r="W21" s="135"/>
      <c r="X21" s="135"/>
      <c r="Y21" s="135"/>
      <c r="Z21" s="135"/>
      <c r="AA21" s="135"/>
      <c r="AB21" s="135"/>
      <c r="AC21" s="135"/>
      <c r="AD21" s="135"/>
      <c r="AE21" s="135"/>
      <c r="AF21" s="135"/>
      <c r="AG21" s="135"/>
      <c r="AH21" s="135"/>
    </row>
    <row r="22" spans="1:34" ht="22.2">
      <c r="A22" s="135"/>
      <c r="B22" s="145" t="s">
        <v>471</v>
      </c>
      <c r="C22" s="135"/>
      <c r="D22" s="135"/>
      <c r="E22" s="135"/>
      <c r="F22" s="135"/>
      <c r="G22" s="147" t="s">
        <v>35</v>
      </c>
      <c r="H22" s="147" t="s">
        <v>54</v>
      </c>
      <c r="I22" s="135"/>
      <c r="J22" s="135"/>
      <c r="K22" s="135"/>
      <c r="L22" s="135"/>
      <c r="M22" s="135"/>
      <c r="N22" s="135"/>
      <c r="O22" s="135"/>
      <c r="P22" s="135"/>
      <c r="Q22" s="135"/>
      <c r="R22" s="135"/>
      <c r="S22" s="135"/>
      <c r="T22" s="135"/>
      <c r="U22" s="135"/>
      <c r="V22" s="135"/>
      <c r="W22" s="135"/>
      <c r="X22" s="135"/>
      <c r="Y22" s="135"/>
      <c r="Z22" s="135"/>
      <c r="AA22" s="135"/>
      <c r="AB22" s="135"/>
      <c r="AC22" s="135"/>
      <c r="AD22" s="135"/>
      <c r="AE22" s="135"/>
      <c r="AF22" s="135"/>
      <c r="AG22" s="135"/>
      <c r="AH22" s="135"/>
    </row>
    <row r="23" spans="1:34" ht="4.95" customHeight="1">
      <c r="A23" s="135"/>
      <c r="B23" s="135"/>
      <c r="C23" s="135"/>
      <c r="D23" s="135"/>
      <c r="E23" s="135"/>
      <c r="F23" s="135"/>
      <c r="G23" s="135"/>
      <c r="H23" s="135"/>
      <c r="I23" s="135"/>
      <c r="J23" s="135"/>
      <c r="K23" s="135"/>
      <c r="L23" s="135"/>
      <c r="M23" s="135"/>
      <c r="N23" s="135"/>
      <c r="O23" s="135"/>
      <c r="P23" s="135"/>
      <c r="Q23" s="135"/>
      <c r="R23" s="135"/>
      <c r="S23" s="135"/>
      <c r="T23" s="135"/>
      <c r="U23" s="135"/>
      <c r="V23" s="135"/>
      <c r="W23" s="135"/>
      <c r="X23" s="135"/>
      <c r="Y23" s="135"/>
      <c r="Z23" s="135"/>
      <c r="AA23" s="135"/>
      <c r="AB23" s="135"/>
      <c r="AC23" s="135"/>
      <c r="AD23" s="135"/>
      <c r="AE23" s="135"/>
      <c r="AF23" s="135"/>
      <c r="AG23" s="135"/>
      <c r="AH23" s="135"/>
    </row>
    <row r="24" spans="1:34">
      <c r="A24" s="135"/>
      <c r="B24" s="137"/>
      <c r="C24" s="138"/>
      <c r="D24" s="138"/>
      <c r="E24" s="138"/>
      <c r="F24" s="138"/>
      <c r="G24" s="138"/>
      <c r="H24" s="138"/>
      <c r="I24" s="138"/>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9"/>
      <c r="AH24" s="135"/>
    </row>
    <row r="25" spans="1:34">
      <c r="A25" s="135"/>
      <c r="B25" s="140"/>
      <c r="C25" s="180" t="s">
        <v>472</v>
      </c>
      <c r="G25" s="180" t="s">
        <v>473</v>
      </c>
      <c r="P25" s="148" t="s">
        <v>1812</v>
      </c>
      <c r="Q25" s="149"/>
      <c r="R25" s="148"/>
      <c r="S25" s="149"/>
      <c r="T25" s="150">
        <v>45562</v>
      </c>
      <c r="U25" s="150">
        <f>T25+7</f>
        <v>45569</v>
      </c>
      <c r="V25" s="151" t="s">
        <v>474</v>
      </c>
      <c r="X25" s="181" t="s">
        <v>475</v>
      </c>
      <c r="AG25" s="141"/>
      <c r="AH25" s="135"/>
    </row>
    <row r="26" spans="1:34" ht="17.55" customHeight="1">
      <c r="A26" s="135"/>
      <c r="B26" s="140"/>
      <c r="P26" s="27" t="s">
        <v>476</v>
      </c>
      <c r="T26" s="27">
        <f>COUNTIFS('2. Status Detalhe Campos'!$H$7:$H$615,'1. Status Resumo'!$P26,'2. Status Detalhe Campos'!$C$7:$C$615,'1. Status Resumo'!$G$22,'2. Status Detalhe Campos'!$D$7:$D$615,"2. Campo")+COUNTIFS('2. Status Detalhe Campos'!$H$7:$H$615,'1. Status Resumo'!$P26,'2. Status Detalhe Campos'!$C$7:$C$615,'1. Status Resumo'!$H$22,'2. Status Detalhe Campos'!$D$7:$D$615,"2. Campo")</f>
        <v>10</v>
      </c>
      <c r="U26" s="27">
        <f>COUNTIFS('2. Status Detalhe Campos'!$G$7:$G$615,'1. Status Resumo'!$P26,'2. Status Detalhe Campos'!$C$7:$C$615,'1. Status Resumo'!$G$22,'2. Status Detalhe Campos'!$D$7:$D$615,"2. Campo")+COUNTIFS('2. Status Detalhe Campos'!$G$7:$G$615,'1. Status Resumo'!$P26,'2. Status Detalhe Campos'!$C$7:$C$615,'1. Status Resumo'!$H$22,'2. Status Detalhe Campos'!$D$7:$D$615,"2. Campo")</f>
        <v>10</v>
      </c>
      <c r="V26" s="27">
        <f>U26-T26</f>
        <v>0</v>
      </c>
      <c r="X26" s="247" t="s">
        <v>1888</v>
      </c>
      <c r="Y26" s="248"/>
      <c r="Z26" s="248"/>
      <c r="AA26" s="248"/>
      <c r="AB26" s="248"/>
      <c r="AC26" s="248"/>
      <c r="AD26" s="248"/>
      <c r="AE26" s="248"/>
      <c r="AF26" s="249"/>
      <c r="AG26" s="190"/>
      <c r="AH26" s="135"/>
    </row>
    <row r="27" spans="1:34">
      <c r="A27" s="135"/>
      <c r="B27" s="140"/>
      <c r="P27" s="27" t="s">
        <v>477</v>
      </c>
      <c r="T27" s="27">
        <f>COUNTIFS('2. Status Detalhe Campos'!$H$7:$H$615,'1. Status Resumo'!$P27,'2. Status Detalhe Campos'!$C$7:$C$615,'1. Status Resumo'!$G$22,'2. Status Detalhe Campos'!$D$7:$D$615,"2. Campo")+COUNTIFS('2. Status Detalhe Campos'!$H$7:$H$615,'1. Status Resumo'!$P27,'2. Status Detalhe Campos'!$C$7:$C$615,'1. Status Resumo'!$H$22,'2. Status Detalhe Campos'!$D$7:$D$615,"2. Campo")</f>
        <v>124</v>
      </c>
      <c r="U27" s="27">
        <f>COUNTIFS('2. Status Detalhe Campos'!$G$7:$G$615,'1. Status Resumo'!$P27,'2. Status Detalhe Campos'!$C$7:$C$615,'1. Status Resumo'!$G$22,'2. Status Detalhe Campos'!$D$7:$D$615,"2. Campo")+COUNTIFS('2. Status Detalhe Campos'!$G$7:$G$615,'1. Status Resumo'!$P27,'2. Status Detalhe Campos'!$C$7:$C$615,'1. Status Resumo'!$H$22,'2. Status Detalhe Campos'!$D$7:$D$615,"2. Campo")</f>
        <v>124</v>
      </c>
      <c r="V27" s="27">
        <f t="shared" ref="V27:V33" si="0">U27-T27</f>
        <v>0</v>
      </c>
      <c r="X27" s="250"/>
      <c r="Y27" s="251"/>
      <c r="Z27" s="251"/>
      <c r="AA27" s="251"/>
      <c r="AB27" s="251"/>
      <c r="AC27" s="251"/>
      <c r="AD27" s="251"/>
      <c r="AE27" s="251"/>
      <c r="AF27" s="252"/>
      <c r="AG27" s="190"/>
      <c r="AH27" s="135"/>
    </row>
    <row r="28" spans="1:34">
      <c r="A28" s="135"/>
      <c r="B28" s="140"/>
      <c r="P28" s="27" t="s">
        <v>177</v>
      </c>
      <c r="T28" s="27">
        <f>COUNTIFS('2. Status Detalhe Campos'!$H$7:$H$615,'1. Status Resumo'!$P28,'2. Status Detalhe Campos'!$C$7:$C$615,'1. Status Resumo'!$G$22,'2. Status Detalhe Campos'!$D$7:$D$615,"2. Campo")+COUNTIFS('2. Status Detalhe Campos'!$H$7:$H$615,'1. Status Resumo'!$P28,'2. Status Detalhe Campos'!$C$7:$C$615,'1. Status Resumo'!$H$22,'2. Status Detalhe Campos'!$D$7:$D$615,"2. Campo")</f>
        <v>0</v>
      </c>
      <c r="U28" s="27">
        <f>COUNTIFS('2. Status Detalhe Campos'!$G$7:$G$615,'1. Status Resumo'!$P28,'2. Status Detalhe Campos'!$C$7:$C$615,'1. Status Resumo'!$G$22,'2. Status Detalhe Campos'!$D$7:$D$615,"2. Campo")+COUNTIFS('2. Status Detalhe Campos'!$G$7:$G$615,'1. Status Resumo'!$P28,'2. Status Detalhe Campos'!$C$7:$C$615,'1. Status Resumo'!$H$22,'2. Status Detalhe Campos'!$D$7:$D$615,"2. Campo")</f>
        <v>0</v>
      </c>
      <c r="V28" s="27">
        <f t="shared" si="0"/>
        <v>0</v>
      </c>
      <c r="X28" s="250"/>
      <c r="Y28" s="251"/>
      <c r="Z28" s="251"/>
      <c r="AA28" s="251"/>
      <c r="AB28" s="251"/>
      <c r="AC28" s="251"/>
      <c r="AD28" s="251"/>
      <c r="AE28" s="251"/>
      <c r="AF28" s="252"/>
      <c r="AG28" s="190"/>
      <c r="AH28" s="135"/>
    </row>
    <row r="29" spans="1:34">
      <c r="A29" s="135"/>
      <c r="B29" s="140"/>
      <c r="D29" s="237" t="str">
        <f>"# "&amp;U34</f>
        <v># 168</v>
      </c>
      <c r="E29" s="237"/>
      <c r="P29" s="27" t="s">
        <v>478</v>
      </c>
      <c r="T29" s="27">
        <f>COUNTIFS('2. Status Detalhe Campos'!$H$7:$H$615,'1. Status Resumo'!$P29,'2. Status Detalhe Campos'!$C$7:$C$615,'1. Status Resumo'!$G$22,'2. Status Detalhe Campos'!$D$7:$D$615,"2. Campo")+COUNTIFS('2. Status Detalhe Campos'!$H$7:$H$615,'1. Status Resumo'!$P29,'2. Status Detalhe Campos'!$C$7:$C$615,'1. Status Resumo'!$H$22,'2. Status Detalhe Campos'!$D$7:$D$615,"2. Campo")</f>
        <v>0</v>
      </c>
      <c r="U29" s="27">
        <f>COUNTIFS('2. Status Detalhe Campos'!$G$7:$G$615,'1. Status Resumo'!$P29,'2. Status Detalhe Campos'!$C$7:$C$615,'1. Status Resumo'!$G$22,'2. Status Detalhe Campos'!$D$7:$D$615,"2. Campo")+COUNTIFS('2. Status Detalhe Campos'!$G$7:$G$615,'1. Status Resumo'!$P29,'2. Status Detalhe Campos'!$C$7:$C$615,'1. Status Resumo'!$H$22,'2. Status Detalhe Campos'!$D$7:$D$615,"2. Campo")</f>
        <v>0</v>
      </c>
      <c r="V29" s="27">
        <f t="shared" si="0"/>
        <v>0</v>
      </c>
      <c r="X29" s="250"/>
      <c r="Y29" s="251"/>
      <c r="Z29" s="251"/>
      <c r="AA29" s="251"/>
      <c r="AB29" s="251"/>
      <c r="AC29" s="251"/>
      <c r="AD29" s="251"/>
      <c r="AE29" s="251"/>
      <c r="AF29" s="252"/>
      <c r="AG29" s="190"/>
      <c r="AH29" s="135"/>
    </row>
    <row r="30" spans="1:34">
      <c r="A30" s="135"/>
      <c r="B30" s="140"/>
      <c r="D30" s="237"/>
      <c r="E30" s="237"/>
      <c r="P30" s="27" t="s">
        <v>479</v>
      </c>
      <c r="T30" s="27">
        <f>COUNTIFS('2. Status Detalhe Campos'!$H$7:$H$615,'1. Status Resumo'!$P30,'2. Status Detalhe Campos'!$C$7:$C$615,'1. Status Resumo'!$G$22,'2. Status Detalhe Campos'!$D$7:$D$615,"2. Campo")+COUNTIFS('2. Status Detalhe Campos'!$H$7:$H$615,'1. Status Resumo'!$P30,'2. Status Detalhe Campos'!$C$7:$C$615,'1. Status Resumo'!$H$22,'2. Status Detalhe Campos'!$D$7:$D$615,"2. Campo")</f>
        <v>0</v>
      </c>
      <c r="U30" s="27">
        <f>COUNTIFS('2. Status Detalhe Campos'!$G$7:$G$615,'1. Status Resumo'!$P30,'2. Status Detalhe Campos'!$C$7:$C$615,'1. Status Resumo'!$G$22,'2. Status Detalhe Campos'!$D$7:$D$615,"2. Campo")+COUNTIFS('2. Status Detalhe Campos'!$G$7:$G$615,'1. Status Resumo'!$P30,'2. Status Detalhe Campos'!$C$7:$C$615,'1. Status Resumo'!$H$22,'2. Status Detalhe Campos'!$D$7:$D$615,"2. Campo")</f>
        <v>0</v>
      </c>
      <c r="V30" s="27">
        <f t="shared" si="0"/>
        <v>0</v>
      </c>
      <c r="X30" s="250"/>
      <c r="Y30" s="251"/>
      <c r="Z30" s="251"/>
      <c r="AA30" s="251"/>
      <c r="AB30" s="251"/>
      <c r="AC30" s="251"/>
      <c r="AD30" s="251"/>
      <c r="AE30" s="251"/>
      <c r="AF30" s="252"/>
      <c r="AG30" s="190"/>
      <c r="AH30" s="135"/>
    </row>
    <row r="31" spans="1:34">
      <c r="A31" s="135"/>
      <c r="B31" s="140"/>
      <c r="P31" s="27" t="s">
        <v>480</v>
      </c>
      <c r="R31" s="27" t="s">
        <v>481</v>
      </c>
      <c r="T31" s="27">
        <f>COUNTIFS('2. Status Detalhe Campos'!$H$7:$H$615,'1. Status Resumo'!$P31,'2. Status Detalhe Campos'!$C$7:$C$615,'1. Status Resumo'!$G$22,'2. Status Detalhe Campos'!$D$7:$D$615,"2. Campo")+COUNTIFS('2. Status Detalhe Campos'!$H$7:$H$615,'1. Status Resumo'!$P31,'2. Status Detalhe Campos'!$C$7:$C$615,'1. Status Resumo'!$H$22,'2. Status Detalhe Campos'!$D$7:$D$615,"2. Campo")</f>
        <v>0</v>
      </c>
      <c r="U31" s="27">
        <f>COUNTIFS('2. Status Detalhe Campos'!$G$7:$G$615,'1. Status Resumo'!$P31,'2. Status Detalhe Campos'!$C$7:$C$615,'1. Status Resumo'!$G$22,'2. Status Detalhe Campos'!$D$7:$D$615,"2. Campo")+COUNTIFS('2. Status Detalhe Campos'!$G$7:$G$615,'1. Status Resumo'!$P31,'2. Status Detalhe Campos'!$C$7:$C$615,'1. Status Resumo'!$H$22,'2. Status Detalhe Campos'!$D$7:$D$615,"2. Campo")</f>
        <v>0</v>
      </c>
      <c r="V31" s="27">
        <f t="shared" si="0"/>
        <v>0</v>
      </c>
      <c r="X31" s="250"/>
      <c r="Y31" s="251"/>
      <c r="Z31" s="251"/>
      <c r="AA31" s="251"/>
      <c r="AB31" s="251"/>
      <c r="AC31" s="251"/>
      <c r="AD31" s="251"/>
      <c r="AE31" s="251"/>
      <c r="AF31" s="252"/>
      <c r="AG31" s="190"/>
      <c r="AH31" s="135"/>
    </row>
    <row r="32" spans="1:34">
      <c r="A32" s="135"/>
      <c r="B32" s="140"/>
      <c r="P32" s="27" t="s">
        <v>482</v>
      </c>
      <c r="T32" s="27">
        <f>COUNTIFS('2. Status Detalhe Campos'!$H$7:$H$615,'1. Status Resumo'!$P32,'2. Status Detalhe Campos'!$C$7:$C$615,'1. Status Resumo'!$G$22,'2. Status Detalhe Campos'!$D$7:$D$615,"2. Campo")+COUNTIFS('2. Status Detalhe Campos'!$H$7:$H$615,'1. Status Resumo'!$P32,'2. Status Detalhe Campos'!$C$7:$C$615,'1. Status Resumo'!$H$22,'2. Status Detalhe Campos'!$D$7:$D$615,"2. Campo")</f>
        <v>34</v>
      </c>
      <c r="U32" s="27">
        <f>COUNTIFS('2. Status Detalhe Campos'!$G$7:$G$615,'1. Status Resumo'!$P32,'2. Status Detalhe Campos'!$C$7:$C$615,'1. Status Resumo'!$G$22,'2. Status Detalhe Campos'!$D$7:$D$615,"2. Campo")+COUNTIFS('2. Status Detalhe Campos'!$G$7:$G$615,'1. Status Resumo'!$P32,'2. Status Detalhe Campos'!$C$7:$C$615,'1. Status Resumo'!$H$22,'2. Status Detalhe Campos'!$D$7:$D$615,"2. Campo")</f>
        <v>34</v>
      </c>
      <c r="V32" s="27">
        <f t="shared" si="0"/>
        <v>0</v>
      </c>
      <c r="X32" s="250"/>
      <c r="Y32" s="251"/>
      <c r="Z32" s="251"/>
      <c r="AA32" s="251"/>
      <c r="AB32" s="251"/>
      <c r="AC32" s="251"/>
      <c r="AD32" s="251"/>
      <c r="AE32" s="251"/>
      <c r="AF32" s="252"/>
      <c r="AG32" s="190"/>
      <c r="AH32" s="135"/>
    </row>
    <row r="33" spans="1:34">
      <c r="A33" s="135"/>
      <c r="B33" s="140"/>
      <c r="P33" s="27" t="s">
        <v>30</v>
      </c>
      <c r="T33" s="27">
        <f>COUNTIFS('2. Status Detalhe Campos'!$H$7:$H$615,'1. Status Resumo'!$P33,'2. Status Detalhe Campos'!$C$7:$C$615,'1. Status Resumo'!$G$22,'2. Status Detalhe Campos'!$D$7:$D$615,"2. Campo")+COUNTIFS('2. Status Detalhe Campos'!$H$7:$H$615,'1. Status Resumo'!$P33,'2. Status Detalhe Campos'!$C$7:$C$615,'1. Status Resumo'!$H$22,'2. Status Detalhe Campos'!$D$7:$D$615,"2. Campo")</f>
        <v>0</v>
      </c>
      <c r="U33" s="27">
        <f>COUNTIFS('2. Status Detalhe Campos'!$G$7:$G$615,'1. Status Resumo'!$P33,'2. Status Detalhe Campos'!$C$7:$C$615,'1. Status Resumo'!$G$22,'2. Status Detalhe Campos'!$D$7:$D$615,"2. Campo")+COUNTIFS('2. Status Detalhe Campos'!$G$7:$G$615,'1. Status Resumo'!$P33,'2. Status Detalhe Campos'!$C$7:$C$615,'1. Status Resumo'!$H$22,'2. Status Detalhe Campos'!$D$7:$D$615,"2. Campo")</f>
        <v>0</v>
      </c>
      <c r="V33" s="27">
        <f t="shared" si="0"/>
        <v>0</v>
      </c>
      <c r="X33" s="250"/>
      <c r="Y33" s="251"/>
      <c r="Z33" s="251"/>
      <c r="AA33" s="251"/>
      <c r="AB33" s="251"/>
      <c r="AC33" s="251"/>
      <c r="AD33" s="251"/>
      <c r="AE33" s="251"/>
      <c r="AF33" s="252"/>
      <c r="AG33" s="190"/>
      <c r="AH33" s="135"/>
    </row>
    <row r="34" spans="1:34">
      <c r="A34" s="135"/>
      <c r="B34" s="140"/>
      <c r="T34" s="146">
        <f>SUM(T26:T33)</f>
        <v>168</v>
      </c>
      <c r="U34" s="146">
        <f>SUM(U26:U33)</f>
        <v>168</v>
      </c>
      <c r="X34" s="250"/>
      <c r="Y34" s="251"/>
      <c r="Z34" s="251"/>
      <c r="AA34" s="251"/>
      <c r="AB34" s="251"/>
      <c r="AC34" s="251"/>
      <c r="AD34" s="251"/>
      <c r="AE34" s="251"/>
      <c r="AF34" s="252"/>
      <c r="AG34" s="190"/>
      <c r="AH34" s="135"/>
    </row>
    <row r="35" spans="1:34">
      <c r="A35" s="135"/>
      <c r="B35" s="140"/>
      <c r="G35" s="148" t="s">
        <v>1832</v>
      </c>
      <c r="H35" s="149"/>
      <c r="I35" s="149"/>
      <c r="J35" s="149"/>
      <c r="K35" s="149"/>
      <c r="L35" s="149"/>
      <c r="M35" s="149"/>
      <c r="P35" s="148" t="s">
        <v>1813</v>
      </c>
      <c r="Q35" s="149"/>
      <c r="R35" s="149"/>
      <c r="S35" s="149"/>
      <c r="T35" s="149"/>
      <c r="U35" s="149"/>
      <c r="V35" s="149"/>
      <c r="X35" s="250"/>
      <c r="Y35" s="251"/>
      <c r="Z35" s="251"/>
      <c r="AA35" s="251"/>
      <c r="AB35" s="251"/>
      <c r="AC35" s="251"/>
      <c r="AD35" s="251"/>
      <c r="AE35" s="251"/>
      <c r="AF35" s="252"/>
      <c r="AG35" s="190"/>
      <c r="AH35" s="135"/>
    </row>
    <row r="36" spans="1:34">
      <c r="A36" s="135"/>
      <c r="B36" s="140"/>
      <c r="F36" s="185" t="s">
        <v>483</v>
      </c>
      <c r="G36" s="27" t="s">
        <v>1833</v>
      </c>
      <c r="L36" s="187" t="s">
        <v>485</v>
      </c>
      <c r="O36" s="185" t="s">
        <v>483</v>
      </c>
      <c r="P36" s="27" t="s">
        <v>484</v>
      </c>
      <c r="T36" s="187" t="s">
        <v>485</v>
      </c>
      <c r="X36" s="250"/>
      <c r="Y36" s="251"/>
      <c r="Z36" s="251"/>
      <c r="AA36" s="251"/>
      <c r="AB36" s="251"/>
      <c r="AC36" s="251"/>
      <c r="AD36" s="251"/>
      <c r="AE36" s="251"/>
      <c r="AF36" s="252"/>
      <c r="AG36" s="190"/>
      <c r="AH36" s="135"/>
    </row>
    <row r="37" spans="1:34">
      <c r="A37" s="135"/>
      <c r="B37" s="140"/>
      <c r="F37" s="185" t="s">
        <v>483</v>
      </c>
      <c r="G37" s="27" t="s">
        <v>1834</v>
      </c>
      <c r="L37" s="187" t="s">
        <v>485</v>
      </c>
      <c r="O37" s="185" t="s">
        <v>483</v>
      </c>
      <c r="P37" s="27" t="s">
        <v>486</v>
      </c>
      <c r="T37" s="187" t="s">
        <v>485</v>
      </c>
      <c r="X37" s="250"/>
      <c r="Y37" s="251"/>
      <c r="Z37" s="251"/>
      <c r="AA37" s="251"/>
      <c r="AB37" s="251"/>
      <c r="AC37" s="251"/>
      <c r="AD37" s="251"/>
      <c r="AE37" s="251"/>
      <c r="AF37" s="252"/>
      <c r="AG37" s="190"/>
      <c r="AH37" s="135"/>
    </row>
    <row r="38" spans="1:34">
      <c r="A38" s="135"/>
      <c r="B38" s="140"/>
      <c r="F38" s="185" t="s">
        <v>483</v>
      </c>
      <c r="G38" s="27" t="s">
        <v>1835</v>
      </c>
      <c r="L38" s="187" t="s">
        <v>485</v>
      </c>
      <c r="O38" s="185" t="s">
        <v>483</v>
      </c>
      <c r="P38" s="27" t="s">
        <v>487</v>
      </c>
      <c r="T38" s="191" t="s">
        <v>488</v>
      </c>
      <c r="X38" s="250"/>
      <c r="Y38" s="251"/>
      <c r="Z38" s="251"/>
      <c r="AA38" s="251"/>
      <c r="AB38" s="251"/>
      <c r="AC38" s="251"/>
      <c r="AD38" s="251"/>
      <c r="AE38" s="251"/>
      <c r="AF38" s="252"/>
      <c r="AG38" s="190"/>
      <c r="AH38" s="135"/>
    </row>
    <row r="39" spans="1:34">
      <c r="A39" s="135"/>
      <c r="B39" s="140"/>
      <c r="F39" s="185" t="s">
        <v>483</v>
      </c>
      <c r="G39" s="27" t="s">
        <v>1836</v>
      </c>
      <c r="L39" s="187" t="s">
        <v>485</v>
      </c>
      <c r="O39" s="185"/>
      <c r="T39" s="191"/>
      <c r="X39" s="250"/>
      <c r="Y39" s="251"/>
      <c r="Z39" s="251"/>
      <c r="AA39" s="251"/>
      <c r="AB39" s="251"/>
      <c r="AC39" s="251"/>
      <c r="AD39" s="251"/>
      <c r="AE39" s="251"/>
      <c r="AF39" s="252"/>
      <c r="AG39" s="190"/>
      <c r="AH39" s="135"/>
    </row>
    <row r="40" spans="1:34">
      <c r="A40" s="135"/>
      <c r="B40" s="140"/>
      <c r="F40" s="185" t="s">
        <v>483</v>
      </c>
      <c r="G40" s="27" t="s">
        <v>1837</v>
      </c>
      <c r="L40" s="192" t="s">
        <v>1867</v>
      </c>
      <c r="O40" s="185"/>
      <c r="T40" s="191"/>
      <c r="X40" s="250"/>
      <c r="Y40" s="251"/>
      <c r="Z40" s="251"/>
      <c r="AA40" s="251"/>
      <c r="AB40" s="251"/>
      <c r="AC40" s="251"/>
      <c r="AD40" s="251"/>
      <c r="AE40" s="251"/>
      <c r="AF40" s="252"/>
      <c r="AG40" s="190"/>
      <c r="AH40" s="135"/>
    </row>
    <row r="41" spans="1:34">
      <c r="A41" s="135"/>
      <c r="B41" s="140"/>
      <c r="F41" s="185" t="s">
        <v>483</v>
      </c>
      <c r="G41" s="27" t="s">
        <v>1838</v>
      </c>
      <c r="L41" s="192" t="s">
        <v>1867</v>
      </c>
      <c r="O41" s="185"/>
      <c r="T41" s="187"/>
      <c r="X41" s="250"/>
      <c r="Y41" s="251"/>
      <c r="Z41" s="251"/>
      <c r="AA41" s="251"/>
      <c r="AB41" s="251"/>
      <c r="AC41" s="251"/>
      <c r="AD41" s="251"/>
      <c r="AE41" s="251"/>
      <c r="AF41" s="252"/>
      <c r="AG41" s="190"/>
      <c r="AH41" s="135"/>
    </row>
    <row r="42" spans="1:34">
      <c r="A42" s="135"/>
      <c r="B42" s="140"/>
      <c r="O42" s="185"/>
      <c r="X42" s="250"/>
      <c r="Y42" s="251"/>
      <c r="Z42" s="251"/>
      <c r="AA42" s="251"/>
      <c r="AB42" s="251"/>
      <c r="AC42" s="251"/>
      <c r="AD42" s="251"/>
      <c r="AE42" s="251"/>
      <c r="AF42" s="252"/>
      <c r="AG42" s="190"/>
      <c r="AH42" s="135"/>
    </row>
    <row r="43" spans="1:34">
      <c r="A43" s="135"/>
      <c r="B43" s="140"/>
      <c r="O43" s="185"/>
      <c r="X43" s="253"/>
      <c r="Y43" s="254"/>
      <c r="Z43" s="254"/>
      <c r="AA43" s="254"/>
      <c r="AB43" s="254"/>
      <c r="AC43" s="254"/>
      <c r="AD43" s="254"/>
      <c r="AE43" s="254"/>
      <c r="AF43" s="255"/>
      <c r="AG43" s="190"/>
      <c r="AH43" s="135"/>
    </row>
    <row r="44" spans="1:34">
      <c r="A44" s="135"/>
      <c r="B44" s="140"/>
      <c r="O44" s="185"/>
      <c r="AG44" s="193"/>
      <c r="AH44" s="135"/>
    </row>
    <row r="45" spans="1:34">
      <c r="A45" s="135"/>
      <c r="B45" s="142"/>
      <c r="C45" s="143"/>
      <c r="D45" s="143"/>
      <c r="E45" s="143"/>
      <c r="F45" s="143"/>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c r="AH45" s="135"/>
    </row>
    <row r="46" spans="1:34">
      <c r="A46" s="135"/>
      <c r="B46" s="135"/>
      <c r="C46" s="135"/>
      <c r="D46" s="135"/>
      <c r="E46" s="135"/>
      <c r="F46" s="135"/>
      <c r="G46" s="135"/>
      <c r="H46" s="135"/>
      <c r="I46" s="135"/>
      <c r="J46" s="135"/>
      <c r="K46" s="135"/>
      <c r="L46" s="135"/>
      <c r="M46" s="135"/>
      <c r="N46" s="135"/>
      <c r="O46" s="135"/>
      <c r="P46" s="135"/>
      <c r="Q46" s="135"/>
      <c r="R46" s="135"/>
      <c r="S46" s="135"/>
      <c r="T46" s="135"/>
      <c r="U46" s="135"/>
      <c r="V46" s="135"/>
      <c r="W46" s="135"/>
      <c r="X46" s="135"/>
      <c r="Y46" s="135"/>
      <c r="Z46" s="135"/>
      <c r="AA46" s="135"/>
      <c r="AB46" s="135"/>
      <c r="AC46" s="135"/>
      <c r="AD46" s="135"/>
      <c r="AE46" s="135"/>
      <c r="AF46" s="135"/>
      <c r="AG46" s="135"/>
      <c r="AH46" s="135"/>
    </row>
    <row r="47" spans="1:34">
      <c r="A47" s="135"/>
      <c r="B47" s="135"/>
      <c r="C47" s="135"/>
      <c r="D47" s="135"/>
      <c r="E47" s="135"/>
      <c r="F47" s="135"/>
      <c r="G47" s="135"/>
      <c r="H47" s="135"/>
      <c r="I47" s="135"/>
      <c r="J47" s="135"/>
      <c r="K47" s="135"/>
      <c r="L47" s="135"/>
      <c r="M47" s="135"/>
      <c r="N47" s="135"/>
      <c r="O47" s="135"/>
      <c r="P47" s="135"/>
      <c r="Q47" s="135"/>
      <c r="R47" s="135"/>
      <c r="S47" s="135"/>
      <c r="T47" s="135"/>
      <c r="U47" s="135"/>
      <c r="V47" s="135"/>
      <c r="W47" s="135"/>
      <c r="X47" s="135"/>
      <c r="Y47" s="135"/>
      <c r="Z47" s="135"/>
      <c r="AA47" s="135"/>
      <c r="AB47" s="135"/>
      <c r="AC47" s="135"/>
      <c r="AD47" s="135"/>
      <c r="AE47" s="135"/>
      <c r="AF47" s="135"/>
      <c r="AG47" s="135"/>
      <c r="AH47" s="135"/>
    </row>
    <row r="48" spans="1:34" ht="22.2">
      <c r="A48" s="135"/>
      <c r="B48" s="145" t="s">
        <v>489</v>
      </c>
      <c r="C48" s="135"/>
      <c r="D48" s="135"/>
      <c r="E48" s="135"/>
      <c r="F48" s="135"/>
      <c r="G48" s="147" t="s">
        <v>178</v>
      </c>
      <c r="H48" s="147" t="s">
        <v>301</v>
      </c>
      <c r="I48" s="135"/>
      <c r="J48" s="135"/>
      <c r="K48" s="135"/>
      <c r="L48" s="135"/>
      <c r="M48" s="135"/>
      <c r="N48" s="135"/>
      <c r="O48" s="135"/>
      <c r="P48" s="135"/>
      <c r="Q48" s="135"/>
      <c r="R48" s="135"/>
      <c r="S48" s="135"/>
      <c r="T48" s="135"/>
      <c r="U48" s="135"/>
      <c r="V48" s="135"/>
      <c r="W48" s="135"/>
      <c r="X48" s="135"/>
      <c r="Y48" s="135"/>
      <c r="Z48" s="135"/>
      <c r="AA48" s="135"/>
      <c r="AB48" s="135"/>
      <c r="AC48" s="135"/>
      <c r="AD48" s="135"/>
      <c r="AE48" s="135"/>
      <c r="AF48" s="135"/>
      <c r="AG48" s="135"/>
      <c r="AH48" s="135"/>
    </row>
    <row r="49" spans="1:34" ht="4.95" customHeight="1">
      <c r="A49" s="135"/>
      <c r="B49" s="135"/>
      <c r="C49" s="135"/>
      <c r="D49" s="135"/>
      <c r="E49" s="135"/>
      <c r="F49" s="135"/>
      <c r="G49" s="135"/>
      <c r="H49" s="135"/>
      <c r="I49" s="135"/>
      <c r="J49" s="135"/>
      <c r="K49" s="135"/>
      <c r="L49" s="135"/>
      <c r="M49" s="135"/>
      <c r="N49" s="135"/>
      <c r="O49" s="135"/>
      <c r="P49" s="135"/>
      <c r="Q49" s="135"/>
      <c r="R49" s="135"/>
      <c r="S49" s="135"/>
      <c r="T49" s="135"/>
      <c r="U49" s="135"/>
      <c r="V49" s="135"/>
      <c r="W49" s="135"/>
      <c r="X49" s="135"/>
      <c r="Y49" s="135"/>
      <c r="Z49" s="135"/>
      <c r="AA49" s="135"/>
      <c r="AB49" s="135"/>
      <c r="AC49" s="135"/>
      <c r="AD49" s="135"/>
      <c r="AE49" s="135"/>
      <c r="AF49" s="135"/>
      <c r="AG49" s="135"/>
      <c r="AH49" s="135"/>
    </row>
    <row r="50" spans="1:34">
      <c r="A50" s="135"/>
      <c r="B50" s="137"/>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c r="AB50" s="138"/>
      <c r="AC50" s="138"/>
      <c r="AD50" s="138"/>
      <c r="AE50" s="138"/>
      <c r="AF50" s="138"/>
      <c r="AG50" s="139"/>
      <c r="AH50" s="135"/>
    </row>
    <row r="51" spans="1:34">
      <c r="A51" s="135"/>
      <c r="B51" s="140"/>
      <c r="C51" s="180" t="s">
        <v>472</v>
      </c>
      <c r="G51" s="180" t="s">
        <v>473</v>
      </c>
      <c r="P51" s="148" t="s">
        <v>1812</v>
      </c>
      <c r="Q51" s="149"/>
      <c r="R51" s="148"/>
      <c r="S51" s="149"/>
      <c r="T51" s="150">
        <f>T25</f>
        <v>45562</v>
      </c>
      <c r="U51" s="150">
        <f>$U$25</f>
        <v>45569</v>
      </c>
      <c r="V51" s="151" t="s">
        <v>474</v>
      </c>
      <c r="X51" s="181" t="s">
        <v>475</v>
      </c>
      <c r="AG51" s="141"/>
      <c r="AH51" s="135"/>
    </row>
    <row r="52" spans="1:34" ht="17.399999999999999" customHeight="1">
      <c r="A52" s="135"/>
      <c r="B52" s="140"/>
      <c r="P52" s="27" t="s">
        <v>476</v>
      </c>
      <c r="T52" s="27">
        <f>COUNTIFS('2. Status Detalhe Campos'!$H$7:$H$615,'1. Status Resumo'!$P52,'2. Status Detalhe Campos'!$C$7:$C$615,'1. Status Resumo'!$G$48,'2. Status Detalhe Campos'!$D$7:$D$615,"2. Campo")+COUNTIFS('2. Status Detalhe Campos'!$H$7:$H$615,'1. Status Resumo'!$P52,'2. Status Detalhe Campos'!$C$7:$C$615,'1. Status Resumo'!$H$48,'2. Status Detalhe Campos'!$D$7:$D$615,"2. Campo")</f>
        <v>14</v>
      </c>
      <c r="U52" s="27">
        <f>COUNTIFS('2. Status Detalhe Campos'!$G$7:$G$615,'1. Status Resumo'!$P52,'2. Status Detalhe Campos'!$C$7:$C$615,'1. Status Resumo'!$G$48,'2. Status Detalhe Campos'!$D$7:$D$615,"2. Campo")+COUNTIFS('2. Status Detalhe Campos'!$G$7:$G$615,'1. Status Resumo'!$P52,'2. Status Detalhe Campos'!$C$7:$C$615,'1. Status Resumo'!$H$48,'2. Status Detalhe Campos'!$D$7:$D$615,"2. Campo")</f>
        <v>14</v>
      </c>
      <c r="V52" s="27">
        <f>U52-T52</f>
        <v>0</v>
      </c>
      <c r="W52" s="182"/>
      <c r="X52" s="238" t="s">
        <v>1890</v>
      </c>
      <c r="Y52" s="239"/>
      <c r="Z52" s="239"/>
      <c r="AA52" s="239"/>
      <c r="AB52" s="239"/>
      <c r="AC52" s="239"/>
      <c r="AD52" s="239"/>
      <c r="AE52" s="239"/>
      <c r="AF52" s="240"/>
      <c r="AG52" s="183" t="s">
        <v>1818</v>
      </c>
      <c r="AH52" s="135"/>
    </row>
    <row r="53" spans="1:34">
      <c r="A53" s="135"/>
      <c r="B53" s="140"/>
      <c r="P53" s="27" t="s">
        <v>477</v>
      </c>
      <c r="T53" s="27">
        <f>COUNTIFS('2. Status Detalhe Campos'!$H$7:$H$615,'1. Status Resumo'!$P53,'2. Status Detalhe Campos'!$C$7:$C$615,'1. Status Resumo'!$G$48,'2. Status Detalhe Campos'!$D$7:$D$615,"2. Campo")+COUNTIFS('2. Status Detalhe Campos'!$H$7:$H$615,'1. Status Resumo'!$P53,'2. Status Detalhe Campos'!$C$7:$C$615,'1. Status Resumo'!$H$48,'2. Status Detalhe Campos'!$D$7:$D$615,"2. Campo")</f>
        <v>153</v>
      </c>
      <c r="U53" s="27">
        <f>COUNTIFS('2. Status Detalhe Campos'!$G$7:$G$615,'1. Status Resumo'!$P53,'2. Status Detalhe Campos'!$C$7:$C$615,'1. Status Resumo'!$G$48,'2. Status Detalhe Campos'!$D$7:$D$615,"2. Campo")+COUNTIFS('2. Status Detalhe Campos'!$G$7:$G$615,'1. Status Resumo'!$P53,'2. Status Detalhe Campos'!$C$7:$C$615,'1. Status Resumo'!$H$48,'2. Status Detalhe Campos'!$D$7:$D$615,"2. Campo")</f>
        <v>153</v>
      </c>
      <c r="V53" s="27">
        <f t="shared" ref="V53:V59" si="1">U53-T53</f>
        <v>0</v>
      </c>
      <c r="W53" s="182"/>
      <c r="X53" s="241"/>
      <c r="Y53" s="242"/>
      <c r="Z53" s="242"/>
      <c r="AA53" s="242"/>
      <c r="AB53" s="242"/>
      <c r="AC53" s="242"/>
      <c r="AD53" s="242"/>
      <c r="AE53" s="242"/>
      <c r="AF53" s="243"/>
      <c r="AG53" s="183"/>
      <c r="AH53" s="135"/>
    </row>
    <row r="54" spans="1:34">
      <c r="A54" s="135"/>
      <c r="B54" s="140"/>
      <c r="P54" s="27" t="s">
        <v>177</v>
      </c>
      <c r="T54" s="27">
        <f>COUNTIFS('2. Status Detalhe Campos'!$H$7:$H$615,'1. Status Resumo'!$P54,'2. Status Detalhe Campos'!$C$7:$C$615,'1. Status Resumo'!$G$48,'2. Status Detalhe Campos'!$D$7:$D$615,"2. Campo")+COUNTIFS('2. Status Detalhe Campos'!$H$7:$H$615,'1. Status Resumo'!$P54,'2. Status Detalhe Campos'!$C$7:$C$615,'1. Status Resumo'!$H$48,'2. Status Detalhe Campos'!$D$7:$D$615,"2. Campo")</f>
        <v>20</v>
      </c>
      <c r="U54" s="27">
        <f>COUNTIFS('2. Status Detalhe Campos'!$G$7:$G$615,'1. Status Resumo'!$P54,'2. Status Detalhe Campos'!$C$7:$C$615,'1. Status Resumo'!$G$48,'2. Status Detalhe Campos'!$D$7:$D$615,"2. Campo")+COUNTIFS('2. Status Detalhe Campos'!$G$7:$G$615,'1. Status Resumo'!$P54,'2. Status Detalhe Campos'!$C$7:$C$615,'1. Status Resumo'!$H$48,'2. Status Detalhe Campos'!$D$7:$D$615,"2. Campo")</f>
        <v>20</v>
      </c>
      <c r="V54" s="27">
        <f t="shared" si="1"/>
        <v>0</v>
      </c>
      <c r="W54" s="182"/>
      <c r="X54" s="241"/>
      <c r="Y54" s="242"/>
      <c r="Z54" s="242"/>
      <c r="AA54" s="242"/>
      <c r="AB54" s="242"/>
      <c r="AC54" s="242"/>
      <c r="AD54" s="242"/>
      <c r="AE54" s="242"/>
      <c r="AF54" s="243"/>
      <c r="AG54" s="183"/>
      <c r="AH54" s="135"/>
    </row>
    <row r="55" spans="1:34">
      <c r="A55" s="135"/>
      <c r="B55" s="140"/>
      <c r="D55" s="237" t="str">
        <f>"# "&amp;U60</f>
        <v># 245</v>
      </c>
      <c r="E55" s="237"/>
      <c r="P55" s="27" t="s">
        <v>478</v>
      </c>
      <c r="T55" s="27">
        <f>COUNTIFS('2. Status Detalhe Campos'!$H$7:$H$615,'1. Status Resumo'!$P55,'2. Status Detalhe Campos'!$C$7:$C$615,'1. Status Resumo'!$G$48,'2. Status Detalhe Campos'!$D$7:$D$615,"2. Campo")+COUNTIFS('2. Status Detalhe Campos'!$H$7:$H$615,'1. Status Resumo'!$P55,'2. Status Detalhe Campos'!$C$7:$C$615,'1. Status Resumo'!$H$48,'2. Status Detalhe Campos'!$D$7:$D$615,"2. Campo")</f>
        <v>0</v>
      </c>
      <c r="U55" s="27">
        <f>COUNTIFS('2. Status Detalhe Campos'!$G$7:$G$615,'1. Status Resumo'!$P55,'2. Status Detalhe Campos'!$C$7:$C$615,'1. Status Resumo'!$G$48,'2. Status Detalhe Campos'!$D$7:$D$615,"2. Campo")+COUNTIFS('2. Status Detalhe Campos'!$G$7:$G$615,'1. Status Resumo'!$P55,'2. Status Detalhe Campos'!$C$7:$C$615,'1. Status Resumo'!$H$48,'2. Status Detalhe Campos'!$D$7:$D$615,"2. Campo")</f>
        <v>0</v>
      </c>
      <c r="V55" s="27">
        <f t="shared" si="1"/>
        <v>0</v>
      </c>
      <c r="W55" s="182"/>
      <c r="X55" s="241"/>
      <c r="Y55" s="242"/>
      <c r="Z55" s="242"/>
      <c r="AA55" s="242"/>
      <c r="AB55" s="242"/>
      <c r="AC55" s="242"/>
      <c r="AD55" s="242"/>
      <c r="AE55" s="242"/>
      <c r="AF55" s="243"/>
      <c r="AG55" s="183"/>
      <c r="AH55" s="135"/>
    </row>
    <row r="56" spans="1:34" ht="17.55" customHeight="1">
      <c r="A56" s="135"/>
      <c r="B56" s="140"/>
      <c r="D56" s="237"/>
      <c r="E56" s="237"/>
      <c r="P56" s="27" t="s">
        <v>479</v>
      </c>
      <c r="T56" s="27">
        <f>COUNTIFS('2. Status Detalhe Campos'!$H$7:$H$615,'1. Status Resumo'!$P56,'2. Status Detalhe Campos'!$C$7:$C$615,'1. Status Resumo'!$G$48,'2. Status Detalhe Campos'!$D$7:$D$615,"2. Campo")+COUNTIFS('2. Status Detalhe Campos'!$H$7:$H$615,'1. Status Resumo'!$P56,'2. Status Detalhe Campos'!$C$7:$C$615,'1. Status Resumo'!$H$48,'2. Status Detalhe Campos'!$D$7:$D$615,"2. Campo")</f>
        <v>11</v>
      </c>
      <c r="U56" s="27">
        <f>COUNTIFS('2. Status Detalhe Campos'!$G$7:$G$615,'1. Status Resumo'!$P56,'2. Status Detalhe Campos'!$C$7:$C$615,'1. Status Resumo'!$G$48,'2. Status Detalhe Campos'!$D$7:$D$615,"2. Campo")+COUNTIFS('2. Status Detalhe Campos'!$G$7:$G$615,'1. Status Resumo'!$P56,'2. Status Detalhe Campos'!$C$7:$C$615,'1. Status Resumo'!$H$48,'2. Status Detalhe Campos'!$D$7:$D$615,"2. Campo")</f>
        <v>11</v>
      </c>
      <c r="V56" s="27">
        <f t="shared" si="1"/>
        <v>0</v>
      </c>
      <c r="W56" s="182"/>
      <c r="X56" s="241"/>
      <c r="Y56" s="242"/>
      <c r="Z56" s="242"/>
      <c r="AA56" s="242"/>
      <c r="AB56" s="242"/>
      <c r="AC56" s="242"/>
      <c r="AD56" s="242"/>
      <c r="AE56" s="242"/>
      <c r="AF56" s="243"/>
      <c r="AG56" s="183"/>
      <c r="AH56" s="135"/>
    </row>
    <row r="57" spans="1:34" ht="17.55" customHeight="1">
      <c r="A57" s="135"/>
      <c r="B57" s="140"/>
      <c r="P57" s="27" t="s">
        <v>480</v>
      </c>
      <c r="R57" s="27" t="s">
        <v>481</v>
      </c>
      <c r="T57" s="27">
        <f>COUNTIFS('2. Status Detalhe Campos'!$H$7:$H$615,'1. Status Resumo'!$P57,'2. Status Detalhe Campos'!$C$7:$C$615,'1. Status Resumo'!$G$48,'2. Status Detalhe Campos'!$D$7:$D$615,"2. Campo")+COUNTIFS('2. Status Detalhe Campos'!$H$7:$H$615,'1. Status Resumo'!$P57,'2. Status Detalhe Campos'!$C$7:$C$615,'1. Status Resumo'!$H$48,'2. Status Detalhe Campos'!$D$7:$D$615,"2. Campo")</f>
        <v>2</v>
      </c>
      <c r="U57" s="27">
        <f>COUNTIFS('2. Status Detalhe Campos'!$G$7:$G$615,'1. Status Resumo'!$P57,'2. Status Detalhe Campos'!$C$7:$C$615,'1. Status Resumo'!$G$48,'2. Status Detalhe Campos'!$D$7:$D$615,"2. Campo")+COUNTIFS('2. Status Detalhe Campos'!$G$7:$G$615,'1. Status Resumo'!$P57,'2. Status Detalhe Campos'!$C$7:$C$615,'1. Status Resumo'!$H$48,'2. Status Detalhe Campos'!$D$7:$D$615,"2. Campo")</f>
        <v>2</v>
      </c>
      <c r="V57" s="27">
        <f t="shared" si="1"/>
        <v>0</v>
      </c>
      <c r="W57" s="182"/>
      <c r="X57" s="241"/>
      <c r="Y57" s="242"/>
      <c r="Z57" s="242"/>
      <c r="AA57" s="242"/>
      <c r="AB57" s="242"/>
      <c r="AC57" s="242"/>
      <c r="AD57" s="242"/>
      <c r="AE57" s="242"/>
      <c r="AF57" s="243"/>
      <c r="AG57" s="183"/>
      <c r="AH57" s="135"/>
    </row>
    <row r="58" spans="1:34">
      <c r="A58" s="135"/>
      <c r="B58" s="140"/>
      <c r="P58" s="27" t="s">
        <v>482</v>
      </c>
      <c r="T58" s="27">
        <f>COUNTIFS('2. Status Detalhe Campos'!$H$7:$H$615,'1. Status Resumo'!$P58,'2. Status Detalhe Campos'!$C$7:$C$615,'1. Status Resumo'!$G$48,'2. Status Detalhe Campos'!$D$7:$D$615,"2. Campo")+COUNTIFS('2. Status Detalhe Campos'!$H$7:$H$615,'1. Status Resumo'!$P58,'2. Status Detalhe Campos'!$C$7:$C$615,'1. Status Resumo'!$H$48,'2. Status Detalhe Campos'!$D$7:$D$615,"2. Campo")</f>
        <v>45</v>
      </c>
      <c r="U58" s="27">
        <f>COUNTIFS('2. Status Detalhe Campos'!$G$7:$G$615,'1. Status Resumo'!$P58,'2. Status Detalhe Campos'!$C$7:$C$615,'1. Status Resumo'!$G$48,'2. Status Detalhe Campos'!$D$7:$D$615,"2. Campo")+COUNTIFS('2. Status Detalhe Campos'!$G$7:$G$615,'1. Status Resumo'!$P58,'2. Status Detalhe Campos'!$C$7:$C$615,'1. Status Resumo'!$H$48,'2. Status Detalhe Campos'!$D$7:$D$615,"2. Campo")</f>
        <v>45</v>
      </c>
      <c r="V58" s="27">
        <f t="shared" si="1"/>
        <v>0</v>
      </c>
      <c r="X58" s="241"/>
      <c r="Y58" s="242"/>
      <c r="Z58" s="242"/>
      <c r="AA58" s="242"/>
      <c r="AB58" s="242"/>
      <c r="AC58" s="242"/>
      <c r="AD58" s="242"/>
      <c r="AE58" s="242"/>
      <c r="AF58" s="243"/>
      <c r="AG58" s="183"/>
      <c r="AH58" s="135"/>
    </row>
    <row r="59" spans="1:34">
      <c r="A59" s="135"/>
      <c r="B59" s="140"/>
      <c r="P59" s="27" t="s">
        <v>30</v>
      </c>
      <c r="T59" s="27">
        <f>COUNTIFS('2. Status Detalhe Campos'!$H$7:$H$615,'1. Status Resumo'!$P59,'2. Status Detalhe Campos'!$C$7:$C$615,'1. Status Resumo'!$G$48,'2. Status Detalhe Campos'!$D$7:$D$615,"2. Campo")+COUNTIFS('2. Status Detalhe Campos'!$H$7:$H$615,'1. Status Resumo'!$P59,'2. Status Detalhe Campos'!$C$7:$C$615,'1. Status Resumo'!$H$48,'2. Status Detalhe Campos'!$D$7:$D$615,"2. Campo")</f>
        <v>0</v>
      </c>
      <c r="U59" s="27">
        <f>COUNTIFS('2. Status Detalhe Campos'!$G$7:$G$615,'1. Status Resumo'!$P59,'2. Status Detalhe Campos'!$C$7:$C$615,'1. Status Resumo'!$G$48,'2. Status Detalhe Campos'!$D$7:$D$615,"2. Campo")+COUNTIFS('2. Status Detalhe Campos'!$G$7:$G$615,'1. Status Resumo'!$P59,'2. Status Detalhe Campos'!$C$7:$C$615,'1. Status Resumo'!$H$48,'2. Status Detalhe Campos'!$D$7:$D$615,"2. Campo")</f>
        <v>0</v>
      </c>
      <c r="V59" s="27">
        <f t="shared" si="1"/>
        <v>0</v>
      </c>
      <c r="X59" s="241"/>
      <c r="Y59" s="242"/>
      <c r="Z59" s="242"/>
      <c r="AA59" s="242"/>
      <c r="AB59" s="242"/>
      <c r="AC59" s="242"/>
      <c r="AD59" s="242"/>
      <c r="AE59" s="242"/>
      <c r="AF59" s="243"/>
      <c r="AG59" s="183"/>
      <c r="AH59" s="135"/>
    </row>
    <row r="60" spans="1:34">
      <c r="A60" s="135"/>
      <c r="B60" s="140"/>
      <c r="T60" s="146">
        <f>SUM(T52:T59)</f>
        <v>245</v>
      </c>
      <c r="U60" s="146">
        <f>SUM(U52:U59)</f>
        <v>245</v>
      </c>
      <c r="X60" s="241"/>
      <c r="Y60" s="242"/>
      <c r="Z60" s="242"/>
      <c r="AA60" s="242"/>
      <c r="AB60" s="242"/>
      <c r="AC60" s="242"/>
      <c r="AD60" s="242"/>
      <c r="AE60" s="242"/>
      <c r="AF60" s="243"/>
      <c r="AG60" s="183"/>
      <c r="AH60" s="135"/>
    </row>
    <row r="61" spans="1:34">
      <c r="A61" s="135"/>
      <c r="B61" s="140"/>
      <c r="X61" s="241"/>
      <c r="Y61" s="242"/>
      <c r="Z61" s="242"/>
      <c r="AA61" s="242"/>
      <c r="AB61" s="242"/>
      <c r="AC61" s="242"/>
      <c r="AD61" s="242"/>
      <c r="AE61" s="242"/>
      <c r="AF61" s="243"/>
      <c r="AG61" s="183"/>
      <c r="AH61" s="135"/>
    </row>
    <row r="62" spans="1:34">
      <c r="A62" s="135"/>
      <c r="B62" s="140"/>
      <c r="P62" s="148" t="s">
        <v>1816</v>
      </c>
      <c r="Q62" s="149"/>
      <c r="R62" s="149"/>
      <c r="S62" s="149"/>
      <c r="T62" s="149"/>
      <c r="U62" s="149"/>
      <c r="V62" s="149"/>
      <c r="X62" s="241"/>
      <c r="Y62" s="242"/>
      <c r="Z62" s="242"/>
      <c r="AA62" s="242"/>
      <c r="AB62" s="242"/>
      <c r="AC62" s="242"/>
      <c r="AD62" s="242"/>
      <c r="AE62" s="242"/>
      <c r="AF62" s="243"/>
      <c r="AG62" s="183"/>
      <c r="AH62" s="135"/>
    </row>
    <row r="63" spans="1:34">
      <c r="A63" s="135"/>
      <c r="B63" s="140"/>
      <c r="O63" s="185" t="s">
        <v>483</v>
      </c>
      <c r="P63" s="27" t="s">
        <v>209</v>
      </c>
      <c r="T63" s="187" t="s">
        <v>485</v>
      </c>
      <c r="X63" s="241"/>
      <c r="Y63" s="242"/>
      <c r="Z63" s="242"/>
      <c r="AA63" s="242"/>
      <c r="AB63" s="242"/>
      <c r="AC63" s="242"/>
      <c r="AD63" s="242"/>
      <c r="AE63" s="242"/>
      <c r="AF63" s="243"/>
      <c r="AG63" s="183"/>
      <c r="AH63" s="135"/>
    </row>
    <row r="64" spans="1:34">
      <c r="A64" s="135"/>
      <c r="B64" s="140"/>
      <c r="O64" s="185" t="s">
        <v>483</v>
      </c>
      <c r="P64" s="27" t="s">
        <v>208</v>
      </c>
      <c r="T64" s="187" t="s">
        <v>485</v>
      </c>
      <c r="X64" s="241"/>
      <c r="Y64" s="242"/>
      <c r="Z64" s="242"/>
      <c r="AA64" s="242"/>
      <c r="AB64" s="242"/>
      <c r="AC64" s="242"/>
      <c r="AD64" s="242"/>
      <c r="AE64" s="242"/>
      <c r="AF64" s="243"/>
      <c r="AG64" s="183"/>
      <c r="AH64" s="135"/>
    </row>
    <row r="65" spans="1:34">
      <c r="A65" s="135"/>
      <c r="B65" s="140"/>
      <c r="O65" s="185" t="s">
        <v>483</v>
      </c>
      <c r="P65" s="27" t="s">
        <v>206</v>
      </c>
      <c r="T65" s="187" t="s">
        <v>485</v>
      </c>
      <c r="X65" s="241"/>
      <c r="Y65" s="242"/>
      <c r="Z65" s="242"/>
      <c r="AA65" s="242"/>
      <c r="AB65" s="242"/>
      <c r="AC65" s="242"/>
      <c r="AD65" s="242"/>
      <c r="AE65" s="242"/>
      <c r="AF65" s="243"/>
      <c r="AG65" s="183"/>
      <c r="AH65" s="135"/>
    </row>
    <row r="66" spans="1:34">
      <c r="A66" s="135"/>
      <c r="B66" s="140"/>
      <c r="O66" s="185" t="s">
        <v>483</v>
      </c>
      <c r="P66" s="27" t="s">
        <v>205</v>
      </c>
      <c r="T66" s="187" t="s">
        <v>485</v>
      </c>
      <c r="X66" s="241"/>
      <c r="Y66" s="242"/>
      <c r="Z66" s="242"/>
      <c r="AA66" s="242"/>
      <c r="AB66" s="242"/>
      <c r="AC66" s="242"/>
      <c r="AD66" s="242"/>
      <c r="AE66" s="242"/>
      <c r="AF66" s="243"/>
      <c r="AG66" s="183"/>
      <c r="AH66" s="135"/>
    </row>
    <row r="67" spans="1:34">
      <c r="A67" s="135"/>
      <c r="B67" s="140"/>
      <c r="O67" s="185" t="s">
        <v>483</v>
      </c>
      <c r="P67" s="27" t="s">
        <v>210</v>
      </c>
      <c r="T67" s="187" t="s">
        <v>485</v>
      </c>
      <c r="X67" s="241"/>
      <c r="Y67" s="242"/>
      <c r="Z67" s="242"/>
      <c r="AA67" s="242"/>
      <c r="AB67" s="242"/>
      <c r="AC67" s="242"/>
      <c r="AD67" s="242"/>
      <c r="AE67" s="242"/>
      <c r="AF67" s="243"/>
      <c r="AG67" s="183"/>
      <c r="AH67" s="135"/>
    </row>
    <row r="68" spans="1:34">
      <c r="A68" s="135"/>
      <c r="B68" s="140"/>
      <c r="O68" s="185" t="s">
        <v>483</v>
      </c>
      <c r="P68" s="27" t="s">
        <v>211</v>
      </c>
      <c r="T68" s="187" t="s">
        <v>485</v>
      </c>
      <c r="X68" s="241"/>
      <c r="Y68" s="242"/>
      <c r="Z68" s="242"/>
      <c r="AA68" s="242"/>
      <c r="AB68" s="242"/>
      <c r="AC68" s="242"/>
      <c r="AD68" s="242"/>
      <c r="AE68" s="242"/>
      <c r="AF68" s="243"/>
      <c r="AG68" s="183"/>
      <c r="AH68" s="135"/>
    </row>
    <row r="69" spans="1:34">
      <c r="A69" s="135"/>
      <c r="B69" s="140"/>
      <c r="O69" s="185" t="s">
        <v>483</v>
      </c>
      <c r="P69" s="27" t="s">
        <v>212</v>
      </c>
      <c r="T69" s="187" t="s">
        <v>485</v>
      </c>
      <c r="X69" s="241"/>
      <c r="Y69" s="242"/>
      <c r="Z69" s="242"/>
      <c r="AA69" s="242"/>
      <c r="AB69" s="242"/>
      <c r="AC69" s="242"/>
      <c r="AD69" s="242"/>
      <c r="AE69" s="242"/>
      <c r="AF69" s="243"/>
      <c r="AG69" s="183"/>
      <c r="AH69" s="135"/>
    </row>
    <row r="70" spans="1:34">
      <c r="A70" s="135"/>
      <c r="B70" s="140"/>
      <c r="O70" s="185" t="s">
        <v>483</v>
      </c>
      <c r="P70" s="27" t="s">
        <v>207</v>
      </c>
      <c r="T70" s="187" t="s">
        <v>485</v>
      </c>
      <c r="X70" s="241"/>
      <c r="Y70" s="242"/>
      <c r="Z70" s="242"/>
      <c r="AA70" s="242"/>
      <c r="AB70" s="242"/>
      <c r="AC70" s="242"/>
      <c r="AD70" s="242"/>
      <c r="AE70" s="242"/>
      <c r="AF70" s="243"/>
      <c r="AG70" s="183"/>
      <c r="AH70" s="135"/>
    </row>
    <row r="71" spans="1:34">
      <c r="A71" s="135"/>
      <c r="B71" s="140"/>
      <c r="O71" s="185" t="s">
        <v>483</v>
      </c>
      <c r="P71" s="27" t="s">
        <v>179</v>
      </c>
      <c r="T71" s="192" t="s">
        <v>1823</v>
      </c>
      <c r="X71" s="241"/>
      <c r="Y71" s="242"/>
      <c r="Z71" s="242"/>
      <c r="AA71" s="242"/>
      <c r="AB71" s="242"/>
      <c r="AC71" s="242"/>
      <c r="AD71" s="242"/>
      <c r="AE71" s="242"/>
      <c r="AF71" s="243"/>
      <c r="AG71" s="183"/>
      <c r="AH71" s="135"/>
    </row>
    <row r="72" spans="1:34">
      <c r="A72" s="135"/>
      <c r="B72" s="140"/>
      <c r="P72" s="184"/>
      <c r="X72" s="241"/>
      <c r="Y72" s="242"/>
      <c r="Z72" s="242"/>
      <c r="AA72" s="242"/>
      <c r="AB72" s="242"/>
      <c r="AC72" s="242"/>
      <c r="AD72" s="242"/>
      <c r="AE72" s="242"/>
      <c r="AF72" s="243"/>
      <c r="AG72" s="183"/>
      <c r="AH72" s="135"/>
    </row>
    <row r="73" spans="1:34">
      <c r="A73" s="135"/>
      <c r="B73" s="140"/>
      <c r="P73" s="148" t="s">
        <v>1814</v>
      </c>
      <c r="Q73" s="149"/>
      <c r="R73" s="149"/>
      <c r="S73" s="149"/>
      <c r="T73" s="149"/>
      <c r="U73" s="149"/>
      <c r="V73" s="149"/>
      <c r="X73" s="241"/>
      <c r="Y73" s="242"/>
      <c r="Z73" s="242"/>
      <c r="AA73" s="242"/>
      <c r="AB73" s="242"/>
      <c r="AC73" s="242"/>
      <c r="AD73" s="242"/>
      <c r="AE73" s="242"/>
      <c r="AF73" s="243"/>
      <c r="AG73" s="183"/>
      <c r="AH73" s="135"/>
    </row>
    <row r="74" spans="1:34">
      <c r="A74" s="135"/>
      <c r="B74" s="140"/>
      <c r="O74" s="185" t="s">
        <v>483</v>
      </c>
      <c r="P74" s="27" t="s">
        <v>1817</v>
      </c>
      <c r="T74" s="192" t="s">
        <v>1823</v>
      </c>
      <c r="X74" s="241"/>
      <c r="Y74" s="242"/>
      <c r="Z74" s="242"/>
      <c r="AA74" s="242"/>
      <c r="AB74" s="242"/>
      <c r="AC74" s="242"/>
      <c r="AD74" s="242"/>
      <c r="AE74" s="242"/>
      <c r="AF74" s="243"/>
      <c r="AG74" s="183"/>
      <c r="AH74" s="135"/>
    </row>
    <row r="75" spans="1:34">
      <c r="A75" s="135"/>
      <c r="B75" s="140"/>
      <c r="O75" s="185" t="s">
        <v>483</v>
      </c>
      <c r="P75" s="27" t="s">
        <v>302</v>
      </c>
      <c r="T75" s="187" t="s">
        <v>1815</v>
      </c>
      <c r="X75" s="241"/>
      <c r="Y75" s="242"/>
      <c r="Z75" s="242"/>
      <c r="AA75" s="242"/>
      <c r="AB75" s="242"/>
      <c r="AC75" s="242"/>
      <c r="AD75" s="242"/>
      <c r="AE75" s="242"/>
      <c r="AF75" s="243"/>
      <c r="AG75" s="183"/>
      <c r="AH75" s="135"/>
    </row>
    <row r="76" spans="1:34">
      <c r="A76" s="135"/>
      <c r="B76" s="140"/>
      <c r="O76" s="185" t="s">
        <v>483</v>
      </c>
      <c r="P76" s="27" t="s">
        <v>312</v>
      </c>
      <c r="T76" s="187" t="s">
        <v>485</v>
      </c>
      <c r="X76" s="241"/>
      <c r="Y76" s="242"/>
      <c r="Z76" s="242"/>
      <c r="AA76" s="242"/>
      <c r="AB76" s="242"/>
      <c r="AC76" s="242"/>
      <c r="AD76" s="242"/>
      <c r="AE76" s="242"/>
      <c r="AF76" s="243"/>
      <c r="AG76" s="183"/>
      <c r="AH76" s="135"/>
    </row>
    <row r="77" spans="1:34">
      <c r="A77" s="135"/>
      <c r="B77" s="140"/>
      <c r="O77" s="185" t="s">
        <v>483</v>
      </c>
      <c r="P77" s="27" t="s">
        <v>320</v>
      </c>
      <c r="T77" s="192" t="s">
        <v>1823</v>
      </c>
      <c r="X77" s="241"/>
      <c r="Y77" s="242"/>
      <c r="Z77" s="242"/>
      <c r="AA77" s="242"/>
      <c r="AB77" s="242"/>
      <c r="AC77" s="242"/>
      <c r="AD77" s="242"/>
      <c r="AE77" s="242"/>
      <c r="AF77" s="243"/>
      <c r="AG77" s="183"/>
      <c r="AH77" s="135"/>
    </row>
    <row r="78" spans="1:34">
      <c r="A78" s="135"/>
      <c r="B78" s="140"/>
      <c r="O78" s="185"/>
      <c r="T78" s="186"/>
      <c r="X78" s="241"/>
      <c r="Y78" s="242"/>
      <c r="Z78" s="242"/>
      <c r="AA78" s="242"/>
      <c r="AB78" s="242"/>
      <c r="AC78" s="242"/>
      <c r="AD78" s="242"/>
      <c r="AE78" s="242"/>
      <c r="AF78" s="243"/>
      <c r="AG78" s="183"/>
      <c r="AH78" s="135"/>
    </row>
    <row r="79" spans="1:34">
      <c r="A79" s="135"/>
      <c r="B79" s="140"/>
      <c r="O79" s="185"/>
      <c r="T79" s="186"/>
      <c r="X79" s="241"/>
      <c r="Y79" s="242"/>
      <c r="Z79" s="242"/>
      <c r="AA79" s="242"/>
      <c r="AB79" s="242"/>
      <c r="AC79" s="242"/>
      <c r="AD79" s="242"/>
      <c r="AE79" s="242"/>
      <c r="AF79" s="243"/>
      <c r="AG79" s="183"/>
      <c r="AH79" s="135"/>
    </row>
    <row r="80" spans="1:34">
      <c r="A80" s="135"/>
      <c r="B80" s="140"/>
      <c r="P80" s="146"/>
      <c r="X80" s="241"/>
      <c r="Y80" s="242"/>
      <c r="Z80" s="242"/>
      <c r="AA80" s="242"/>
      <c r="AB80" s="242"/>
      <c r="AC80" s="242"/>
      <c r="AD80" s="242"/>
      <c r="AE80" s="242"/>
      <c r="AF80" s="243"/>
      <c r="AG80" s="183"/>
      <c r="AH80" s="135"/>
    </row>
    <row r="81" spans="1:34">
      <c r="A81" s="135"/>
      <c r="B81" s="140"/>
      <c r="O81" s="185"/>
      <c r="T81" s="186"/>
      <c r="X81" s="241"/>
      <c r="Y81" s="242"/>
      <c r="Z81" s="242"/>
      <c r="AA81" s="242"/>
      <c r="AB81" s="242"/>
      <c r="AC81" s="242"/>
      <c r="AD81" s="242"/>
      <c r="AE81" s="242"/>
      <c r="AF81" s="243"/>
      <c r="AG81" s="183"/>
      <c r="AH81" s="135"/>
    </row>
    <row r="82" spans="1:34">
      <c r="A82" s="135"/>
      <c r="B82" s="140"/>
      <c r="O82" s="185"/>
      <c r="T82" s="186"/>
      <c r="X82" s="241"/>
      <c r="Y82" s="242"/>
      <c r="Z82" s="242"/>
      <c r="AA82" s="242"/>
      <c r="AB82" s="242"/>
      <c r="AC82" s="242"/>
      <c r="AD82" s="242"/>
      <c r="AE82" s="242"/>
      <c r="AF82" s="243"/>
      <c r="AG82" s="183"/>
      <c r="AH82" s="135"/>
    </row>
    <row r="83" spans="1:34">
      <c r="A83" s="135"/>
      <c r="B83" s="140"/>
      <c r="O83" s="185"/>
      <c r="T83" s="186"/>
      <c r="X83" s="241"/>
      <c r="Y83" s="242"/>
      <c r="Z83" s="242"/>
      <c r="AA83" s="242"/>
      <c r="AB83" s="242"/>
      <c r="AC83" s="242"/>
      <c r="AD83" s="242"/>
      <c r="AE83" s="242"/>
      <c r="AF83" s="243"/>
      <c r="AG83" s="183"/>
      <c r="AH83" s="135"/>
    </row>
    <row r="84" spans="1:34">
      <c r="A84" s="135"/>
      <c r="B84" s="140"/>
      <c r="O84" s="185"/>
      <c r="T84" s="186"/>
      <c r="X84" s="241"/>
      <c r="Y84" s="242"/>
      <c r="Z84" s="242"/>
      <c r="AA84" s="242"/>
      <c r="AB84" s="242"/>
      <c r="AC84" s="242"/>
      <c r="AD84" s="242"/>
      <c r="AE84" s="242"/>
      <c r="AF84" s="243"/>
      <c r="AG84" s="183"/>
      <c r="AH84" s="135"/>
    </row>
    <row r="85" spans="1:34">
      <c r="A85" s="135"/>
      <c r="B85" s="140"/>
      <c r="O85" s="185"/>
      <c r="T85" s="186"/>
      <c r="X85" s="241"/>
      <c r="Y85" s="242"/>
      <c r="Z85" s="242"/>
      <c r="AA85" s="242"/>
      <c r="AB85" s="242"/>
      <c r="AC85" s="242"/>
      <c r="AD85" s="242"/>
      <c r="AE85" s="242"/>
      <c r="AF85" s="243"/>
      <c r="AG85" s="183"/>
      <c r="AH85" s="135"/>
    </row>
    <row r="86" spans="1:34">
      <c r="A86" s="135"/>
      <c r="B86" s="140"/>
      <c r="O86" s="185"/>
      <c r="T86" s="186"/>
      <c r="X86" s="244"/>
      <c r="Y86" s="245"/>
      <c r="Z86" s="245"/>
      <c r="AA86" s="245"/>
      <c r="AB86" s="245"/>
      <c r="AC86" s="245"/>
      <c r="AD86" s="245"/>
      <c r="AE86" s="245"/>
      <c r="AF86" s="246"/>
      <c r="AG86" s="183"/>
      <c r="AH86" s="135"/>
    </row>
    <row r="87" spans="1:34">
      <c r="A87" s="135"/>
      <c r="B87" s="142"/>
      <c r="C87" s="143"/>
      <c r="D87" s="143"/>
      <c r="E87" s="143"/>
      <c r="F87" s="143"/>
      <c r="G87" s="143"/>
      <c r="H87" s="143"/>
      <c r="I87" s="143"/>
      <c r="J87" s="143"/>
      <c r="K87" s="143"/>
      <c r="L87" s="143"/>
      <c r="M87" s="143"/>
      <c r="N87" s="143"/>
      <c r="O87" s="143"/>
      <c r="P87" s="143"/>
      <c r="Q87" s="143"/>
      <c r="R87" s="143"/>
      <c r="S87" s="143"/>
      <c r="T87" s="143"/>
      <c r="U87" s="143"/>
      <c r="V87" s="143"/>
      <c r="W87" s="143"/>
      <c r="X87" s="143"/>
      <c r="Y87" s="143"/>
      <c r="Z87" s="143"/>
      <c r="AA87" s="143"/>
      <c r="AB87" s="143"/>
      <c r="AC87" s="143"/>
      <c r="AD87" s="143"/>
      <c r="AE87" s="143"/>
      <c r="AF87" s="143"/>
      <c r="AG87" s="144"/>
      <c r="AH87" s="135"/>
    </row>
    <row r="88" spans="1:34">
      <c r="A88" s="135"/>
      <c r="B88" s="135"/>
      <c r="C88" s="135"/>
      <c r="D88" s="135"/>
      <c r="E88" s="135"/>
      <c r="F88" s="135"/>
      <c r="G88" s="135"/>
      <c r="H88" s="135"/>
      <c r="I88" s="135"/>
      <c r="J88" s="135"/>
      <c r="K88" s="135"/>
      <c r="L88" s="135"/>
      <c r="M88" s="135"/>
      <c r="N88" s="135"/>
      <c r="O88" s="135"/>
      <c r="P88" s="135"/>
      <c r="Q88" s="135"/>
      <c r="R88" s="135"/>
      <c r="S88" s="135"/>
      <c r="T88" s="135"/>
      <c r="U88" s="135"/>
      <c r="V88" s="135"/>
      <c r="W88" s="135"/>
      <c r="X88" s="135"/>
      <c r="Y88" s="135"/>
      <c r="Z88" s="135"/>
      <c r="AA88" s="135"/>
      <c r="AB88" s="135"/>
      <c r="AC88" s="135"/>
      <c r="AD88" s="135"/>
      <c r="AE88" s="135"/>
      <c r="AF88" s="135"/>
      <c r="AG88" s="135"/>
      <c r="AH88" s="135"/>
    </row>
    <row r="89" spans="1:34" ht="22.2">
      <c r="A89" s="135"/>
      <c r="B89" s="145" t="s">
        <v>490</v>
      </c>
      <c r="C89" s="135"/>
      <c r="D89" s="135"/>
      <c r="E89" s="135"/>
      <c r="F89" s="135"/>
      <c r="G89" s="147" t="s">
        <v>28</v>
      </c>
      <c r="H89" s="147"/>
      <c r="I89" s="135"/>
      <c r="J89" s="135"/>
      <c r="K89" s="135"/>
      <c r="L89" s="135"/>
      <c r="M89" s="135"/>
      <c r="N89" s="135"/>
      <c r="O89" s="135"/>
      <c r="P89" s="135"/>
      <c r="Q89" s="135"/>
      <c r="R89" s="135"/>
      <c r="S89" s="135"/>
      <c r="T89" s="135"/>
      <c r="U89" s="135"/>
      <c r="V89" s="135"/>
      <c r="W89" s="135"/>
      <c r="X89" s="135"/>
      <c r="Y89" s="135"/>
      <c r="Z89" s="135"/>
      <c r="AA89" s="135"/>
      <c r="AB89" s="135"/>
      <c r="AC89" s="135"/>
      <c r="AD89" s="135"/>
      <c r="AE89" s="135"/>
      <c r="AF89" s="135"/>
      <c r="AG89" s="135"/>
      <c r="AH89" s="135"/>
    </row>
    <row r="90" spans="1:34" ht="4.95" customHeight="1">
      <c r="A90" s="135"/>
      <c r="B90" s="135"/>
      <c r="C90" s="135"/>
      <c r="D90" s="135"/>
      <c r="E90" s="135"/>
      <c r="F90" s="135"/>
      <c r="G90" s="135"/>
      <c r="H90" s="135"/>
      <c r="I90" s="135"/>
      <c r="J90" s="135"/>
      <c r="K90" s="135"/>
      <c r="L90" s="135"/>
      <c r="M90" s="135"/>
      <c r="N90" s="135"/>
      <c r="O90" s="135"/>
      <c r="P90" s="135"/>
      <c r="Q90" s="135"/>
      <c r="R90" s="135"/>
      <c r="S90" s="135"/>
      <c r="T90" s="135"/>
      <c r="U90" s="135"/>
      <c r="V90" s="135"/>
      <c r="W90" s="135"/>
      <c r="X90" s="135"/>
      <c r="Y90" s="135"/>
      <c r="Z90" s="135"/>
      <c r="AA90" s="135"/>
      <c r="AB90" s="135"/>
      <c r="AC90" s="135"/>
      <c r="AD90" s="135"/>
      <c r="AE90" s="135"/>
      <c r="AF90" s="135"/>
      <c r="AG90" s="135"/>
      <c r="AH90" s="135"/>
    </row>
    <row r="91" spans="1:34">
      <c r="A91" s="135"/>
      <c r="B91" s="137"/>
      <c r="C91" s="138"/>
      <c r="D91" s="138"/>
      <c r="E91" s="138"/>
      <c r="F91" s="138"/>
      <c r="G91" s="138"/>
      <c r="H91" s="138"/>
      <c r="I91" s="138"/>
      <c r="J91" s="138"/>
      <c r="K91" s="138"/>
      <c r="L91" s="138"/>
      <c r="M91" s="138"/>
      <c r="N91" s="138"/>
      <c r="O91" s="138"/>
      <c r="P91" s="138"/>
      <c r="Q91" s="138"/>
      <c r="R91" s="138"/>
      <c r="S91" s="138"/>
      <c r="T91" s="138"/>
      <c r="U91" s="138"/>
      <c r="V91" s="138"/>
      <c r="W91" s="138"/>
      <c r="X91" s="138"/>
      <c r="Y91" s="138"/>
      <c r="Z91" s="138"/>
      <c r="AA91" s="138"/>
      <c r="AB91" s="138"/>
      <c r="AC91" s="138"/>
      <c r="AD91" s="138"/>
      <c r="AE91" s="138"/>
      <c r="AF91" s="138"/>
      <c r="AG91" s="139"/>
      <c r="AH91" s="135"/>
    </row>
    <row r="92" spans="1:34">
      <c r="A92" s="135"/>
      <c r="B92" s="140"/>
      <c r="C92" s="180" t="s">
        <v>472</v>
      </c>
      <c r="G92" s="180" t="s">
        <v>473</v>
      </c>
      <c r="P92" s="148" t="s">
        <v>1812</v>
      </c>
      <c r="Q92" s="149"/>
      <c r="R92" s="148"/>
      <c r="S92" s="149"/>
      <c r="T92" s="150">
        <f>T25</f>
        <v>45562</v>
      </c>
      <c r="U92" s="150">
        <f>$U$25</f>
        <v>45569</v>
      </c>
      <c r="V92" s="151" t="s">
        <v>474</v>
      </c>
      <c r="X92" s="181" t="s">
        <v>475</v>
      </c>
      <c r="AG92" s="141"/>
      <c r="AH92" s="135"/>
    </row>
    <row r="93" spans="1:34">
      <c r="A93" s="135"/>
      <c r="B93" s="140"/>
      <c r="P93" s="27" t="s">
        <v>476</v>
      </c>
      <c r="T93" s="27">
        <f>COUNTIFS(Table4[Status Anterior],'1. Status Resumo'!$P93,Table4[Sub-âmbito],'1. Status Resumo'!$G$89,Table4[Tipo de teste],"2. Campo")</f>
        <v>0</v>
      </c>
      <c r="U93" s="27">
        <f>COUNTIFS(Table4[Status Atual],'1. Status Resumo'!$P93,Table4[Sub-âmbito],'1. Status Resumo'!$G$89,Table4[Tipo de teste],"2. Campo")</f>
        <v>0</v>
      </c>
      <c r="V93" s="27">
        <f>U93-T93</f>
        <v>0</v>
      </c>
      <c r="X93" s="219" t="s">
        <v>1868</v>
      </c>
      <c r="Y93" s="220"/>
      <c r="Z93" s="220"/>
      <c r="AA93" s="220"/>
      <c r="AB93" s="220"/>
      <c r="AC93" s="220"/>
      <c r="AD93" s="220"/>
      <c r="AE93" s="220"/>
      <c r="AF93" s="221"/>
      <c r="AG93" s="188"/>
      <c r="AH93" s="135"/>
    </row>
    <row r="94" spans="1:34">
      <c r="A94" s="135"/>
      <c r="B94" s="140"/>
      <c r="P94" s="27" t="s">
        <v>477</v>
      </c>
      <c r="T94" s="27">
        <f>COUNTIFS(Table4[Status Anterior],'1. Status Resumo'!$P94,Table4[Sub-âmbito],'1. Status Resumo'!$G$89,Table4[Tipo de teste],"2. Campo")</f>
        <v>42</v>
      </c>
      <c r="U94" s="27">
        <f>COUNTIFS(Table4[Status Atual],'1. Status Resumo'!$P94,Table4[Sub-âmbito],'1. Status Resumo'!$G$89,Table4[Tipo de teste],"2. Campo")</f>
        <v>42</v>
      </c>
      <c r="V94" s="27">
        <f t="shared" ref="V94:V100" si="2">U94-T94</f>
        <v>0</v>
      </c>
      <c r="X94" s="222"/>
      <c r="Y94" s="223"/>
      <c r="Z94" s="223"/>
      <c r="AA94" s="223"/>
      <c r="AB94" s="223"/>
      <c r="AC94" s="223"/>
      <c r="AD94" s="223"/>
      <c r="AE94" s="223"/>
      <c r="AF94" s="224"/>
      <c r="AG94" s="188"/>
      <c r="AH94" s="135"/>
    </row>
    <row r="95" spans="1:34">
      <c r="A95" s="135"/>
      <c r="B95" s="140"/>
      <c r="P95" s="27" t="s">
        <v>177</v>
      </c>
      <c r="T95" s="27">
        <f>COUNTIFS(Table4[Status Anterior],'1. Status Resumo'!$P95,Table4[Sub-âmbito],'1. Status Resumo'!$G$89,Table4[Tipo de teste],"2. Campo")</f>
        <v>0</v>
      </c>
      <c r="U95" s="27">
        <f>COUNTIFS(Table4[Status Atual],'1. Status Resumo'!$P95,Table4[Sub-âmbito],'1. Status Resumo'!$G$89,Table4[Tipo de teste],"2. Campo")</f>
        <v>0</v>
      </c>
      <c r="V95" s="27">
        <f t="shared" si="2"/>
        <v>0</v>
      </c>
      <c r="X95" s="222"/>
      <c r="Y95" s="223"/>
      <c r="Z95" s="223"/>
      <c r="AA95" s="223"/>
      <c r="AB95" s="223"/>
      <c r="AC95" s="223"/>
      <c r="AD95" s="223"/>
      <c r="AE95" s="223"/>
      <c r="AF95" s="224"/>
      <c r="AG95" s="188"/>
      <c r="AH95" s="135"/>
    </row>
    <row r="96" spans="1:34" ht="17.55" customHeight="1">
      <c r="A96" s="135"/>
      <c r="B96" s="140"/>
      <c r="D96" s="237" t="str">
        <f>"# "&amp;U101</f>
        <v># 126</v>
      </c>
      <c r="E96" s="237"/>
      <c r="P96" s="27" t="s">
        <v>478</v>
      </c>
      <c r="T96" s="27">
        <f>COUNTIFS(Table4[Status Anterior],'1. Status Resumo'!$P96,Table4[Sub-âmbito],'1. Status Resumo'!$G$89,Table4[Tipo de teste],"2. Campo")</f>
        <v>0</v>
      </c>
      <c r="U96" s="27">
        <f>COUNTIFS(Table4[Status Atual],'1. Status Resumo'!$P96,Table4[Sub-âmbito],'1. Status Resumo'!$G$89,Table4[Tipo de teste],"2. Campo")</f>
        <v>0</v>
      </c>
      <c r="V96" s="27">
        <f t="shared" si="2"/>
        <v>0</v>
      </c>
      <c r="X96" s="222"/>
      <c r="Y96" s="223"/>
      <c r="Z96" s="223"/>
      <c r="AA96" s="223"/>
      <c r="AB96" s="223"/>
      <c r="AC96" s="223"/>
      <c r="AD96" s="223"/>
      <c r="AE96" s="223"/>
      <c r="AF96" s="224"/>
      <c r="AG96" s="188"/>
      <c r="AH96" s="135"/>
    </row>
    <row r="97" spans="1:34" ht="17.55" customHeight="1">
      <c r="A97" s="135"/>
      <c r="B97" s="140"/>
      <c r="D97" s="237"/>
      <c r="E97" s="237"/>
      <c r="P97" s="27" t="s">
        <v>479</v>
      </c>
      <c r="T97" s="27">
        <f>COUNTIFS(Table4[Status Anterior],'1. Status Resumo'!$P97,Table4[Sub-âmbito],'1. Status Resumo'!$G$89,Table4[Tipo de teste],"2. Campo")</f>
        <v>9</v>
      </c>
      <c r="U97" s="27">
        <f>COUNTIFS(Table4[Status Atual],'1. Status Resumo'!$P97,Table4[Sub-âmbito],'1. Status Resumo'!$G$89,Table4[Tipo de teste],"2. Campo")</f>
        <v>9</v>
      </c>
      <c r="V97" s="27">
        <f t="shared" si="2"/>
        <v>0</v>
      </c>
      <c r="X97" s="222"/>
      <c r="Y97" s="223"/>
      <c r="Z97" s="223"/>
      <c r="AA97" s="223"/>
      <c r="AB97" s="223"/>
      <c r="AC97" s="223"/>
      <c r="AD97" s="223"/>
      <c r="AE97" s="223"/>
      <c r="AF97" s="224"/>
      <c r="AG97" s="188"/>
      <c r="AH97" s="135"/>
    </row>
    <row r="98" spans="1:34">
      <c r="A98" s="135"/>
      <c r="B98" s="140"/>
      <c r="P98" s="27" t="s">
        <v>480</v>
      </c>
      <c r="R98" s="27" t="s">
        <v>481</v>
      </c>
      <c r="T98" s="27">
        <f>COUNTIFS(Table4[Status Anterior],'1. Status Resumo'!$P98,Table4[Sub-âmbito],'1. Status Resumo'!$G$89,Table4[Tipo de teste],"2. Campo")</f>
        <v>0</v>
      </c>
      <c r="U98" s="27">
        <f>COUNTIFS(Table4[Status Atual],'1. Status Resumo'!$P98,Table4[Sub-âmbito],'1. Status Resumo'!$G$89,Table4[Tipo de teste],"2. Campo")</f>
        <v>0</v>
      </c>
      <c r="V98" s="27">
        <f t="shared" si="2"/>
        <v>0</v>
      </c>
      <c r="X98" s="222"/>
      <c r="Y98" s="223"/>
      <c r="Z98" s="223"/>
      <c r="AA98" s="223"/>
      <c r="AB98" s="223"/>
      <c r="AC98" s="223"/>
      <c r="AD98" s="223"/>
      <c r="AE98" s="223"/>
      <c r="AF98" s="224"/>
      <c r="AG98" s="188"/>
      <c r="AH98" s="135"/>
    </row>
    <row r="99" spans="1:34">
      <c r="A99" s="135"/>
      <c r="B99" s="140"/>
      <c r="P99" s="27" t="s">
        <v>482</v>
      </c>
      <c r="T99" s="27">
        <f>COUNTIFS(Table4[Status Anterior],'1. Status Resumo'!$P99,Table4[Sub-âmbito],'1. Status Resumo'!$G$89,Table4[Tipo de teste],"2. Campo")</f>
        <v>0</v>
      </c>
      <c r="U99" s="27">
        <f>COUNTIFS(Table4[Status Atual],'1. Status Resumo'!$P99,Table4[Sub-âmbito],'1. Status Resumo'!$G$89,Table4[Tipo de teste],"2. Campo")</f>
        <v>0</v>
      </c>
      <c r="V99" s="27">
        <f t="shared" si="2"/>
        <v>0</v>
      </c>
      <c r="X99" s="222"/>
      <c r="Y99" s="223"/>
      <c r="Z99" s="223"/>
      <c r="AA99" s="223"/>
      <c r="AB99" s="223"/>
      <c r="AC99" s="223"/>
      <c r="AD99" s="223"/>
      <c r="AE99" s="223"/>
      <c r="AF99" s="224"/>
      <c r="AG99" s="188"/>
      <c r="AH99" s="135"/>
    </row>
    <row r="100" spans="1:34">
      <c r="A100" s="135"/>
      <c r="B100" s="140"/>
      <c r="P100" s="27" t="s">
        <v>30</v>
      </c>
      <c r="T100" s="27">
        <f>COUNTIFS(Table4[Status Anterior],'1. Status Resumo'!$P100,Table4[Sub-âmbito],'1. Status Resumo'!$G$89,Table4[Tipo de teste],"2. Campo")</f>
        <v>75</v>
      </c>
      <c r="U100" s="27">
        <f>COUNTIFS(Table4[Status Atual],'1. Status Resumo'!$P100,Table4[Sub-âmbito],'1. Status Resumo'!$G$89,Table4[Tipo de teste],"2. Campo")</f>
        <v>75</v>
      </c>
      <c r="V100" s="27">
        <f t="shared" si="2"/>
        <v>0</v>
      </c>
      <c r="X100" s="222"/>
      <c r="Y100" s="223"/>
      <c r="Z100" s="223"/>
      <c r="AA100" s="223"/>
      <c r="AB100" s="223"/>
      <c r="AC100" s="223"/>
      <c r="AD100" s="223"/>
      <c r="AE100" s="223"/>
      <c r="AF100" s="224"/>
      <c r="AG100" s="188"/>
      <c r="AH100" s="135"/>
    </row>
    <row r="101" spans="1:34">
      <c r="A101" s="135"/>
      <c r="B101" s="140"/>
      <c r="T101" s="146">
        <f>SUM(T93:T100)</f>
        <v>126</v>
      </c>
      <c r="U101" s="146">
        <f>SUM(U93:U100)</f>
        <v>126</v>
      </c>
      <c r="X101" s="222"/>
      <c r="Y101" s="223"/>
      <c r="Z101" s="223"/>
      <c r="AA101" s="223"/>
      <c r="AB101" s="223"/>
      <c r="AC101" s="223"/>
      <c r="AD101" s="223"/>
      <c r="AE101" s="223"/>
      <c r="AF101" s="224"/>
      <c r="AG101" s="188"/>
      <c r="AH101" s="135"/>
    </row>
    <row r="102" spans="1:34">
      <c r="A102" s="135"/>
      <c r="B102" s="140"/>
      <c r="X102" s="222"/>
      <c r="Y102" s="223"/>
      <c r="Z102" s="223"/>
      <c r="AA102" s="223"/>
      <c r="AB102" s="223"/>
      <c r="AC102" s="223"/>
      <c r="AD102" s="223"/>
      <c r="AE102" s="223"/>
      <c r="AF102" s="224"/>
      <c r="AG102" s="188"/>
      <c r="AH102" s="135"/>
    </row>
    <row r="103" spans="1:34">
      <c r="A103" s="135"/>
      <c r="B103" s="140"/>
      <c r="X103" s="225"/>
      <c r="Y103" s="226"/>
      <c r="Z103" s="226"/>
      <c r="AA103" s="226"/>
      <c r="AB103" s="226"/>
      <c r="AC103" s="226"/>
      <c r="AD103" s="226"/>
      <c r="AE103" s="226"/>
      <c r="AF103" s="227"/>
      <c r="AG103" s="188"/>
      <c r="AH103" s="135"/>
    </row>
    <row r="104" spans="1:34">
      <c r="A104" s="135"/>
      <c r="B104" s="140"/>
      <c r="AG104" s="141"/>
      <c r="AH104" s="135"/>
    </row>
    <row r="105" spans="1:34">
      <c r="A105" s="135"/>
      <c r="B105" s="142"/>
      <c r="C105" s="143"/>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c r="Z105" s="143"/>
      <c r="AA105" s="143"/>
      <c r="AB105" s="143"/>
      <c r="AC105" s="143"/>
      <c r="AD105" s="143"/>
      <c r="AE105" s="143"/>
      <c r="AF105" s="143"/>
      <c r="AG105" s="144"/>
      <c r="AH105" s="135"/>
    </row>
    <row r="106" spans="1:34">
      <c r="A106" s="135"/>
      <c r="B106" s="135"/>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135"/>
      <c r="AF106" s="135"/>
      <c r="AG106" s="135"/>
      <c r="AH106" s="135"/>
    </row>
    <row r="107" spans="1:34" ht="22.2" hidden="1" customHeight="1">
      <c r="A107" s="135"/>
      <c r="B107" s="145" t="s">
        <v>491</v>
      </c>
      <c r="C107" s="135"/>
      <c r="D107" s="135"/>
      <c r="E107" s="135"/>
      <c r="F107" s="135"/>
      <c r="G107" s="147" t="s">
        <v>32</v>
      </c>
      <c r="H107" s="147"/>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c r="AE107" s="135"/>
      <c r="AF107" s="135"/>
      <c r="AG107" s="135"/>
      <c r="AH107" s="135"/>
    </row>
    <row r="108" spans="1:34" ht="4.95" hidden="1" customHeight="1">
      <c r="A108" s="135"/>
      <c r="B108" s="135"/>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5"/>
      <c r="AF108" s="135"/>
      <c r="AG108" s="135"/>
      <c r="AH108" s="135"/>
    </row>
    <row r="109" spans="1:34" ht="17.399999999999999" hidden="1" customHeight="1">
      <c r="A109" s="135"/>
      <c r="B109" s="137"/>
      <c r="C109" s="138"/>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c r="AA109" s="138"/>
      <c r="AB109" s="138"/>
      <c r="AC109" s="138"/>
      <c r="AD109" s="138"/>
      <c r="AE109" s="138"/>
      <c r="AF109" s="138"/>
      <c r="AG109" s="139"/>
      <c r="AH109" s="135"/>
    </row>
    <row r="110" spans="1:34" ht="17.399999999999999" hidden="1" customHeight="1">
      <c r="A110" s="135"/>
      <c r="B110" s="140"/>
      <c r="C110" s="180" t="s">
        <v>472</v>
      </c>
      <c r="G110" s="180" t="s">
        <v>473</v>
      </c>
      <c r="P110" s="148" t="s">
        <v>1812</v>
      </c>
      <c r="Q110" s="149"/>
      <c r="R110" s="148"/>
      <c r="S110" s="149"/>
      <c r="T110" s="150">
        <f>T51</f>
        <v>45562</v>
      </c>
      <c r="U110" s="150">
        <f>$U$25</f>
        <v>45569</v>
      </c>
      <c r="V110" s="151" t="s">
        <v>474</v>
      </c>
      <c r="X110" s="181" t="s">
        <v>475</v>
      </c>
      <c r="AG110" s="141"/>
      <c r="AH110" s="135"/>
    </row>
    <row r="111" spans="1:34" ht="17.399999999999999" hidden="1" customHeight="1">
      <c r="A111" s="135"/>
      <c r="B111" s="140"/>
      <c r="P111" s="27" t="s">
        <v>476</v>
      </c>
      <c r="T111" s="27">
        <f>COUNTIFS('2. Status Detalhe Campos'!$H$7:$H$605,'1. Status Resumo'!$P111,'2. Status Detalhe Campos'!$C$7:$C$605,'1. Status Resumo'!$G$107,'2. Status Detalhe Campos'!$D$7:$D$605,"2. Campo")</f>
        <v>0</v>
      </c>
      <c r="U111" s="27">
        <f>COUNTIFS('2. Status Detalhe Campos'!$G$7:$G$605,'1. Status Resumo'!$P111,'2. Status Detalhe Campos'!$C$7:$C$605,'1. Status Resumo'!$G$107,'2. Status Detalhe Campos'!$D$7:$D$605,"2. Campo")</f>
        <v>0</v>
      </c>
      <c r="V111" s="27">
        <f>U111-T111</f>
        <v>0</v>
      </c>
      <c r="X111" s="228" t="s">
        <v>1811</v>
      </c>
      <c r="Y111" s="229"/>
      <c r="Z111" s="229"/>
      <c r="AA111" s="229"/>
      <c r="AB111" s="229"/>
      <c r="AC111" s="229"/>
      <c r="AD111" s="229"/>
      <c r="AE111" s="229"/>
      <c r="AF111" s="230"/>
      <c r="AG111" s="189"/>
      <c r="AH111" s="135"/>
    </row>
    <row r="112" spans="1:34" ht="17.399999999999999" hidden="1" customHeight="1">
      <c r="A112" s="135"/>
      <c r="B112" s="140"/>
      <c r="P112" s="27" t="s">
        <v>477</v>
      </c>
      <c r="T112" s="27">
        <f>COUNTIFS('2. Status Detalhe Campos'!$H$7:$H$605,'1. Status Resumo'!$P112,'2. Status Detalhe Campos'!$C$7:$C$605,'1. Status Resumo'!$G$107,'2. Status Detalhe Campos'!$D$7:$D$605,"2. Campo")</f>
        <v>23</v>
      </c>
      <c r="U112" s="27">
        <f>COUNTIFS('2. Status Detalhe Campos'!$G$7:$G$605,'1. Status Resumo'!$P112,'2. Status Detalhe Campos'!$C$7:$C$605,'1. Status Resumo'!$G$107,'2. Status Detalhe Campos'!$D$7:$D$605,"2. Campo")</f>
        <v>23</v>
      </c>
      <c r="V112" s="27">
        <f t="shared" ref="V112:V118" si="3">U112-T112</f>
        <v>0</v>
      </c>
      <c r="X112" s="231"/>
      <c r="Y112" s="232"/>
      <c r="Z112" s="232"/>
      <c r="AA112" s="232"/>
      <c r="AB112" s="232"/>
      <c r="AC112" s="232"/>
      <c r="AD112" s="232"/>
      <c r="AE112" s="232"/>
      <c r="AF112" s="233"/>
      <c r="AG112" s="189"/>
      <c r="AH112" s="135"/>
    </row>
    <row r="113" spans="1:34" ht="17.399999999999999" hidden="1" customHeight="1">
      <c r="A113" s="135"/>
      <c r="B113" s="140"/>
      <c r="P113" s="27" t="s">
        <v>177</v>
      </c>
      <c r="T113" s="27">
        <f>COUNTIFS('2. Status Detalhe Campos'!$H$7:$H$605,'1. Status Resumo'!$P113,'2. Status Detalhe Campos'!$C$7:$C$605,'1. Status Resumo'!$G$107,'2. Status Detalhe Campos'!$D$7:$D$605,"2. Campo")</f>
        <v>26</v>
      </c>
      <c r="U113" s="27">
        <f>COUNTIFS('2. Status Detalhe Campos'!$G$7:$G$605,'1. Status Resumo'!$P113,'2. Status Detalhe Campos'!$C$7:$C$605,'1. Status Resumo'!$G$107,'2. Status Detalhe Campos'!$D$7:$D$605,"2. Campo")</f>
        <v>26</v>
      </c>
      <c r="V113" s="27">
        <f t="shared" si="3"/>
        <v>0</v>
      </c>
      <c r="X113" s="231"/>
      <c r="Y113" s="232"/>
      <c r="Z113" s="232"/>
      <c r="AA113" s="232"/>
      <c r="AB113" s="232"/>
      <c r="AC113" s="232"/>
      <c r="AD113" s="232"/>
      <c r="AE113" s="232"/>
      <c r="AF113" s="233"/>
      <c r="AG113" s="189"/>
      <c r="AH113" s="135"/>
    </row>
    <row r="114" spans="1:34" ht="17.55" hidden="1" customHeight="1">
      <c r="A114" s="135"/>
      <c r="B114" s="140"/>
      <c r="D114" s="237" t="str">
        <f>"# "&amp;U119</f>
        <v># 50</v>
      </c>
      <c r="E114" s="237"/>
      <c r="P114" s="27" t="s">
        <v>478</v>
      </c>
      <c r="T114" s="27">
        <f>COUNTIFS('2. Status Detalhe Campos'!$H$7:$H$605,'1. Status Resumo'!$P114,'2. Status Detalhe Campos'!$C$7:$C$605,'1. Status Resumo'!$G$107,'2. Status Detalhe Campos'!$D$7:$D$605,"2. Campo")</f>
        <v>1</v>
      </c>
      <c r="U114" s="27">
        <f>COUNTIFS('2. Status Detalhe Campos'!$G$7:$G$605,'1. Status Resumo'!$P114,'2. Status Detalhe Campos'!$C$7:$C$605,'1. Status Resumo'!$G$107,'2. Status Detalhe Campos'!$D$7:$D$605,"2. Campo")</f>
        <v>1</v>
      </c>
      <c r="V114" s="27">
        <f t="shared" si="3"/>
        <v>0</v>
      </c>
      <c r="X114" s="231"/>
      <c r="Y114" s="232"/>
      <c r="Z114" s="232"/>
      <c r="AA114" s="232"/>
      <c r="AB114" s="232"/>
      <c r="AC114" s="232"/>
      <c r="AD114" s="232"/>
      <c r="AE114" s="232"/>
      <c r="AF114" s="233"/>
      <c r="AG114" s="189"/>
      <c r="AH114" s="135"/>
    </row>
    <row r="115" spans="1:34" ht="17.55" hidden="1" customHeight="1">
      <c r="A115" s="135"/>
      <c r="B115" s="140"/>
      <c r="D115" s="237"/>
      <c r="E115" s="237"/>
      <c r="P115" s="27" t="s">
        <v>479</v>
      </c>
      <c r="T115" s="27">
        <f>COUNTIFS('2. Status Detalhe Campos'!$H$7:$H$605,'1. Status Resumo'!$P115,'2. Status Detalhe Campos'!$C$7:$C$605,'1. Status Resumo'!$G$107,'2. Status Detalhe Campos'!$D$7:$D$605,"2. Campo")</f>
        <v>0</v>
      </c>
      <c r="U115" s="27">
        <f>COUNTIFS('2. Status Detalhe Campos'!$G$7:$G$605,'1. Status Resumo'!$P115,'2. Status Detalhe Campos'!$C$7:$C$605,'1. Status Resumo'!$G$107,'2. Status Detalhe Campos'!$D$7:$D$605,"2. Campo")</f>
        <v>0</v>
      </c>
      <c r="V115" s="27">
        <f t="shared" si="3"/>
        <v>0</v>
      </c>
      <c r="X115" s="231"/>
      <c r="Y115" s="232"/>
      <c r="Z115" s="232"/>
      <c r="AA115" s="232"/>
      <c r="AB115" s="232"/>
      <c r="AC115" s="232"/>
      <c r="AD115" s="232"/>
      <c r="AE115" s="232"/>
      <c r="AF115" s="233"/>
      <c r="AG115" s="189"/>
      <c r="AH115" s="135"/>
    </row>
    <row r="116" spans="1:34" ht="17.399999999999999" hidden="1" customHeight="1">
      <c r="A116" s="135"/>
      <c r="B116" s="140"/>
      <c r="P116" s="27" t="s">
        <v>480</v>
      </c>
      <c r="R116" s="27" t="s">
        <v>481</v>
      </c>
      <c r="T116" s="27">
        <f>COUNTIFS('2. Status Detalhe Campos'!$H$7:$H$605,'1. Status Resumo'!$P116,'2. Status Detalhe Campos'!$C$7:$C$605,'1. Status Resumo'!$G$107,'2. Status Detalhe Campos'!$D$7:$D$605,"2. Campo")</f>
        <v>0</v>
      </c>
      <c r="U116" s="27">
        <f>COUNTIFS('2. Status Detalhe Campos'!$G$7:$G$605,'1. Status Resumo'!$P116,'2. Status Detalhe Campos'!$C$7:$C$605,'1. Status Resumo'!$G$107,'2. Status Detalhe Campos'!$D$7:$D$605,"2. Campo")</f>
        <v>0</v>
      </c>
      <c r="V116" s="27">
        <f t="shared" si="3"/>
        <v>0</v>
      </c>
      <c r="X116" s="231"/>
      <c r="Y116" s="232"/>
      <c r="Z116" s="232"/>
      <c r="AA116" s="232"/>
      <c r="AB116" s="232"/>
      <c r="AC116" s="232"/>
      <c r="AD116" s="232"/>
      <c r="AE116" s="232"/>
      <c r="AF116" s="233"/>
      <c r="AG116" s="189"/>
      <c r="AH116" s="135"/>
    </row>
    <row r="117" spans="1:34" ht="17.399999999999999" hidden="1" customHeight="1">
      <c r="A117" s="135"/>
      <c r="B117" s="140"/>
      <c r="P117" s="27" t="s">
        <v>482</v>
      </c>
      <c r="T117" s="27">
        <f>COUNTIFS('2. Status Detalhe Campos'!$H$7:$H$605,'1. Status Resumo'!$P117,'2. Status Detalhe Campos'!$C$7:$C$605,'1. Status Resumo'!$G$107,'2. Status Detalhe Campos'!$D$7:$D$605,"2. Campo")</f>
        <v>0</v>
      </c>
      <c r="U117" s="27">
        <f>COUNTIFS('2. Status Detalhe Campos'!$G$7:$G$605,'1. Status Resumo'!$P117,'2. Status Detalhe Campos'!$C$7:$C$605,'1. Status Resumo'!$G$107,'2. Status Detalhe Campos'!$D$7:$D$605,"2. Campo")</f>
        <v>0</v>
      </c>
      <c r="V117" s="27">
        <f t="shared" si="3"/>
        <v>0</v>
      </c>
      <c r="X117" s="231"/>
      <c r="Y117" s="232"/>
      <c r="Z117" s="232"/>
      <c r="AA117" s="232"/>
      <c r="AB117" s="232"/>
      <c r="AC117" s="232"/>
      <c r="AD117" s="232"/>
      <c r="AE117" s="232"/>
      <c r="AF117" s="233"/>
      <c r="AG117" s="189"/>
      <c r="AH117" s="135"/>
    </row>
    <row r="118" spans="1:34" ht="17.399999999999999" hidden="1" customHeight="1">
      <c r="A118" s="135"/>
      <c r="B118" s="140"/>
      <c r="P118" s="27" t="s">
        <v>30</v>
      </c>
      <c r="T118" s="27">
        <f>COUNTIFS('2. Status Detalhe Campos'!$H$7:$H$605,'1. Status Resumo'!$P118,'2. Status Detalhe Campos'!$C$7:$C$605,'1. Status Resumo'!$G$107,'2. Status Detalhe Campos'!$D$7:$D$605,"2. Campo")</f>
        <v>0</v>
      </c>
      <c r="U118" s="27">
        <f>COUNTIFS('2. Status Detalhe Campos'!$G$7:$G$605,'1. Status Resumo'!$P118,'2. Status Detalhe Campos'!$C$7:$C$605,'1. Status Resumo'!$G$107,'2. Status Detalhe Campos'!$D$7:$D$605,"2. Campo")</f>
        <v>0</v>
      </c>
      <c r="V118" s="27">
        <f t="shared" si="3"/>
        <v>0</v>
      </c>
      <c r="X118" s="231"/>
      <c r="Y118" s="232"/>
      <c r="Z118" s="232"/>
      <c r="AA118" s="232"/>
      <c r="AB118" s="232"/>
      <c r="AC118" s="232"/>
      <c r="AD118" s="232"/>
      <c r="AE118" s="232"/>
      <c r="AF118" s="233"/>
      <c r="AG118" s="189"/>
      <c r="AH118" s="135"/>
    </row>
    <row r="119" spans="1:34" ht="17.399999999999999" hidden="1" customHeight="1">
      <c r="A119" s="135"/>
      <c r="B119" s="140"/>
      <c r="T119" s="146">
        <f>SUM(T111:T118)</f>
        <v>50</v>
      </c>
      <c r="U119" s="146">
        <f>SUM(U111:U118)</f>
        <v>50</v>
      </c>
      <c r="X119" s="234"/>
      <c r="Y119" s="235"/>
      <c r="Z119" s="235"/>
      <c r="AA119" s="235"/>
      <c r="AB119" s="235"/>
      <c r="AC119" s="235"/>
      <c r="AD119" s="235"/>
      <c r="AE119" s="235"/>
      <c r="AF119" s="236"/>
      <c r="AG119" s="189"/>
      <c r="AH119" s="135"/>
    </row>
    <row r="120" spans="1:34" ht="17.399999999999999" hidden="1" customHeight="1">
      <c r="A120" s="135"/>
      <c r="B120" s="140"/>
      <c r="AG120" s="141"/>
      <c r="AH120" s="135"/>
    </row>
    <row r="121" spans="1:34" ht="17.399999999999999" hidden="1" customHeight="1">
      <c r="A121" s="135"/>
      <c r="B121" s="142"/>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c r="Z121" s="143"/>
      <c r="AA121" s="143"/>
      <c r="AB121" s="143"/>
      <c r="AC121" s="143"/>
      <c r="AD121" s="143"/>
      <c r="AE121" s="143"/>
      <c r="AF121" s="143"/>
      <c r="AG121" s="144"/>
      <c r="AH121" s="135"/>
    </row>
    <row r="122" spans="1:34">
      <c r="A122" s="135"/>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c r="AA122" s="135"/>
      <c r="AB122" s="135"/>
      <c r="AC122" s="135"/>
      <c r="AD122" s="135"/>
      <c r="AE122" s="135"/>
      <c r="AF122" s="135"/>
      <c r="AG122" s="135"/>
      <c r="AH122" s="135"/>
    </row>
    <row r="123" spans="1:34">
      <c r="A123" s="135"/>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c r="AA123" s="135"/>
      <c r="AB123" s="135"/>
      <c r="AC123" s="135"/>
      <c r="AD123" s="135"/>
      <c r="AE123" s="135"/>
      <c r="AF123" s="135"/>
      <c r="AG123" s="135"/>
      <c r="AH123" s="135"/>
    </row>
    <row r="124" spans="1:34" ht="17.399999999999999" hidden="1" customHeight="1"/>
    <row r="125" spans="1:34" ht="17.399999999999999" hidden="1" customHeight="1"/>
    <row r="126" spans="1:34" ht="17.399999999999999" hidden="1" customHeight="1"/>
    <row r="127" spans="1:34" ht="17.399999999999999" hidden="1" customHeight="1"/>
    <row r="128" spans="1:34" ht="17.399999999999999" hidden="1" customHeight="1"/>
    <row r="129" spans="1:1" ht="17.399999999999999" hidden="1" customHeight="1"/>
    <row r="130" spans="1:1" ht="17.399999999999999" hidden="1" customHeight="1"/>
    <row r="131" spans="1:1" ht="17.399999999999999" hidden="1" customHeight="1"/>
    <row r="132" spans="1:1" ht="17.399999999999999" hidden="1" customHeight="1"/>
    <row r="133" spans="1:1" ht="17.399999999999999" hidden="1" customHeight="1"/>
    <row r="134" spans="1:1" hidden="1">
      <c r="A134" s="27" t="s">
        <v>1824</v>
      </c>
    </row>
    <row r="141" spans="1:1"/>
    <row r="142" spans="1:1"/>
    <row r="143" spans="1:1"/>
    <row r="144" spans="1:1"/>
    <row r="145"/>
    <row r="146"/>
    <row r="147"/>
    <row r="148"/>
  </sheetData>
  <sortState ref="R21:R28">
    <sortCondition ref="R21:R28"/>
  </sortState>
  <mergeCells count="9">
    <mergeCell ref="B8:AG19"/>
    <mergeCell ref="X93:AF103"/>
    <mergeCell ref="X111:AF119"/>
    <mergeCell ref="D29:E30"/>
    <mergeCell ref="D55:E56"/>
    <mergeCell ref="D96:E97"/>
    <mergeCell ref="D114:E115"/>
    <mergeCell ref="X52:AF86"/>
    <mergeCell ref="X26:AF4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615"/>
  <sheetViews>
    <sheetView showGridLines="0" zoomScale="80" zoomScaleNormal="80" workbookViewId="0">
      <pane xSplit="3" ySplit="6" topLeftCell="D7" activePane="bottomRight" state="frozen"/>
      <selection activeCell="D136" sqref="D136"/>
      <selection pane="topRight" activeCell="D136" sqref="D136"/>
      <selection pane="bottomLeft" activeCell="D136" sqref="D136"/>
      <selection pane="bottomRight" activeCell="F24" sqref="F24"/>
    </sheetView>
  </sheetViews>
  <sheetFormatPr defaultColWidth="0" defaultRowHeight="13.8"/>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22" customWidth="1"/>
    <col min="14" max="14" width="3.69921875" customWidth="1"/>
    <col min="15" max="16384" width="8.69921875" hidden="1"/>
  </cols>
  <sheetData>
    <row r="1" spans="1:14" ht="17.399999999999999">
      <c r="A1" s="27"/>
      <c r="B1" s="27"/>
      <c r="C1" s="27"/>
      <c r="D1" s="27"/>
      <c r="E1" s="27"/>
      <c r="F1" s="27"/>
      <c r="G1" s="27"/>
      <c r="H1" s="27"/>
      <c r="I1" s="27"/>
      <c r="J1" s="27"/>
      <c r="K1" s="27"/>
      <c r="L1" s="27"/>
      <c r="M1" s="27"/>
    </row>
    <row r="2" spans="1:14" ht="17.399999999999999">
      <c r="A2" s="27"/>
      <c r="B2" s="27"/>
      <c r="C2" s="27"/>
      <c r="D2" s="27"/>
      <c r="E2" s="27"/>
      <c r="F2" s="27"/>
      <c r="G2" s="27"/>
      <c r="H2" s="27"/>
      <c r="I2" s="27"/>
      <c r="J2" s="27"/>
      <c r="K2" s="27"/>
      <c r="L2" s="27"/>
      <c r="M2" s="27"/>
    </row>
    <row r="3" spans="1:14" ht="17.399999999999999">
      <c r="A3" s="27"/>
      <c r="B3" s="27"/>
      <c r="C3" s="27"/>
      <c r="D3" s="27"/>
      <c r="E3" s="27"/>
      <c r="F3" s="27"/>
      <c r="G3" s="27"/>
      <c r="H3" s="27"/>
      <c r="I3" s="27"/>
      <c r="J3" s="27"/>
      <c r="K3" s="27"/>
      <c r="L3" s="27"/>
      <c r="M3" s="27"/>
    </row>
    <row r="4" spans="1:14" ht="4.95" customHeight="1">
      <c r="A4" s="133"/>
      <c r="B4" s="133"/>
      <c r="C4" s="133"/>
      <c r="D4" s="133"/>
      <c r="E4" s="133"/>
      <c r="F4" s="133"/>
      <c r="G4" s="133"/>
      <c r="H4" s="133"/>
      <c r="I4" s="133"/>
      <c r="J4" s="133"/>
      <c r="K4" s="133"/>
      <c r="L4" s="133"/>
      <c r="M4" s="133"/>
      <c r="N4" s="133"/>
    </row>
    <row r="6" spans="1:14" ht="17.399999999999999">
      <c r="B6" s="71" t="s">
        <v>13</v>
      </c>
      <c r="C6" s="152" t="s">
        <v>14</v>
      </c>
      <c r="D6" s="152" t="s">
        <v>15</v>
      </c>
      <c r="E6" s="152" t="s">
        <v>16</v>
      </c>
      <c r="F6" s="152" t="s">
        <v>17</v>
      </c>
      <c r="G6" s="152" t="s">
        <v>492</v>
      </c>
      <c r="H6" s="152" t="s">
        <v>493</v>
      </c>
      <c r="I6" s="163" t="s">
        <v>494</v>
      </c>
      <c r="J6" s="163" t="s">
        <v>495</v>
      </c>
      <c r="K6" s="163" t="s">
        <v>496</v>
      </c>
      <c r="L6" s="174" t="s">
        <v>497</v>
      </c>
      <c r="M6" s="205" t="s">
        <v>1876</v>
      </c>
    </row>
    <row r="7" spans="1:14" ht="16.2">
      <c r="A7" s="31" t="str">
        <f>E7&amp;F7</f>
        <v>cd_imv_inp_certif_estimativan.a.</v>
      </c>
      <c r="B7" s="162" t="s">
        <v>28</v>
      </c>
      <c r="C7" s="157" t="s">
        <v>35</v>
      </c>
      <c r="D7" s="153" t="s">
        <v>36</v>
      </c>
      <c r="E7" s="154" t="s">
        <v>37</v>
      </c>
      <c r="F7" s="153" t="s">
        <v>38</v>
      </c>
      <c r="G7" s="155" t="str">
        <f>VLOOKUP(A7,Plano_V3!$A$27:$G$583,7,0)</f>
        <v>6. Em implementação (re-especificação)</v>
      </c>
      <c r="H7" s="155" t="s">
        <v>482</v>
      </c>
      <c r="I7" s="164"/>
      <c r="J7" s="175" t="str">
        <f>IF(VLOOKUP(A7,'Aux - pivots1'!$A:$E,3,0)=0, "",VLOOKUP(A7,'Aux - pivots1'!$A:$E,3,0))</f>
        <v/>
      </c>
      <c r="K7" s="175" t="str">
        <f>IF(VLOOKUP(A7,'Aux - pivots1'!$A:$E,4,0)=0, "",VLOOKUP(A7,'Aux - pivots1'!$A:$E,4,0))</f>
        <v/>
      </c>
      <c r="L7" s="175" t="str">
        <f>IF(VLOOKUP(A7,'Aux - pivots1'!$A:$E,5,0)=0, "",VLOOKUP(A7,'Aux - pivots1'!$A:$E,5,0))</f>
        <v/>
      </c>
      <c r="M7" s="203"/>
    </row>
    <row r="8" spans="1:14" ht="16.2">
      <c r="A8" s="31" t="str">
        <f t="shared" ref="A8:A71" si="0">E8&amp;F8</f>
        <v>cd_imv_inp_certif_estimativacempbem</v>
      </c>
      <c r="B8" s="162" t="s">
        <v>28</v>
      </c>
      <c r="C8" s="157" t="s">
        <v>35</v>
      </c>
      <c r="D8" s="153" t="s">
        <v>40</v>
      </c>
      <c r="E8" s="154" t="s">
        <v>37</v>
      </c>
      <c r="F8" s="153" t="s">
        <v>41</v>
      </c>
      <c r="G8" s="155" t="str">
        <f>VLOOKUP(A8,Plano_V3!$A$27:$G$583,7,0)</f>
        <v>6. Em implementação (re-especificação)</v>
      </c>
      <c r="H8" s="155" t="s">
        <v>482</v>
      </c>
      <c r="I8" s="164"/>
      <c r="J8" s="175" t="str">
        <f>IF(VLOOKUP(A8,'Aux - pivots1'!$A:$E,3,0)=0, "",VLOOKUP(A8,'Aux - pivots1'!$A:$E,3,0))</f>
        <v/>
      </c>
      <c r="K8" s="175" t="str">
        <f>IF(VLOOKUP(A8,'Aux - pivots1'!$A:$E,4,0)=0, "",VLOOKUP(A8,'Aux - pivots1'!$A:$E,4,0))</f>
        <v/>
      </c>
      <c r="L8" s="175" t="str">
        <f>IF(VLOOKUP(A8,'Aux - pivots1'!$A:$E,5,0)=0, "",VLOOKUP(A8,'Aux - pivots1'!$A:$E,5,0))</f>
        <v/>
      </c>
      <c r="M8" s="202"/>
    </row>
    <row r="9" spans="1:14" ht="16.2">
      <c r="A9" s="31" t="str">
        <f t="shared" si="0"/>
        <v>cd_imv_inp_certif_estimativachave_encriptada</v>
      </c>
      <c r="B9" s="162" t="s">
        <v>28</v>
      </c>
      <c r="C9" s="157" t="s">
        <v>35</v>
      </c>
      <c r="D9" s="153" t="s">
        <v>40</v>
      </c>
      <c r="E9" s="154" t="s">
        <v>37</v>
      </c>
      <c r="F9" s="153" t="s">
        <v>42</v>
      </c>
      <c r="G9" s="155" t="str">
        <f>VLOOKUP(A9,Plano_V3!$A$27:$G$583,7,0)</f>
        <v>6. Em implementação (re-especificação)</v>
      </c>
      <c r="H9" s="155" t="s">
        <v>482</v>
      </c>
      <c r="I9" s="164"/>
      <c r="J9" s="175" t="str">
        <f>IF(VLOOKUP(A9,'Aux - pivots1'!$A:$E,3,0)=0, "",VLOOKUP(A9,'Aux - pivots1'!$A:$E,3,0))</f>
        <v/>
      </c>
      <c r="K9" s="175" t="str">
        <f>IF(VLOOKUP(A9,'Aux - pivots1'!$A:$E,4,0)=0, "",VLOOKUP(A9,'Aux - pivots1'!$A:$E,4,0))</f>
        <v/>
      </c>
      <c r="L9" s="175" t="str">
        <f>IF(VLOOKUP(A9,'Aux - pivots1'!$A:$E,5,0)=0, "",VLOOKUP(A9,'Aux - pivots1'!$A:$E,5,0))</f>
        <v/>
      </c>
      <c r="M9" s="202"/>
    </row>
    <row r="10" spans="1:14" ht="16.2">
      <c r="A10" s="31" t="str">
        <f t="shared" si="0"/>
        <v>cd_imv_inp_certif_estimativackbalbem</v>
      </c>
      <c r="B10" s="162" t="s">
        <v>28</v>
      </c>
      <c r="C10" s="157" t="s">
        <v>35</v>
      </c>
      <c r="D10" s="153" t="s">
        <v>40</v>
      </c>
      <c r="E10" s="154" t="s">
        <v>37</v>
      </c>
      <c r="F10" s="153" t="s">
        <v>43</v>
      </c>
      <c r="G10" s="155" t="str">
        <f>VLOOKUP(A10,Plano_V3!$A$27:$G$583,7,0)</f>
        <v>6. Em implementação (re-especificação)</v>
      </c>
      <c r="H10" s="155" t="s">
        <v>482</v>
      </c>
      <c r="I10" s="164"/>
      <c r="J10" s="175" t="str">
        <f>IF(VLOOKUP(A10,'Aux - pivots1'!$A:$E,3,0)=0, "",VLOOKUP(A10,'Aux - pivots1'!$A:$E,3,0))</f>
        <v/>
      </c>
      <c r="K10" s="175" t="str">
        <f>IF(VLOOKUP(A10,'Aux - pivots1'!$A:$E,4,0)=0, "",VLOOKUP(A10,'Aux - pivots1'!$A:$E,4,0))</f>
        <v/>
      </c>
      <c r="L10" s="175" t="str">
        <f>IF(VLOOKUP(A10,'Aux - pivots1'!$A:$E,5,0)=0, "",VLOOKUP(A10,'Aux - pivots1'!$A:$E,5,0))</f>
        <v/>
      </c>
      <c r="M10" s="202"/>
    </row>
    <row r="11" spans="1:14" ht="16.2">
      <c r="A11" s="31" t="str">
        <f t="shared" si="0"/>
        <v>cd_imv_inp_certif_estimativackctabem</v>
      </c>
      <c r="B11" s="162" t="s">
        <v>28</v>
      </c>
      <c r="C11" s="157" t="s">
        <v>35</v>
      </c>
      <c r="D11" s="153" t="s">
        <v>40</v>
      </c>
      <c r="E11" s="154" t="s">
        <v>37</v>
      </c>
      <c r="F11" s="153" t="s">
        <v>44</v>
      </c>
      <c r="G11" s="155" t="str">
        <f>VLOOKUP(A11,Plano_V3!$A$27:$G$583,7,0)</f>
        <v>6. Em implementação (re-especificação)</v>
      </c>
      <c r="H11" s="155" t="s">
        <v>482</v>
      </c>
      <c r="I11" s="164"/>
      <c r="J11" s="175" t="str">
        <f>IF(VLOOKUP(A11,'Aux - pivots1'!$A:$E,3,0)=0, "",VLOOKUP(A11,'Aux - pivots1'!$A:$E,3,0))</f>
        <v/>
      </c>
      <c r="K11" s="175" t="str">
        <f>IF(VLOOKUP(A11,'Aux - pivots1'!$A:$E,4,0)=0, "",VLOOKUP(A11,'Aux - pivots1'!$A:$E,4,0))</f>
        <v/>
      </c>
      <c r="L11" s="175" t="str">
        <f>IF(VLOOKUP(A11,'Aux - pivots1'!$A:$E,5,0)=0, "",VLOOKUP(A11,'Aux - pivots1'!$A:$E,5,0))</f>
        <v/>
      </c>
      <c r="M11" s="202"/>
    </row>
    <row r="12" spans="1:14" ht="16.2">
      <c r="A12" s="31" t="str">
        <f t="shared" si="0"/>
        <v>cd_imv_inp_certif_estimativackrefbem</v>
      </c>
      <c r="B12" s="162" t="s">
        <v>28</v>
      </c>
      <c r="C12" s="157" t="s">
        <v>35</v>
      </c>
      <c r="D12" s="153" t="s">
        <v>40</v>
      </c>
      <c r="E12" s="154" t="s">
        <v>37</v>
      </c>
      <c r="F12" s="153" t="s">
        <v>45</v>
      </c>
      <c r="G12" s="155" t="str">
        <f>VLOOKUP(A12,Plano_V3!$A$27:$G$583,7,0)</f>
        <v>6. Em implementação (re-especificação)</v>
      </c>
      <c r="H12" s="155" t="s">
        <v>482</v>
      </c>
      <c r="I12" s="164"/>
      <c r="J12" s="175" t="str">
        <f>IF(VLOOKUP(A12,'Aux - pivots1'!$A:$E,3,0)=0, "",VLOOKUP(A12,'Aux - pivots1'!$A:$E,3,0))</f>
        <v/>
      </c>
      <c r="K12" s="175" t="str">
        <f>IF(VLOOKUP(A12,'Aux - pivots1'!$A:$E,4,0)=0, "",VLOOKUP(A12,'Aux - pivots1'!$A:$E,4,0))</f>
        <v/>
      </c>
      <c r="L12" s="175" t="str">
        <f>IF(VLOOKUP(A12,'Aux - pivots1'!$A:$E,5,0)=0, "",VLOOKUP(A12,'Aux - pivots1'!$A:$E,5,0))</f>
        <v/>
      </c>
      <c r="M12" s="202"/>
    </row>
    <row r="13" spans="1:14" ht="16.2">
      <c r="A13" s="31" t="str">
        <f t="shared" si="0"/>
        <v>cd_imv_inp_certif_estimativadata_extraccao_info</v>
      </c>
      <c r="B13" s="162" t="s">
        <v>28</v>
      </c>
      <c r="C13" s="157" t="s">
        <v>35</v>
      </c>
      <c r="D13" s="153" t="s">
        <v>40</v>
      </c>
      <c r="E13" s="154" t="s">
        <v>37</v>
      </c>
      <c r="F13" s="153" t="s">
        <v>46</v>
      </c>
      <c r="G13" s="155" t="str">
        <f>VLOOKUP(A13,Plano_V3!$A$27:$G$583,7,0)</f>
        <v>6. Em implementação (re-especificação)</v>
      </c>
      <c r="H13" s="155" t="s">
        <v>482</v>
      </c>
      <c r="I13" s="164"/>
      <c r="J13" s="175" t="str">
        <f>IF(VLOOKUP(A13,'Aux - pivots1'!$A:$E,3,0)=0, "",VLOOKUP(A13,'Aux - pivots1'!$A:$E,3,0))</f>
        <v/>
      </c>
      <c r="K13" s="175" t="str">
        <f>IF(VLOOKUP(A13,'Aux - pivots1'!$A:$E,4,0)=0, "",VLOOKUP(A13,'Aux - pivots1'!$A:$E,4,0))</f>
        <v/>
      </c>
      <c r="L13" s="175" t="str">
        <f>IF(VLOOKUP(A13,'Aux - pivots1'!$A:$E,5,0)=0, "",VLOOKUP(A13,'Aux - pivots1'!$A:$E,5,0))</f>
        <v/>
      </c>
      <c r="M13" s="202"/>
    </row>
    <row r="14" spans="1:14" ht="16.2">
      <c r="A14" s="31" t="str">
        <f t="shared" si="0"/>
        <v>cd_imv_inp_certif_estimativaepc</v>
      </c>
      <c r="B14" s="162" t="s">
        <v>28</v>
      </c>
      <c r="C14" s="157" t="s">
        <v>35</v>
      </c>
      <c r="D14" s="153" t="s">
        <v>40</v>
      </c>
      <c r="E14" s="154" t="s">
        <v>37</v>
      </c>
      <c r="F14" s="153" t="s">
        <v>47</v>
      </c>
      <c r="G14" s="155" t="str">
        <f>VLOOKUP(A14,Plano_V3!$A$27:$G$583,7,0)</f>
        <v>6. Em implementação (re-especificação)</v>
      </c>
      <c r="H14" s="155" t="s">
        <v>482</v>
      </c>
      <c r="I14" s="164"/>
      <c r="J14" s="175" t="str">
        <f>IF(VLOOKUP(A14,'Aux - pivots1'!$A:$E,3,0)=0, "",VLOOKUP(A14,'Aux - pivots1'!$A:$E,3,0))</f>
        <v/>
      </c>
      <c r="K14" s="175" t="str">
        <f>IF(VLOOKUP(A14,'Aux - pivots1'!$A:$E,4,0)=0, "",VLOOKUP(A14,'Aux - pivots1'!$A:$E,4,0))</f>
        <v/>
      </c>
      <c r="L14" s="175" t="str">
        <f>IF(VLOOKUP(A14,'Aux - pivots1'!$A:$E,5,0)=0, "",VLOOKUP(A14,'Aux - pivots1'!$A:$E,5,0))</f>
        <v/>
      </c>
      <c r="M14" s="202"/>
    </row>
    <row r="15" spans="1:14" ht="16.2">
      <c r="A15" s="31" t="str">
        <f t="shared" si="0"/>
        <v>cd_imv_inp_certif_estimativafornecedor</v>
      </c>
      <c r="B15" s="162" t="s">
        <v>28</v>
      </c>
      <c r="C15" s="157" t="s">
        <v>35</v>
      </c>
      <c r="D15" s="153" t="s">
        <v>40</v>
      </c>
      <c r="E15" s="154" t="s">
        <v>37</v>
      </c>
      <c r="F15" s="153" t="s">
        <v>48</v>
      </c>
      <c r="G15" s="155" t="str">
        <f>VLOOKUP(A15,Plano_V3!$A$27:$G$583,7,0)</f>
        <v>6. Em implementação (re-especificação)</v>
      </c>
      <c r="H15" s="155" t="s">
        <v>482</v>
      </c>
      <c r="I15" s="164"/>
      <c r="J15" s="175" t="str">
        <f>IF(VLOOKUP(A15,'Aux - pivots1'!$A:$E,3,0)=0, "",VLOOKUP(A15,'Aux - pivots1'!$A:$E,3,0))</f>
        <v/>
      </c>
      <c r="K15" s="175" t="str">
        <f>IF(VLOOKUP(A15,'Aux - pivots1'!$A:$E,4,0)=0, "",VLOOKUP(A15,'Aux - pivots1'!$A:$E,4,0))</f>
        <v/>
      </c>
      <c r="L15" s="175" t="str">
        <f>IF(VLOOKUP(A15,'Aux - pivots1'!$A:$E,5,0)=0, "",VLOOKUP(A15,'Aux - pivots1'!$A:$E,5,0))</f>
        <v/>
      </c>
      <c r="M15" s="202"/>
    </row>
    <row r="16" spans="1:14" ht="16.2">
      <c r="A16" s="31" t="str">
        <f t="shared" si="0"/>
        <v>cd_imv_inp_certif_estimativametodo_info</v>
      </c>
      <c r="B16" s="162" t="s">
        <v>28</v>
      </c>
      <c r="C16" s="157" t="s">
        <v>35</v>
      </c>
      <c r="D16" s="153" t="s">
        <v>40</v>
      </c>
      <c r="E16" s="154" t="s">
        <v>37</v>
      </c>
      <c r="F16" s="153" t="s">
        <v>49</v>
      </c>
      <c r="G16" s="155" t="str">
        <f>VLOOKUP(A16,Plano_V3!$A$27:$G$583,7,0)</f>
        <v>6. Em implementação (re-especificação)</v>
      </c>
      <c r="H16" s="155" t="s">
        <v>482</v>
      </c>
      <c r="I16" s="164"/>
      <c r="J16" s="175" t="str">
        <f>IF(VLOOKUP(A16,'Aux - pivots1'!$A:$E,3,0)=0, "",VLOOKUP(A16,'Aux - pivots1'!$A:$E,3,0))</f>
        <v/>
      </c>
      <c r="K16" s="175" t="str">
        <f>IF(VLOOKUP(A16,'Aux - pivots1'!$A:$E,4,0)=0, "",VLOOKUP(A16,'Aux - pivots1'!$A:$E,4,0))</f>
        <v/>
      </c>
      <c r="L16" s="175" t="str">
        <f>IF(VLOOKUP(A16,'Aux - pivots1'!$A:$E,5,0)=0, "",VLOOKUP(A16,'Aux - pivots1'!$A:$E,5,0))</f>
        <v/>
      </c>
      <c r="M16" s="202"/>
    </row>
    <row r="17" spans="1:13" ht="16.2">
      <c r="A17" s="31" t="str">
        <f t="shared" si="0"/>
        <v>cd_imv_inp_certif_estimativascore_qualidade</v>
      </c>
      <c r="B17" s="162" t="s">
        <v>28</v>
      </c>
      <c r="C17" s="157" t="s">
        <v>35</v>
      </c>
      <c r="D17" s="153" t="s">
        <v>40</v>
      </c>
      <c r="E17" s="154" t="s">
        <v>37</v>
      </c>
      <c r="F17" s="153" t="s">
        <v>50</v>
      </c>
      <c r="G17" s="155" t="str">
        <f>VLOOKUP(A17,Plano_V3!$A$27:$G$583,7,0)</f>
        <v>6. Em implementação (re-especificação)</v>
      </c>
      <c r="H17" s="155" t="s">
        <v>482</v>
      </c>
      <c r="I17" s="164"/>
      <c r="J17" s="175" t="str">
        <f>IF(VLOOKUP(A17,'Aux - pivots1'!$A:$E,3,0)=0, "",VLOOKUP(A17,'Aux - pivots1'!$A:$E,3,0))</f>
        <v/>
      </c>
      <c r="K17" s="175" t="str">
        <f>IF(VLOOKUP(A17,'Aux - pivots1'!$A:$E,4,0)=0, "",VLOOKUP(A17,'Aux - pivots1'!$A:$E,4,0))</f>
        <v/>
      </c>
      <c r="L17" s="175" t="str">
        <f>IF(VLOOKUP(A17,'Aux - pivots1'!$A:$E,5,0)=0, "",VLOOKUP(A17,'Aux - pivots1'!$A:$E,5,0))</f>
        <v/>
      </c>
      <c r="M17" s="202"/>
    </row>
    <row r="18" spans="1:13" ht="16.2">
      <c r="A18" s="31" t="str">
        <f t="shared" si="0"/>
        <v>cd_imv_inp_certif_estimativavlr_cnsm_ano</v>
      </c>
      <c r="B18" s="162" t="s">
        <v>28</v>
      </c>
      <c r="C18" s="157" t="s">
        <v>35</v>
      </c>
      <c r="D18" s="153" t="s">
        <v>40</v>
      </c>
      <c r="E18" s="154" t="s">
        <v>37</v>
      </c>
      <c r="F18" s="153" t="s">
        <v>51</v>
      </c>
      <c r="G18" s="155" t="str">
        <f>VLOOKUP(A18,Plano_V3!$A$27:$G$583,7,0)</f>
        <v>6. Em implementação (re-especificação)</v>
      </c>
      <c r="H18" s="155" t="s">
        <v>482</v>
      </c>
      <c r="I18" s="164"/>
      <c r="J18" s="175" t="str">
        <f>IF(VLOOKUP(A18,'Aux - pivots1'!$A:$E,3,0)=0, "",VLOOKUP(A18,'Aux - pivots1'!$A:$E,3,0))</f>
        <v/>
      </c>
      <c r="K18" s="175" t="str">
        <f>IF(VLOOKUP(A18,'Aux - pivots1'!$A:$E,4,0)=0, "",VLOOKUP(A18,'Aux - pivots1'!$A:$E,4,0))</f>
        <v/>
      </c>
      <c r="L18" s="175" t="str">
        <f>IF(VLOOKUP(A18,'Aux - pivots1'!$A:$E,5,0)=0, "",VLOOKUP(A18,'Aux - pivots1'!$A:$E,5,0))</f>
        <v/>
      </c>
      <c r="M18" s="202"/>
    </row>
    <row r="19" spans="1:13" ht="16.2">
      <c r="A19" s="31" t="str">
        <f t="shared" si="0"/>
        <v>cd_imv_inp_certif_estimativavlr_emss_ano</v>
      </c>
      <c r="B19" s="162" t="s">
        <v>28</v>
      </c>
      <c r="C19" s="157" t="s">
        <v>35</v>
      </c>
      <c r="D19" s="153" t="s">
        <v>40</v>
      </c>
      <c r="E19" s="154" t="s">
        <v>37</v>
      </c>
      <c r="F19" s="153" t="s">
        <v>52</v>
      </c>
      <c r="G19" s="155" t="str">
        <f>VLOOKUP(A19,Plano_V3!$A$27:$G$583,7,0)</f>
        <v>6. Em implementação (re-especificação)</v>
      </c>
      <c r="H19" s="155" t="s">
        <v>482</v>
      </c>
      <c r="I19" s="164"/>
      <c r="J19" s="175" t="str">
        <f>IF(VLOOKUP(A19,'Aux - pivots1'!$A:$E,3,0)=0, "",VLOOKUP(A19,'Aux - pivots1'!$A:$E,3,0))</f>
        <v/>
      </c>
      <c r="K19" s="175" t="str">
        <f>IF(VLOOKUP(A19,'Aux - pivots1'!$A:$E,4,0)=0, "",VLOOKUP(A19,'Aux - pivots1'!$A:$E,4,0))</f>
        <v/>
      </c>
      <c r="L19" s="175" t="str">
        <f>IF(VLOOKUP(A19,'Aux - pivots1'!$A:$E,5,0)=0, "",VLOOKUP(A19,'Aux - pivots1'!$A:$E,5,0))</f>
        <v/>
      </c>
      <c r="M19" s="202"/>
    </row>
    <row r="20" spans="1:13" ht="16.2">
      <c r="A20" s="31" t="str">
        <f t="shared" si="0"/>
        <v>cd_imv_out_prcn.a.</v>
      </c>
      <c r="B20" s="162" t="s">
        <v>28</v>
      </c>
      <c r="C20" s="157" t="s">
        <v>54</v>
      </c>
      <c r="D20" s="153" t="s">
        <v>36</v>
      </c>
      <c r="E20" s="154" t="s">
        <v>55</v>
      </c>
      <c r="F20" s="153" t="s">
        <v>38</v>
      </c>
      <c r="G20" s="155" t="str">
        <f>VLOOKUP(A20,Plano_V3!$A$27:$G$583,7,0)</f>
        <v>1. Concluído</v>
      </c>
      <c r="H20" s="155" t="s">
        <v>477</v>
      </c>
      <c r="I20" s="164"/>
      <c r="J20" s="175" t="str">
        <f>IF(VLOOKUP(A20,'Aux - pivots1'!$A:$E,3,0)=0, "",VLOOKUP(A20,'Aux - pivots1'!$A:$E,3,0))</f>
        <v/>
      </c>
      <c r="K20" s="175" t="str">
        <f>IF(VLOOKUP(A20,'Aux - pivots1'!$A:$E,4,0)=0, "",VLOOKUP(A20,'Aux - pivots1'!$A:$E,4,0))</f>
        <v/>
      </c>
      <c r="L20" s="175" t="str">
        <f>IF(VLOOKUP(A20,'Aux - pivots1'!$A:$E,5,0)=0, "",VLOOKUP(A20,'Aux - pivots1'!$A:$E,5,0))</f>
        <v/>
      </c>
      <c r="M20" s="202"/>
    </row>
    <row r="21" spans="1:13" ht="16.2">
      <c r="A21" s="31" t="str">
        <f t="shared" si="0"/>
        <v>cd_imv_out_prccempresa</v>
      </c>
      <c r="B21" s="162" t="s">
        <v>28</v>
      </c>
      <c r="C21" s="157" t="s">
        <v>54</v>
      </c>
      <c r="D21" s="153" t="s">
        <v>40</v>
      </c>
      <c r="E21" s="154" t="s">
        <v>55</v>
      </c>
      <c r="F21" s="153" t="s">
        <v>57</v>
      </c>
      <c r="G21" s="155" t="str">
        <f>VLOOKUP(A21,Plano_V3!$A$27:$G$583,7,0)</f>
        <v>1. Concluído</v>
      </c>
      <c r="H21" s="155" t="s">
        <v>477</v>
      </c>
      <c r="I21" s="179" t="s">
        <v>498</v>
      </c>
      <c r="J21" s="175" t="str">
        <f>IF(VLOOKUP(A21,'Aux - pivots1'!$A:$E,3,0)=0, "",VLOOKUP(A21,'Aux - pivots1'!$A:$E,3,0))</f>
        <v/>
      </c>
      <c r="K21" s="175" t="str">
        <f>IF(VLOOKUP(A21,'Aux - pivots1'!$A:$E,4,0)=0, "",VLOOKUP(A21,'Aux - pivots1'!$A:$E,4,0))</f>
        <v/>
      </c>
      <c r="L21" s="175" t="str">
        <f>IF(VLOOKUP(A21,'Aux - pivots1'!$A:$E,5,0)=0, "",VLOOKUP(A21,'Aux - pivots1'!$A:$E,5,0))</f>
        <v/>
      </c>
      <c r="M21" s="202"/>
    </row>
    <row r="22" spans="1:13" ht="16.2">
      <c r="A22" s="31" t="str">
        <f t="shared" si="0"/>
        <v>cd_imv_out_prcckbalcao</v>
      </c>
      <c r="B22" s="162" t="s">
        <v>28</v>
      </c>
      <c r="C22" s="157" t="s">
        <v>54</v>
      </c>
      <c r="D22" s="153" t="s">
        <v>40</v>
      </c>
      <c r="E22" s="154" t="s">
        <v>55</v>
      </c>
      <c r="F22" s="153" t="s">
        <v>58</v>
      </c>
      <c r="G22" s="155" t="str">
        <f>VLOOKUP(A22,Plano_V3!$A$27:$G$583,7,0)</f>
        <v>1. Concluído</v>
      </c>
      <c r="H22" s="155" t="s">
        <v>477</v>
      </c>
      <c r="I22" s="179" t="s">
        <v>498</v>
      </c>
      <c r="J22" s="175" t="str">
        <f>IF(VLOOKUP(A22,'Aux - pivots1'!$A:$E,3,0)=0, "",VLOOKUP(A22,'Aux - pivots1'!$A:$E,3,0))</f>
        <v/>
      </c>
      <c r="K22" s="175" t="str">
        <f>IF(VLOOKUP(A22,'Aux - pivots1'!$A:$E,4,0)=0, "",VLOOKUP(A22,'Aux - pivots1'!$A:$E,4,0))</f>
        <v/>
      </c>
      <c r="L22" s="175" t="str">
        <f>IF(VLOOKUP(A22,'Aux - pivots1'!$A:$E,5,0)=0, "",VLOOKUP(A22,'Aux - pivots1'!$A:$E,5,0))</f>
        <v/>
      </c>
      <c r="M22" s="202"/>
    </row>
    <row r="23" spans="1:13" ht="16.2">
      <c r="A23" s="31" t="str">
        <f t="shared" si="0"/>
        <v>cd_imv_out_prccknumcta</v>
      </c>
      <c r="B23" s="162" t="s">
        <v>28</v>
      </c>
      <c r="C23" s="157" t="s">
        <v>54</v>
      </c>
      <c r="D23" s="153" t="s">
        <v>40</v>
      </c>
      <c r="E23" s="154" t="s">
        <v>55</v>
      </c>
      <c r="F23" s="153" t="s">
        <v>59</v>
      </c>
      <c r="G23" s="155" t="str">
        <f>VLOOKUP(A23,Plano_V3!$A$27:$G$583,7,0)</f>
        <v>1. Concluído</v>
      </c>
      <c r="H23" s="155" t="s">
        <v>477</v>
      </c>
      <c r="I23" s="179" t="s">
        <v>498</v>
      </c>
      <c r="J23" s="175" t="str">
        <f>IF(VLOOKUP(A23,'Aux - pivots1'!$A:$E,3,0)=0, "",VLOOKUP(A23,'Aux - pivots1'!$A:$E,3,0))</f>
        <v/>
      </c>
      <c r="K23" s="175" t="str">
        <f>IF(VLOOKUP(A23,'Aux - pivots1'!$A:$E,4,0)=0, "",VLOOKUP(A23,'Aux - pivots1'!$A:$E,4,0))</f>
        <v/>
      </c>
      <c r="L23" s="175" t="str">
        <f>IF(VLOOKUP(A23,'Aux - pivots1'!$A:$E,5,0)=0, "",VLOOKUP(A23,'Aux - pivots1'!$A:$E,5,0))</f>
        <v/>
      </c>
      <c r="M23" s="202"/>
    </row>
    <row r="24" spans="1:13" ht="16.2">
      <c r="A24" s="31" t="str">
        <f t="shared" si="0"/>
        <v>cd_imv_out_prccod_estd_prcs</v>
      </c>
      <c r="B24" s="162" t="s">
        <v>28</v>
      </c>
      <c r="C24" s="157" t="s">
        <v>54</v>
      </c>
      <c r="D24" s="153" t="s">
        <v>40</v>
      </c>
      <c r="E24" s="154" t="s">
        <v>55</v>
      </c>
      <c r="F24" s="153" t="s">
        <v>60</v>
      </c>
      <c r="G24" s="155" t="str">
        <f>VLOOKUP(A24,Plano_V3!$A$27:$G$583,7,0)</f>
        <v>0. Cancelado</v>
      </c>
      <c r="H24" s="155" t="s">
        <v>476</v>
      </c>
      <c r="I24" s="164" t="s">
        <v>499</v>
      </c>
      <c r="J24" s="175" t="str">
        <f>IF(VLOOKUP(A24,'Aux - pivots1'!$A:$E,3,0)=0, "",VLOOKUP(A24,'Aux - pivots1'!$A:$E,3,0))</f>
        <v/>
      </c>
      <c r="K24" s="175" t="str">
        <f>IF(VLOOKUP(A24,'Aux - pivots1'!$A:$E,4,0)=0, "",VLOOKUP(A24,'Aux - pivots1'!$A:$E,4,0))</f>
        <v/>
      </c>
      <c r="L24" s="175" t="str">
        <f>IF(VLOOKUP(A24,'Aux - pivots1'!$A:$E,5,0)=0, "",VLOOKUP(A24,'Aux - pivots1'!$A:$E,5,0))</f>
        <v/>
      </c>
      <c r="M24" s="202"/>
    </row>
    <row r="25" spans="1:13" ht="16.2">
      <c r="A25" s="31" t="str">
        <f t="shared" si="0"/>
        <v>cd_imv_out_prccod_grt</v>
      </c>
      <c r="B25" s="162" t="s">
        <v>28</v>
      </c>
      <c r="C25" s="157" t="s">
        <v>54</v>
      </c>
      <c r="D25" s="153" t="s">
        <v>40</v>
      </c>
      <c r="E25" s="154" t="s">
        <v>55</v>
      </c>
      <c r="F25" s="153" t="s">
        <v>61</v>
      </c>
      <c r="G25" s="155" t="str">
        <f>VLOOKUP(A25,Plano_V3!$A$27:$G$583,7,0)</f>
        <v>1. Concluído</v>
      </c>
      <c r="H25" s="155" t="s">
        <v>477</v>
      </c>
      <c r="I25" s="164"/>
      <c r="J25" s="175" t="str">
        <f>IF(VLOOKUP(A25,'Aux - pivots1'!$A:$E,3,0)=0, "",VLOOKUP(A25,'Aux - pivots1'!$A:$E,3,0))</f>
        <v/>
      </c>
      <c r="K25" s="175" t="str">
        <f>IF(VLOOKUP(A25,'Aux - pivots1'!$A:$E,4,0)=0, "",VLOOKUP(A25,'Aux - pivots1'!$A:$E,4,0))</f>
        <v/>
      </c>
      <c r="L25" s="175" t="str">
        <f>IF(VLOOKUP(A25,'Aux - pivots1'!$A:$E,5,0)=0, "",VLOOKUP(A25,'Aux - pivots1'!$A:$E,5,0))</f>
        <v/>
      </c>
      <c r="M25" s="202"/>
    </row>
    <row r="26" spans="1:13" ht="16.2">
      <c r="A26" s="31" t="str">
        <f t="shared" si="0"/>
        <v>cd_imv_out_prccod_moeda</v>
      </c>
      <c r="B26" s="162" t="s">
        <v>28</v>
      </c>
      <c r="C26" s="157" t="s">
        <v>54</v>
      </c>
      <c r="D26" s="153" t="s">
        <v>40</v>
      </c>
      <c r="E26" s="154" t="s">
        <v>55</v>
      </c>
      <c r="F26" s="153" t="s">
        <v>62</v>
      </c>
      <c r="G26" s="155" t="str">
        <f>VLOOKUP(A26,Plano_V3!$A$27:$G$583,7,0)</f>
        <v>1. Concluído</v>
      </c>
      <c r="H26" s="155" t="s">
        <v>477</v>
      </c>
      <c r="I26" s="164"/>
      <c r="J26" s="175">
        <f>IF(VLOOKUP(A26,'Aux - pivots1'!$A:$E,3,0)=0, "",VLOOKUP(A26,'Aux - pivots1'!$A:$E,3,0))</f>
        <v>45512</v>
      </c>
      <c r="K26" s="175">
        <f>IF(VLOOKUP(A26,'Aux - pivots1'!$A:$E,4,0)=0, "",VLOOKUP(A26,'Aux - pivots1'!$A:$E,4,0))</f>
        <v>45526</v>
      </c>
      <c r="L26" s="175" t="str">
        <f>IF(VLOOKUP(A26,'Aux - pivots1'!$A:$E,5,0)=0, "",VLOOKUP(A26,'Aux - pivots1'!$A:$E,5,0))</f>
        <v/>
      </c>
      <c r="M26" s="202"/>
    </row>
    <row r="27" spans="1:13" ht="16.2">
      <c r="A27" s="31" t="str">
        <f t="shared" si="0"/>
        <v>cd_imv_out_prccod_observacao</v>
      </c>
      <c r="B27" s="162" t="s">
        <v>28</v>
      </c>
      <c r="C27" s="157" t="s">
        <v>54</v>
      </c>
      <c r="D27" s="153" t="s">
        <v>40</v>
      </c>
      <c r="E27" s="154" t="s">
        <v>55</v>
      </c>
      <c r="F27" s="153" t="s">
        <v>63</v>
      </c>
      <c r="G27" s="155" t="str">
        <f>VLOOKUP(A27,Plano_V3!$A$27:$G$583,7,0)</f>
        <v>1. Concluído</v>
      </c>
      <c r="H27" s="155" t="s">
        <v>477</v>
      </c>
      <c r="I27" s="164"/>
      <c r="J27" s="175" t="str">
        <f>IF(VLOOKUP(A27,'Aux - pivots1'!$A:$E,3,0)=0, "",VLOOKUP(A27,'Aux - pivots1'!$A:$E,3,0))</f>
        <v/>
      </c>
      <c r="K27" s="175" t="str">
        <f>IF(VLOOKUP(A27,'Aux - pivots1'!$A:$E,4,0)=0, "",VLOOKUP(A27,'Aux - pivots1'!$A:$E,4,0))</f>
        <v/>
      </c>
      <c r="L27" s="175" t="str">
        <f>IF(VLOOKUP(A27,'Aux - pivots1'!$A:$E,5,0)=0, "",VLOOKUP(A27,'Aux - pivots1'!$A:$E,5,0))</f>
        <v/>
      </c>
      <c r="M27" s="202"/>
    </row>
    <row r="28" spans="1:13" ht="16.2">
      <c r="A28" s="31" t="str">
        <f t="shared" si="0"/>
        <v>cd_imv_out_prccod_prd_grnt</v>
      </c>
      <c r="B28" s="162" t="s">
        <v>28</v>
      </c>
      <c r="C28" s="157" t="s">
        <v>54</v>
      </c>
      <c r="D28" s="153" t="s">
        <v>40</v>
      </c>
      <c r="E28" s="154" t="s">
        <v>55</v>
      </c>
      <c r="F28" s="153" t="s">
        <v>64</v>
      </c>
      <c r="G28" s="155" t="str">
        <f>VLOOKUP(A28,Plano_V3!$A$27:$G$583,7,0)</f>
        <v>1. Concluído</v>
      </c>
      <c r="H28" s="155" t="s">
        <v>477</v>
      </c>
      <c r="I28" s="164"/>
      <c r="J28" s="175" t="str">
        <f>IF(VLOOKUP(A28,'Aux - pivots1'!$A:$E,3,0)=0, "",VLOOKUP(A28,'Aux - pivots1'!$A:$E,3,0))</f>
        <v/>
      </c>
      <c r="K28" s="175" t="str">
        <f>IF(VLOOKUP(A28,'Aux - pivots1'!$A:$E,4,0)=0, "",VLOOKUP(A28,'Aux - pivots1'!$A:$E,4,0))</f>
        <v/>
      </c>
      <c r="L28" s="175" t="str">
        <f>IF(VLOOKUP(A28,'Aux - pivots1'!$A:$E,5,0)=0, "",VLOOKUP(A28,'Aux - pivots1'!$A:$E,5,0))</f>
        <v/>
      </c>
      <c r="M28" s="202"/>
    </row>
    <row r="29" spans="1:13" ht="16.2">
      <c r="A29" s="31" t="str">
        <f t="shared" si="0"/>
        <v>cd_imv_out_prccod_sprd_grnt</v>
      </c>
      <c r="B29" s="162" t="s">
        <v>28</v>
      </c>
      <c r="C29" s="157" t="s">
        <v>54</v>
      </c>
      <c r="D29" s="153" t="s">
        <v>40</v>
      </c>
      <c r="E29" s="154" t="s">
        <v>55</v>
      </c>
      <c r="F29" s="153" t="s">
        <v>65</v>
      </c>
      <c r="G29" s="155" t="str">
        <f>VLOOKUP(A29,Plano_V3!$A$27:$G$583,7,0)</f>
        <v>1. Concluído</v>
      </c>
      <c r="H29" s="155" t="s">
        <v>477</v>
      </c>
      <c r="I29" s="164"/>
      <c r="J29" s="175" t="str">
        <f>IF(VLOOKUP(A29,'Aux - pivots1'!$A:$E,3,0)=0, "",VLOOKUP(A29,'Aux - pivots1'!$A:$E,3,0))</f>
        <v/>
      </c>
      <c r="K29" s="175" t="str">
        <f>IF(VLOOKUP(A29,'Aux - pivots1'!$A:$E,4,0)=0, "",VLOOKUP(A29,'Aux - pivots1'!$A:$E,4,0))</f>
        <v/>
      </c>
      <c r="L29" s="175" t="str">
        <f>IF(VLOOKUP(A29,'Aux - pivots1'!$A:$E,5,0)=0, "",VLOOKUP(A29,'Aux - pivots1'!$A:$E,5,0))</f>
        <v/>
      </c>
      <c r="M29" s="202"/>
    </row>
    <row r="30" spans="1:13" ht="16.2">
      <c r="A30" s="31" t="str">
        <f t="shared" si="0"/>
        <v>cd_imv_out_prccod_tipo</v>
      </c>
      <c r="B30" s="162" t="s">
        <v>28</v>
      </c>
      <c r="C30" s="157" t="s">
        <v>54</v>
      </c>
      <c r="D30" s="153" t="s">
        <v>40</v>
      </c>
      <c r="E30" s="154" t="s">
        <v>55</v>
      </c>
      <c r="F30" s="153" t="s">
        <v>66</v>
      </c>
      <c r="G30" s="155" t="str">
        <f>VLOOKUP(A30,Plano_V3!$A$27:$G$583,7,0)</f>
        <v>1. Concluído</v>
      </c>
      <c r="H30" s="155" t="s">
        <v>477</v>
      </c>
      <c r="I30" s="164"/>
      <c r="J30" s="175" t="str">
        <f>IF(VLOOKUP(A30,'Aux - pivots1'!$A:$E,3,0)=0, "",VLOOKUP(A30,'Aux - pivots1'!$A:$E,3,0))</f>
        <v/>
      </c>
      <c r="K30" s="175" t="str">
        <f>IF(VLOOKUP(A30,'Aux - pivots1'!$A:$E,4,0)=0, "",VLOOKUP(A30,'Aux - pivots1'!$A:$E,4,0))</f>
        <v/>
      </c>
      <c r="L30" s="175" t="str">
        <f>IF(VLOOKUP(A30,'Aux - pivots1'!$A:$E,5,0)=0, "",VLOOKUP(A30,'Aux - pivots1'!$A:$E,5,0))</f>
        <v/>
      </c>
      <c r="M30" s="202"/>
    </row>
    <row r="31" spans="1:13" ht="16.2">
      <c r="A31" s="31" t="str">
        <f t="shared" si="0"/>
        <v>cd_imv_out_prccomp_id_gar</v>
      </c>
      <c r="B31" s="162" t="s">
        <v>28</v>
      </c>
      <c r="C31" s="157" t="s">
        <v>54</v>
      </c>
      <c r="D31" s="153" t="s">
        <v>40</v>
      </c>
      <c r="E31" s="154" t="s">
        <v>55</v>
      </c>
      <c r="F31" s="153" t="s">
        <v>67</v>
      </c>
      <c r="G31" s="155" t="str">
        <f>VLOOKUP(A31,Plano_V3!$A$27:$G$583,7,0)</f>
        <v>1. Concluído</v>
      </c>
      <c r="H31" s="155" t="s">
        <v>477</v>
      </c>
      <c r="I31" s="164"/>
      <c r="J31" s="175" t="str">
        <f>IF(VLOOKUP(A31,'Aux - pivots1'!$A:$E,3,0)=0, "",VLOOKUP(A31,'Aux - pivots1'!$A:$E,3,0))</f>
        <v/>
      </c>
      <c r="K31" s="175" t="str">
        <f>IF(VLOOKUP(A31,'Aux - pivots1'!$A:$E,4,0)=0, "",VLOOKUP(A31,'Aux - pivots1'!$A:$E,4,0))</f>
        <v/>
      </c>
      <c r="L31" s="175" t="str">
        <f>IF(VLOOKUP(A31,'Aux - pivots1'!$A:$E,5,0)=0, "",VLOOKUP(A31,'Aux - pivots1'!$A:$E,5,0))</f>
        <v/>
      </c>
      <c r="M31" s="202"/>
    </row>
    <row r="32" spans="1:13" ht="16.2">
      <c r="A32" s="31" t="str">
        <f t="shared" si="0"/>
        <v>cd_imv_out_prcdata_inicio</v>
      </c>
      <c r="B32" s="162" t="s">
        <v>28</v>
      </c>
      <c r="C32" s="157" t="s">
        <v>54</v>
      </c>
      <c r="D32" s="153" t="s">
        <v>40</v>
      </c>
      <c r="E32" s="154" t="s">
        <v>55</v>
      </c>
      <c r="F32" s="153" t="s">
        <v>68</v>
      </c>
      <c r="G32" s="155" t="str">
        <f>VLOOKUP(A32,Plano_V3!$A$27:$G$583,7,0)</f>
        <v>1. Concluído</v>
      </c>
      <c r="H32" s="155" t="s">
        <v>477</v>
      </c>
      <c r="I32" s="164"/>
      <c r="J32" s="175" t="str">
        <f>IF(VLOOKUP(A32,'Aux - pivots1'!$A:$E,3,0)=0, "",VLOOKUP(A32,'Aux - pivots1'!$A:$E,3,0))</f>
        <v/>
      </c>
      <c r="K32" s="175" t="str">
        <f>IF(VLOOKUP(A32,'Aux - pivots1'!$A:$E,4,0)=0, "",VLOOKUP(A32,'Aux - pivots1'!$A:$E,4,0))</f>
        <v/>
      </c>
      <c r="L32" s="175" t="str">
        <f>IF(VLOOKUP(A32,'Aux - pivots1'!$A:$E,5,0)=0, "",VLOOKUP(A32,'Aux - pivots1'!$A:$E,5,0))</f>
        <v/>
      </c>
      <c r="M32" s="202"/>
    </row>
    <row r="33" spans="1:13" ht="16.2">
      <c r="A33" s="31" t="str">
        <f t="shared" si="0"/>
        <v>cd_imv_out_prcdata_vcmt</v>
      </c>
      <c r="B33" s="162" t="s">
        <v>28</v>
      </c>
      <c r="C33" s="157" t="s">
        <v>54</v>
      </c>
      <c r="D33" s="153" t="s">
        <v>40</v>
      </c>
      <c r="E33" s="154" t="s">
        <v>55</v>
      </c>
      <c r="F33" s="153" t="s">
        <v>69</v>
      </c>
      <c r="G33" s="155" t="str">
        <f>VLOOKUP(A33,Plano_V3!$A$27:$G$583,7,0)</f>
        <v>1. Concluído</v>
      </c>
      <c r="H33" s="155" t="s">
        <v>477</v>
      </c>
      <c r="I33" s="164"/>
      <c r="J33" s="175" t="str">
        <f>IF(VLOOKUP(A33,'Aux - pivots1'!$A:$E,3,0)=0, "",VLOOKUP(A33,'Aux - pivots1'!$A:$E,3,0))</f>
        <v/>
      </c>
      <c r="K33" s="175" t="str">
        <f>IF(VLOOKUP(A33,'Aux - pivots1'!$A:$E,4,0)=0, "",VLOOKUP(A33,'Aux - pivots1'!$A:$E,4,0))</f>
        <v/>
      </c>
      <c r="L33" s="175" t="str">
        <f>IF(VLOOKUP(A33,'Aux - pivots1'!$A:$E,5,0)=0, "",VLOOKUP(A33,'Aux - pivots1'!$A:$E,5,0))</f>
        <v/>
      </c>
      <c r="M33" s="202"/>
    </row>
    <row r="34" spans="1:13" ht="16.2">
      <c r="A34" s="31" t="str">
        <f t="shared" si="0"/>
        <v>cd_imv_out_prcmontante_eur</v>
      </c>
      <c r="B34" s="162" t="s">
        <v>28</v>
      </c>
      <c r="C34" s="157" t="s">
        <v>54</v>
      </c>
      <c r="D34" s="153" t="s">
        <v>40</v>
      </c>
      <c r="E34" s="154" t="s">
        <v>55</v>
      </c>
      <c r="F34" s="153" t="s">
        <v>70</v>
      </c>
      <c r="G34" s="155" t="str">
        <f>VLOOKUP(A34,Plano_V3!$A$27:$G$583,7,0)</f>
        <v>0. Cancelado</v>
      </c>
      <c r="H34" s="155" t="s">
        <v>476</v>
      </c>
      <c r="I34" s="164" t="s">
        <v>499</v>
      </c>
      <c r="J34" s="175" t="str">
        <f>IF(VLOOKUP(A34,'Aux - pivots1'!$A:$E,3,0)=0, "",VLOOKUP(A34,'Aux - pivots1'!$A:$E,3,0))</f>
        <v/>
      </c>
      <c r="K34" s="175" t="str">
        <f>IF(VLOOKUP(A34,'Aux - pivots1'!$A:$E,4,0)=0, "",VLOOKUP(A34,'Aux - pivots1'!$A:$E,4,0))</f>
        <v/>
      </c>
      <c r="L34" s="175" t="str">
        <f>IF(VLOOKUP(A34,'Aux - pivots1'!$A:$E,5,0)=0, "",VLOOKUP(A34,'Aux - pivots1'!$A:$E,5,0))</f>
        <v/>
      </c>
      <c r="M34" s="202"/>
    </row>
    <row r="35" spans="1:13" ht="16.2">
      <c r="A35" s="31" t="str">
        <f t="shared" si="0"/>
        <v>cd_imv_out_prcmontante_org</v>
      </c>
      <c r="B35" s="162" t="s">
        <v>28</v>
      </c>
      <c r="C35" s="157" t="s">
        <v>54</v>
      </c>
      <c r="D35" s="153" t="s">
        <v>40</v>
      </c>
      <c r="E35" s="154" t="s">
        <v>55</v>
      </c>
      <c r="F35" s="153" t="s">
        <v>71</v>
      </c>
      <c r="G35" s="155" t="str">
        <f>VLOOKUP(A35,Plano_V3!$A$27:$G$583,7,0)</f>
        <v>0. Cancelado</v>
      </c>
      <c r="H35" s="155" t="s">
        <v>476</v>
      </c>
      <c r="I35" s="164" t="s">
        <v>499</v>
      </c>
      <c r="J35" s="175" t="str">
        <f>IF(VLOOKUP(A35,'Aux - pivots1'!$A:$E,3,0)=0, "",VLOOKUP(A35,'Aux - pivots1'!$A:$E,3,0))</f>
        <v/>
      </c>
      <c r="K35" s="175" t="str">
        <f>IF(VLOOKUP(A35,'Aux - pivots1'!$A:$E,4,0)=0, "",VLOOKUP(A35,'Aux - pivots1'!$A:$E,4,0))</f>
        <v/>
      </c>
      <c r="L35" s="175" t="str">
        <f>IF(VLOOKUP(A35,'Aux - pivots1'!$A:$E,5,0)=0, "",VLOOKUP(A35,'Aux - pivots1'!$A:$E,5,0))</f>
        <v/>
      </c>
      <c r="M35" s="202"/>
    </row>
    <row r="36" spans="1:13" ht="16.2">
      <c r="A36" s="31" t="str">
        <f t="shared" si="0"/>
        <v>cd_imv_out_prcorigem</v>
      </c>
      <c r="B36" s="162" t="s">
        <v>28</v>
      </c>
      <c r="C36" s="157" t="s">
        <v>54</v>
      </c>
      <c r="D36" s="153" t="s">
        <v>40</v>
      </c>
      <c r="E36" s="154" t="s">
        <v>55</v>
      </c>
      <c r="F36" s="153" t="s">
        <v>72</v>
      </c>
      <c r="G36" s="155" t="str">
        <f>VLOOKUP(A36,Plano_V3!$A$27:$G$583,7,0)</f>
        <v>0. Cancelado</v>
      </c>
      <c r="H36" s="155" t="s">
        <v>476</v>
      </c>
      <c r="I36" s="164" t="s">
        <v>1820</v>
      </c>
      <c r="J36" s="175" t="str">
        <f>IF(VLOOKUP(A36,'Aux - pivots1'!$A:$E,3,0)=0, "",VLOOKUP(A36,'Aux - pivots1'!$A:$E,3,0))</f>
        <v/>
      </c>
      <c r="K36" s="175" t="str">
        <f>IF(VLOOKUP(A36,'Aux - pivots1'!$A:$E,4,0)=0, "",VLOOKUP(A36,'Aux - pivots1'!$A:$E,4,0))</f>
        <v/>
      </c>
      <c r="L36" s="175" t="str">
        <f>IF(VLOOKUP(A36,'Aux - pivots1'!$A:$E,5,0)=0, "",VLOOKUP(A36,'Aux - pivots1'!$A:$E,5,0))</f>
        <v/>
      </c>
      <c r="M36" s="202"/>
    </row>
    <row r="37" spans="1:13" ht="16.2">
      <c r="A37" s="31" t="str">
        <f t="shared" si="0"/>
        <v>cd_imv_out_prcref_date</v>
      </c>
      <c r="B37" s="162" t="s">
        <v>28</v>
      </c>
      <c r="C37" s="157" t="s">
        <v>54</v>
      </c>
      <c r="D37" s="153" t="s">
        <v>40</v>
      </c>
      <c r="E37" s="154" t="s">
        <v>55</v>
      </c>
      <c r="F37" s="153" t="s">
        <v>73</v>
      </c>
      <c r="G37" s="155" t="str">
        <f>VLOOKUP(A37,Plano_V3!$A$27:$G$583,7,0)</f>
        <v>1. Concluído</v>
      </c>
      <c r="H37" s="155" t="s">
        <v>477</v>
      </c>
      <c r="I37" s="164"/>
      <c r="J37" s="175" t="str">
        <f>IF(VLOOKUP(A37,'Aux - pivots1'!$A:$E,3,0)=0, "",VLOOKUP(A37,'Aux - pivots1'!$A:$E,3,0))</f>
        <v/>
      </c>
      <c r="K37" s="175" t="str">
        <f>IF(VLOOKUP(A37,'Aux - pivots1'!$A:$E,4,0)=0, "",VLOOKUP(A37,'Aux - pivots1'!$A:$E,4,0))</f>
        <v/>
      </c>
      <c r="L37" s="175" t="str">
        <f>IF(VLOOKUP(A37,'Aux - pivots1'!$A:$E,5,0)=0, "",VLOOKUP(A37,'Aux - pivots1'!$A:$E,5,0))</f>
        <v/>
      </c>
      <c r="M37" s="202"/>
    </row>
    <row r="38" spans="1:13" ht="16.2">
      <c r="A38" s="31" t="str">
        <f t="shared" si="0"/>
        <v>cd_imv_out_trz_cred_prcn.a.</v>
      </c>
      <c r="B38" s="162" t="s">
        <v>28</v>
      </c>
      <c r="C38" s="157" t="s">
        <v>54</v>
      </c>
      <c r="D38" s="153" t="s">
        <v>36</v>
      </c>
      <c r="E38" s="154" t="s">
        <v>56</v>
      </c>
      <c r="F38" s="153" t="s">
        <v>38</v>
      </c>
      <c r="G38" s="155" t="str">
        <f>VLOOKUP(A38,Plano_V3!$A$27:$G$583,7,0)</f>
        <v>1. Concluído</v>
      </c>
      <c r="H38" s="155" t="s">
        <v>477</v>
      </c>
      <c r="I38" s="164"/>
      <c r="J38" s="175" t="str">
        <f>IF(VLOOKUP(A38,'Aux - pivots1'!$A:$E,3,0)=0, "",VLOOKUP(A38,'Aux - pivots1'!$A:$E,3,0))</f>
        <v/>
      </c>
      <c r="K38" s="175" t="str">
        <f>IF(VLOOKUP(A38,'Aux - pivots1'!$A:$E,4,0)=0, "",VLOOKUP(A38,'Aux - pivots1'!$A:$E,4,0))</f>
        <v/>
      </c>
      <c r="L38" s="175" t="str">
        <f>IF(VLOOKUP(A38,'Aux - pivots1'!$A:$E,5,0)=0, "",VLOOKUP(A38,'Aux - pivots1'!$A:$E,5,0))</f>
        <v/>
      </c>
      <c r="M38" s="202"/>
    </row>
    <row r="39" spans="1:13" ht="16.2">
      <c r="A39" s="31" t="str">
        <f t="shared" si="0"/>
        <v>cd_imv_out_trz_cred_prccempresa</v>
      </c>
      <c r="B39" s="162" t="s">
        <v>28</v>
      </c>
      <c r="C39" s="157" t="s">
        <v>54</v>
      </c>
      <c r="D39" s="153" t="s">
        <v>40</v>
      </c>
      <c r="E39" s="154" t="s">
        <v>56</v>
      </c>
      <c r="F39" s="153" t="s">
        <v>57</v>
      </c>
      <c r="G39" s="155" t="str">
        <f>VLOOKUP(A39,Plano_V3!$A$27:$G$583,7,0)</f>
        <v>1. Concluído</v>
      </c>
      <c r="H39" s="155" t="s">
        <v>477</v>
      </c>
      <c r="I39" s="179" t="s">
        <v>498</v>
      </c>
      <c r="J39" s="175" t="str">
        <f>IF(VLOOKUP(A39,'Aux - pivots1'!$A:$E,3,0)=0, "",VLOOKUP(A39,'Aux - pivots1'!$A:$E,3,0))</f>
        <v/>
      </c>
      <c r="K39" s="175" t="str">
        <f>IF(VLOOKUP(A39,'Aux - pivots1'!$A:$E,4,0)=0, "",VLOOKUP(A39,'Aux - pivots1'!$A:$E,4,0))</f>
        <v/>
      </c>
      <c r="L39" s="175" t="str">
        <f>IF(VLOOKUP(A39,'Aux - pivots1'!$A:$E,5,0)=0, "",VLOOKUP(A39,'Aux - pivots1'!$A:$E,5,0))</f>
        <v/>
      </c>
      <c r="M39" s="202"/>
    </row>
    <row r="40" spans="1:13" ht="16.2">
      <c r="A40" s="31" t="str">
        <f t="shared" si="0"/>
        <v>cd_imv_out_trz_cred_prccempresp</v>
      </c>
      <c r="B40" s="162" t="s">
        <v>28</v>
      </c>
      <c r="C40" s="157" t="s">
        <v>54</v>
      </c>
      <c r="D40" s="153" t="s">
        <v>40</v>
      </c>
      <c r="E40" s="154" t="s">
        <v>56</v>
      </c>
      <c r="F40" s="153" t="s">
        <v>74</v>
      </c>
      <c r="G40" s="155" t="str">
        <f>VLOOKUP(A40,Plano_V3!$A$27:$G$583,7,0)</f>
        <v>1. Concluído</v>
      </c>
      <c r="H40" s="155" t="s">
        <v>477</v>
      </c>
      <c r="I40" s="179" t="s">
        <v>498</v>
      </c>
      <c r="J40" s="175" t="str">
        <f>IF(VLOOKUP(A40,'Aux - pivots1'!$A:$E,3,0)=0, "",VLOOKUP(A40,'Aux - pivots1'!$A:$E,3,0))</f>
        <v/>
      </c>
      <c r="K40" s="175" t="str">
        <f>IF(VLOOKUP(A40,'Aux - pivots1'!$A:$E,4,0)=0, "",VLOOKUP(A40,'Aux - pivots1'!$A:$E,4,0))</f>
        <v/>
      </c>
      <c r="L40" s="175" t="str">
        <f>IF(VLOOKUP(A40,'Aux - pivots1'!$A:$E,5,0)=0, "",VLOOKUP(A40,'Aux - pivots1'!$A:$E,5,0))</f>
        <v/>
      </c>
      <c r="M40" s="202"/>
    </row>
    <row r="41" spans="1:13" ht="16.2">
      <c r="A41" s="31" t="str">
        <f t="shared" si="0"/>
        <v>cd_imv_out_trz_cred_prcckbalcao</v>
      </c>
      <c r="B41" s="162" t="s">
        <v>28</v>
      </c>
      <c r="C41" s="157" t="s">
        <v>54</v>
      </c>
      <c r="D41" s="153" t="s">
        <v>40</v>
      </c>
      <c r="E41" s="154" t="s">
        <v>56</v>
      </c>
      <c r="F41" s="153" t="s">
        <v>58</v>
      </c>
      <c r="G41" s="155" t="str">
        <f>VLOOKUP(A41,Plano_V3!$A$27:$G$583,7,0)</f>
        <v>1. Concluído</v>
      </c>
      <c r="H41" s="155" t="s">
        <v>477</v>
      </c>
      <c r="I41" s="179" t="s">
        <v>498</v>
      </c>
      <c r="J41" s="175" t="str">
        <f>IF(VLOOKUP(A41,'Aux - pivots1'!$A:$E,3,0)=0, "",VLOOKUP(A41,'Aux - pivots1'!$A:$E,3,0))</f>
        <v/>
      </c>
      <c r="K41" s="175" t="str">
        <f>IF(VLOOKUP(A41,'Aux - pivots1'!$A:$E,4,0)=0, "",VLOOKUP(A41,'Aux - pivots1'!$A:$E,4,0))</f>
        <v/>
      </c>
      <c r="L41" s="175" t="str">
        <f>IF(VLOOKUP(A41,'Aux - pivots1'!$A:$E,5,0)=0, "",VLOOKUP(A41,'Aux - pivots1'!$A:$E,5,0))</f>
        <v/>
      </c>
      <c r="M41" s="202"/>
    </row>
    <row r="42" spans="1:13" ht="16.2">
      <c r="A42" s="31" t="str">
        <f t="shared" si="0"/>
        <v>cd_imv_out_trz_cred_prcckbalres</v>
      </c>
      <c r="B42" s="162" t="s">
        <v>28</v>
      </c>
      <c r="C42" s="157" t="s">
        <v>54</v>
      </c>
      <c r="D42" s="153" t="s">
        <v>40</v>
      </c>
      <c r="E42" s="154" t="s">
        <v>56</v>
      </c>
      <c r="F42" s="153" t="s">
        <v>75</v>
      </c>
      <c r="G42" s="155" t="str">
        <f>VLOOKUP(A42,Plano_V3!$A$27:$G$583,7,0)</f>
        <v>1. Concluído</v>
      </c>
      <c r="H42" s="155" t="s">
        <v>477</v>
      </c>
      <c r="I42" s="179" t="s">
        <v>498</v>
      </c>
      <c r="J42" s="175" t="str">
        <f>IF(VLOOKUP(A42,'Aux - pivots1'!$A:$E,3,0)=0, "",VLOOKUP(A42,'Aux - pivots1'!$A:$E,3,0))</f>
        <v/>
      </c>
      <c r="K42" s="175" t="str">
        <f>IF(VLOOKUP(A42,'Aux - pivots1'!$A:$E,4,0)=0, "",VLOOKUP(A42,'Aux - pivots1'!$A:$E,4,0))</f>
        <v/>
      </c>
      <c r="L42" s="175" t="str">
        <f>IF(VLOOKUP(A42,'Aux - pivots1'!$A:$E,5,0)=0, "",VLOOKUP(A42,'Aux - pivots1'!$A:$E,5,0))</f>
        <v/>
      </c>
      <c r="M42" s="202"/>
    </row>
    <row r="43" spans="1:13" ht="16.2">
      <c r="A43" s="31" t="str">
        <f t="shared" si="0"/>
        <v>cd_imv_out_trz_cred_prcckctares</v>
      </c>
      <c r="B43" s="162" t="s">
        <v>28</v>
      </c>
      <c r="C43" s="157" t="s">
        <v>54</v>
      </c>
      <c r="D43" s="153" t="s">
        <v>40</v>
      </c>
      <c r="E43" s="154" t="s">
        <v>56</v>
      </c>
      <c r="F43" s="153" t="s">
        <v>76</v>
      </c>
      <c r="G43" s="155" t="str">
        <f>VLOOKUP(A43,Plano_V3!$A$27:$G$583,7,0)</f>
        <v>1. Concluído</v>
      </c>
      <c r="H43" s="155" t="s">
        <v>477</v>
      </c>
      <c r="I43" s="179" t="s">
        <v>498</v>
      </c>
      <c r="J43" s="175" t="str">
        <f>IF(VLOOKUP(A43,'Aux - pivots1'!$A:$E,3,0)=0, "",VLOOKUP(A43,'Aux - pivots1'!$A:$E,3,0))</f>
        <v/>
      </c>
      <c r="K43" s="175" t="str">
        <f>IF(VLOOKUP(A43,'Aux - pivots1'!$A:$E,4,0)=0, "",VLOOKUP(A43,'Aux - pivots1'!$A:$E,4,0))</f>
        <v/>
      </c>
      <c r="L43" s="175" t="str">
        <f>IF(VLOOKUP(A43,'Aux - pivots1'!$A:$E,5,0)=0, "",VLOOKUP(A43,'Aux - pivots1'!$A:$E,5,0))</f>
        <v/>
      </c>
      <c r="M43" s="202"/>
    </row>
    <row r="44" spans="1:13" ht="16.2">
      <c r="A44" s="31" t="str">
        <f t="shared" si="0"/>
        <v>cd_imv_out_trz_cred_prccknumcta</v>
      </c>
      <c r="B44" s="162" t="s">
        <v>28</v>
      </c>
      <c r="C44" s="157" t="s">
        <v>54</v>
      </c>
      <c r="D44" s="153" t="s">
        <v>40</v>
      </c>
      <c r="E44" s="154" t="s">
        <v>56</v>
      </c>
      <c r="F44" s="153" t="s">
        <v>59</v>
      </c>
      <c r="G44" s="155" t="str">
        <f>VLOOKUP(A44,Plano_V3!$A$27:$G$583,7,0)</f>
        <v>1. Concluído</v>
      </c>
      <c r="H44" s="155" t="s">
        <v>477</v>
      </c>
      <c r="I44" s="179" t="s">
        <v>498</v>
      </c>
      <c r="J44" s="175" t="str">
        <f>IF(VLOOKUP(A44,'Aux - pivots1'!$A:$E,3,0)=0, "",VLOOKUP(A44,'Aux - pivots1'!$A:$E,3,0))</f>
        <v/>
      </c>
      <c r="K44" s="175" t="str">
        <f>IF(VLOOKUP(A44,'Aux - pivots1'!$A:$E,4,0)=0, "",VLOOKUP(A44,'Aux - pivots1'!$A:$E,4,0))</f>
        <v/>
      </c>
      <c r="L44" s="175" t="str">
        <f>IF(VLOOKUP(A44,'Aux - pivots1'!$A:$E,5,0)=0, "",VLOOKUP(A44,'Aux - pivots1'!$A:$E,5,0))</f>
        <v/>
      </c>
      <c r="M44" s="202"/>
    </row>
    <row r="45" spans="1:13" ht="16.2">
      <c r="A45" s="31" t="str">
        <f t="shared" si="0"/>
        <v>cd_imv_out_trz_cred_prcckrefresp</v>
      </c>
      <c r="B45" s="162" t="s">
        <v>28</v>
      </c>
      <c r="C45" s="157" t="s">
        <v>54</v>
      </c>
      <c r="D45" s="153" t="s">
        <v>40</v>
      </c>
      <c r="E45" s="154" t="s">
        <v>56</v>
      </c>
      <c r="F45" s="153" t="s">
        <v>77</v>
      </c>
      <c r="G45" s="155" t="str">
        <f>VLOOKUP(A45,Plano_V3!$A$27:$G$583,7,0)</f>
        <v>1. Concluído</v>
      </c>
      <c r="H45" s="155" t="s">
        <v>477</v>
      </c>
      <c r="I45" s="179" t="s">
        <v>498</v>
      </c>
      <c r="J45" s="175" t="str">
        <f>IF(VLOOKUP(A45,'Aux - pivots1'!$A:$E,3,0)=0, "",VLOOKUP(A45,'Aux - pivots1'!$A:$E,3,0))</f>
        <v/>
      </c>
      <c r="K45" s="175" t="str">
        <f>IF(VLOOKUP(A45,'Aux - pivots1'!$A:$E,4,0)=0, "",VLOOKUP(A45,'Aux - pivots1'!$A:$E,4,0))</f>
        <v/>
      </c>
      <c r="L45" s="175" t="str">
        <f>IF(VLOOKUP(A45,'Aux - pivots1'!$A:$E,5,0)=0, "",VLOOKUP(A45,'Aux - pivots1'!$A:$E,5,0))</f>
        <v/>
      </c>
      <c r="M45" s="202"/>
    </row>
    <row r="46" spans="1:13" ht="16.2">
      <c r="A46" s="31" t="str">
        <f t="shared" si="0"/>
        <v>cd_imv_out_trz_cred_prccod_fnld</v>
      </c>
      <c r="B46" s="162" t="s">
        <v>28</v>
      </c>
      <c r="C46" s="157" t="s">
        <v>54</v>
      </c>
      <c r="D46" s="153" t="s">
        <v>40</v>
      </c>
      <c r="E46" s="154" t="s">
        <v>56</v>
      </c>
      <c r="F46" s="153" t="s">
        <v>78</v>
      </c>
      <c r="G46" s="155" t="str">
        <f>VLOOKUP(A46,Plano_V3!$A$27:$G$583,7,0)</f>
        <v>1. Concluído</v>
      </c>
      <c r="H46" s="155" t="s">
        <v>477</v>
      </c>
      <c r="I46" s="164"/>
      <c r="J46" s="175" t="str">
        <f>IF(VLOOKUP(A46,'Aux - pivots1'!$A:$E,3,0)=0, "",VLOOKUP(A46,'Aux - pivots1'!$A:$E,3,0))</f>
        <v/>
      </c>
      <c r="K46" s="175" t="str">
        <f>IF(VLOOKUP(A46,'Aux - pivots1'!$A:$E,4,0)=0, "",VLOOKUP(A46,'Aux - pivots1'!$A:$E,4,0))</f>
        <v/>
      </c>
      <c r="L46" s="175" t="str">
        <f>IF(VLOOKUP(A46,'Aux - pivots1'!$A:$E,5,0)=0, "",VLOOKUP(A46,'Aux - pivots1'!$A:$E,5,0))</f>
        <v/>
      </c>
      <c r="M46" s="202"/>
    </row>
    <row r="47" spans="1:13" ht="16.2">
      <c r="A47" s="31" t="str">
        <f t="shared" si="0"/>
        <v>cd_imv_out_trz_cred_prccod_ocupacao</v>
      </c>
      <c r="B47" s="162" t="s">
        <v>28</v>
      </c>
      <c r="C47" s="157" t="s">
        <v>54</v>
      </c>
      <c r="D47" s="153" t="s">
        <v>40</v>
      </c>
      <c r="E47" s="154" t="s">
        <v>56</v>
      </c>
      <c r="F47" s="153" t="s">
        <v>79</v>
      </c>
      <c r="G47" s="155" t="str">
        <f>VLOOKUP(A47,Plano_V3!$A$27:$G$583,7,0)</f>
        <v>1. Concluído</v>
      </c>
      <c r="H47" s="155" t="s">
        <v>477</v>
      </c>
      <c r="I47" s="164"/>
      <c r="J47" s="175" t="str">
        <f>IF(VLOOKUP(A47,'Aux - pivots1'!$A:$E,3,0)=0, "",VLOOKUP(A47,'Aux - pivots1'!$A:$E,3,0))</f>
        <v/>
      </c>
      <c r="K47" s="175" t="str">
        <f>IF(VLOOKUP(A47,'Aux - pivots1'!$A:$E,4,0)=0, "",VLOOKUP(A47,'Aux - pivots1'!$A:$E,4,0))</f>
        <v/>
      </c>
      <c r="L47" s="175" t="str">
        <f>IF(VLOOKUP(A47,'Aux - pivots1'!$A:$E,5,0)=0, "",VLOOKUP(A47,'Aux - pivots1'!$A:$E,5,0))</f>
        <v/>
      </c>
      <c r="M47" s="202"/>
    </row>
    <row r="48" spans="1:13" ht="16.2">
      <c r="A48" s="31" t="str">
        <f t="shared" si="0"/>
        <v>cd_imv_out_trz_cred_prccod_prd_resp</v>
      </c>
      <c r="B48" s="162" t="s">
        <v>28</v>
      </c>
      <c r="C48" s="157" t="s">
        <v>54</v>
      </c>
      <c r="D48" s="153" t="s">
        <v>40</v>
      </c>
      <c r="E48" s="154" t="s">
        <v>56</v>
      </c>
      <c r="F48" s="153" t="s">
        <v>80</v>
      </c>
      <c r="G48" s="155" t="str">
        <f>VLOOKUP(A48,Plano_V3!$A$27:$G$583,7,0)</f>
        <v>1. Concluído</v>
      </c>
      <c r="H48" s="155" t="s">
        <v>477</v>
      </c>
      <c r="I48" s="164"/>
      <c r="J48" s="175" t="str">
        <f>IF(VLOOKUP(A48,'Aux - pivots1'!$A:$E,3,0)=0, "",VLOOKUP(A48,'Aux - pivots1'!$A:$E,3,0))</f>
        <v/>
      </c>
      <c r="K48" s="175" t="str">
        <f>IF(VLOOKUP(A48,'Aux - pivots1'!$A:$E,4,0)=0, "",VLOOKUP(A48,'Aux - pivots1'!$A:$E,4,0))</f>
        <v/>
      </c>
      <c r="L48" s="175" t="str">
        <f>IF(VLOOKUP(A48,'Aux - pivots1'!$A:$E,5,0)=0, "",VLOOKUP(A48,'Aux - pivots1'!$A:$E,5,0))</f>
        <v/>
      </c>
      <c r="M48" s="202"/>
    </row>
    <row r="49" spans="1:13" ht="16.2">
      <c r="A49" s="31" t="str">
        <f t="shared" si="0"/>
        <v>cd_imv_out_trz_cred_prccod_sit</v>
      </c>
      <c r="B49" s="162" t="s">
        <v>28</v>
      </c>
      <c r="C49" s="157" t="s">
        <v>54</v>
      </c>
      <c r="D49" s="153" t="s">
        <v>40</v>
      </c>
      <c r="E49" s="154" t="s">
        <v>56</v>
      </c>
      <c r="F49" s="153" t="s">
        <v>81</v>
      </c>
      <c r="G49" s="155" t="str">
        <f>VLOOKUP(A49,Plano_V3!$A$27:$G$583,7,0)</f>
        <v>0. Cancelado</v>
      </c>
      <c r="H49" s="155" t="s">
        <v>476</v>
      </c>
      <c r="I49" s="164" t="s">
        <v>499</v>
      </c>
      <c r="J49" s="175" t="str">
        <f>IF(VLOOKUP(A49,'Aux - pivots1'!$A:$E,3,0)=0, "",VLOOKUP(A49,'Aux - pivots1'!$A:$E,3,0))</f>
        <v/>
      </c>
      <c r="K49" s="175" t="str">
        <f>IF(VLOOKUP(A49,'Aux - pivots1'!$A:$E,4,0)=0, "",VLOOKUP(A49,'Aux - pivots1'!$A:$E,4,0))</f>
        <v/>
      </c>
      <c r="L49" s="175" t="str">
        <f>IF(VLOOKUP(A49,'Aux - pivots1'!$A:$E,5,0)=0, "",VLOOKUP(A49,'Aux - pivots1'!$A:$E,5,0))</f>
        <v/>
      </c>
      <c r="M49" s="202"/>
    </row>
    <row r="50" spans="1:13" ht="16.2">
      <c r="A50" s="31" t="str">
        <f t="shared" si="0"/>
        <v>cd_imv_out_trz_cred_prccod_sprd_resp</v>
      </c>
      <c r="B50" s="162" t="s">
        <v>28</v>
      </c>
      <c r="C50" s="157" t="s">
        <v>54</v>
      </c>
      <c r="D50" s="153" t="s">
        <v>40</v>
      </c>
      <c r="E50" s="154" t="s">
        <v>56</v>
      </c>
      <c r="F50" s="153" t="s">
        <v>82</v>
      </c>
      <c r="G50" s="155" t="str">
        <f>VLOOKUP(A50,Plano_V3!$A$27:$G$583,7,0)</f>
        <v>1. Concluído</v>
      </c>
      <c r="H50" s="155" t="s">
        <v>477</v>
      </c>
      <c r="I50" s="164"/>
      <c r="J50" s="175" t="str">
        <f>IF(VLOOKUP(A50,'Aux - pivots1'!$A:$E,3,0)=0, "",VLOOKUP(A50,'Aux - pivots1'!$A:$E,3,0))</f>
        <v/>
      </c>
      <c r="K50" s="175" t="str">
        <f>IF(VLOOKUP(A50,'Aux - pivots1'!$A:$E,4,0)=0, "",VLOOKUP(A50,'Aux - pivots1'!$A:$E,4,0))</f>
        <v/>
      </c>
      <c r="L50" s="175" t="str">
        <f>IF(VLOOKUP(A50,'Aux - pivots1'!$A:$E,5,0)=0, "",VLOOKUP(A50,'Aux - pivots1'!$A:$E,5,0))</f>
        <v/>
      </c>
      <c r="M50" s="202"/>
    </row>
    <row r="51" spans="1:13" ht="16.2">
      <c r="A51" s="31" t="str">
        <f t="shared" si="0"/>
        <v>cd_imv_out_trz_cred_prccomp_id_gar</v>
      </c>
      <c r="B51" s="162" t="s">
        <v>28</v>
      </c>
      <c r="C51" s="157" t="s">
        <v>54</v>
      </c>
      <c r="D51" s="153" t="s">
        <v>40</v>
      </c>
      <c r="E51" s="154" t="s">
        <v>56</v>
      </c>
      <c r="F51" s="153" t="s">
        <v>67</v>
      </c>
      <c r="G51" s="155" t="str">
        <f>VLOOKUP(A51,Plano_V3!$A$27:$G$583,7,0)</f>
        <v>1. Concluído</v>
      </c>
      <c r="H51" s="155" t="s">
        <v>477</v>
      </c>
      <c r="I51" s="164"/>
      <c r="J51" s="175" t="str">
        <f>IF(VLOOKUP(A51,'Aux - pivots1'!$A:$E,3,0)=0, "",VLOOKUP(A51,'Aux - pivots1'!$A:$E,3,0))</f>
        <v/>
      </c>
      <c r="K51" s="175" t="str">
        <f>IF(VLOOKUP(A51,'Aux - pivots1'!$A:$E,4,0)=0, "",VLOOKUP(A51,'Aux - pivots1'!$A:$E,4,0))</f>
        <v/>
      </c>
      <c r="L51" s="175" t="str">
        <f>IF(VLOOKUP(A51,'Aux - pivots1'!$A:$E,5,0)=0, "",VLOOKUP(A51,'Aux - pivots1'!$A:$E,5,0))</f>
        <v/>
      </c>
      <c r="M51" s="202"/>
    </row>
    <row r="52" spans="1:13" ht="16.2">
      <c r="A52" s="31" t="str">
        <f t="shared" si="0"/>
        <v>cd_imv_out_trz_cred_prcdata_fim</v>
      </c>
      <c r="B52" s="162" t="s">
        <v>28</v>
      </c>
      <c r="C52" s="157" t="s">
        <v>54</v>
      </c>
      <c r="D52" s="153" t="s">
        <v>40</v>
      </c>
      <c r="E52" s="154" t="s">
        <v>56</v>
      </c>
      <c r="F52" s="153" t="s">
        <v>83</v>
      </c>
      <c r="G52" s="155" t="str">
        <f>VLOOKUP(A52,Plano_V3!$A$27:$G$583,7,0)</f>
        <v>1. Concluído</v>
      </c>
      <c r="H52" s="155" t="s">
        <v>477</v>
      </c>
      <c r="I52" s="164"/>
      <c r="J52" s="175" t="str">
        <f>IF(VLOOKUP(A52,'Aux - pivots1'!$A:$E,3,0)=0, "",VLOOKUP(A52,'Aux - pivots1'!$A:$E,3,0))</f>
        <v/>
      </c>
      <c r="K52" s="175" t="str">
        <f>IF(VLOOKUP(A52,'Aux - pivots1'!$A:$E,4,0)=0, "",VLOOKUP(A52,'Aux - pivots1'!$A:$E,4,0))</f>
        <v/>
      </c>
      <c r="L52" s="175" t="str">
        <f>IF(VLOOKUP(A52,'Aux - pivots1'!$A:$E,5,0)=0, "",VLOOKUP(A52,'Aux - pivots1'!$A:$E,5,0))</f>
        <v/>
      </c>
      <c r="M52" s="202"/>
    </row>
    <row r="53" spans="1:13" ht="16.2">
      <c r="A53" s="31" t="str">
        <f t="shared" si="0"/>
        <v>cd_imv_out_trz_cred_prcdata_inicio</v>
      </c>
      <c r="B53" s="162" t="s">
        <v>28</v>
      </c>
      <c r="C53" s="157" t="s">
        <v>54</v>
      </c>
      <c r="D53" s="153" t="s">
        <v>40</v>
      </c>
      <c r="E53" s="154" t="s">
        <v>56</v>
      </c>
      <c r="F53" s="153" t="s">
        <v>68</v>
      </c>
      <c r="G53" s="155" t="str">
        <f>VLOOKUP(A53,Plano_V3!$A$27:$G$583,7,0)</f>
        <v>1. Concluído</v>
      </c>
      <c r="H53" s="155" t="s">
        <v>477</v>
      </c>
      <c r="I53" s="164"/>
      <c r="J53" s="175" t="str">
        <f>IF(VLOOKUP(A53,'Aux - pivots1'!$A:$E,3,0)=0, "",VLOOKUP(A53,'Aux - pivots1'!$A:$E,3,0))</f>
        <v/>
      </c>
      <c r="K53" s="175" t="str">
        <f>IF(VLOOKUP(A53,'Aux - pivots1'!$A:$E,4,0)=0, "",VLOOKUP(A53,'Aux - pivots1'!$A:$E,4,0))</f>
        <v/>
      </c>
      <c r="L53" s="175" t="str">
        <f>IF(VLOOKUP(A53,'Aux - pivots1'!$A:$E,5,0)=0, "",VLOOKUP(A53,'Aux - pivots1'!$A:$E,5,0))</f>
        <v/>
      </c>
      <c r="M53" s="202"/>
    </row>
    <row r="54" spans="1:13" ht="16.2">
      <c r="A54" s="31" t="str">
        <f t="shared" si="0"/>
        <v>cd_imv_out_trz_cred_prcdata_vcmt</v>
      </c>
      <c r="B54" s="162" t="s">
        <v>28</v>
      </c>
      <c r="C54" s="157" t="s">
        <v>54</v>
      </c>
      <c r="D54" s="153" t="s">
        <v>40</v>
      </c>
      <c r="E54" s="154" t="s">
        <v>56</v>
      </c>
      <c r="F54" s="153" t="s">
        <v>69</v>
      </c>
      <c r="G54" s="155" t="str">
        <f>VLOOKUP(A54,Plano_V3!$A$27:$G$583,7,0)</f>
        <v>1. Concluído</v>
      </c>
      <c r="H54" s="155" t="s">
        <v>477</v>
      </c>
      <c r="I54" s="164"/>
      <c r="J54" s="175" t="str">
        <f>IF(VLOOKUP(A54,'Aux - pivots1'!$A:$E,3,0)=0, "",VLOOKUP(A54,'Aux - pivots1'!$A:$E,3,0))</f>
        <v/>
      </c>
      <c r="K54" s="175" t="str">
        <f>IF(VLOOKUP(A54,'Aux - pivots1'!$A:$E,4,0)=0, "",VLOOKUP(A54,'Aux - pivots1'!$A:$E,4,0))</f>
        <v/>
      </c>
      <c r="L54" s="175" t="str">
        <f>IF(VLOOKUP(A54,'Aux - pivots1'!$A:$E,5,0)=0, "",VLOOKUP(A54,'Aux - pivots1'!$A:$E,5,0))</f>
        <v/>
      </c>
      <c r="M54" s="202"/>
    </row>
    <row r="55" spans="1:13" ht="16.2">
      <c r="A55" s="31" t="str">
        <f t="shared" si="0"/>
        <v>cd_imv_out_trz_cred_prcidetgar</v>
      </c>
      <c r="B55" s="162" t="s">
        <v>28</v>
      </c>
      <c r="C55" s="157" t="s">
        <v>54</v>
      </c>
      <c r="D55" s="153" t="s">
        <v>40</v>
      </c>
      <c r="E55" s="154" t="s">
        <v>56</v>
      </c>
      <c r="F55" s="153" t="s">
        <v>84</v>
      </c>
      <c r="G55" s="155" t="str">
        <f>VLOOKUP(A55,Plano_V3!$A$27:$G$583,7,0)</f>
        <v>0. Cancelado</v>
      </c>
      <c r="H55" s="155" t="s">
        <v>476</v>
      </c>
      <c r="I55" s="164" t="s">
        <v>499</v>
      </c>
      <c r="J55" s="175" t="str">
        <f>IF(VLOOKUP(A55,'Aux - pivots1'!$A:$E,3,0)=0, "",VLOOKUP(A55,'Aux - pivots1'!$A:$E,3,0))</f>
        <v/>
      </c>
      <c r="K55" s="175" t="str">
        <f>IF(VLOOKUP(A55,'Aux - pivots1'!$A:$E,4,0)=0, "",VLOOKUP(A55,'Aux - pivots1'!$A:$E,4,0))</f>
        <v/>
      </c>
      <c r="L55" s="175" t="str">
        <f>IF(VLOOKUP(A55,'Aux - pivots1'!$A:$E,5,0)=0, "",VLOOKUP(A55,'Aux - pivots1'!$A:$E,5,0))</f>
        <v/>
      </c>
      <c r="M55" s="202"/>
    </row>
    <row r="56" spans="1:13" ht="16.2">
      <c r="A56" s="31" t="str">
        <f t="shared" si="0"/>
        <v>cd_imv_out_trz_cred_prcnum_prop</v>
      </c>
      <c r="B56" s="162" t="s">
        <v>28</v>
      </c>
      <c r="C56" s="157" t="s">
        <v>54</v>
      </c>
      <c r="D56" s="153" t="s">
        <v>40</v>
      </c>
      <c r="E56" s="154" t="s">
        <v>56</v>
      </c>
      <c r="F56" s="153" t="s">
        <v>85</v>
      </c>
      <c r="G56" s="155" t="str">
        <f>VLOOKUP(A56,Plano_V3!$A$27:$G$583,7,0)</f>
        <v>0. Cancelado</v>
      </c>
      <c r="H56" s="155" t="s">
        <v>476</v>
      </c>
      <c r="I56" s="164" t="s">
        <v>499</v>
      </c>
      <c r="J56" s="175" t="str">
        <f>IF(VLOOKUP(A56,'Aux - pivots1'!$A:$E,3,0)=0, "",VLOOKUP(A56,'Aux - pivots1'!$A:$E,3,0))</f>
        <v/>
      </c>
      <c r="K56" s="175" t="str">
        <f>IF(VLOOKUP(A56,'Aux - pivots1'!$A:$E,4,0)=0, "",VLOOKUP(A56,'Aux - pivots1'!$A:$E,4,0))</f>
        <v/>
      </c>
      <c r="L56" s="175" t="str">
        <f>IF(VLOOKUP(A56,'Aux - pivots1'!$A:$E,5,0)=0, "",VLOOKUP(A56,'Aux - pivots1'!$A:$E,5,0))</f>
        <v/>
      </c>
      <c r="M56" s="202"/>
    </row>
    <row r="57" spans="1:13" ht="16.2">
      <c r="A57" s="31" t="str">
        <f t="shared" si="0"/>
        <v>cd_imv_out_trz_cred_prcorigem</v>
      </c>
      <c r="B57" s="162" t="s">
        <v>28</v>
      </c>
      <c r="C57" s="157" t="s">
        <v>54</v>
      </c>
      <c r="D57" s="153" t="s">
        <v>40</v>
      </c>
      <c r="E57" s="154" t="s">
        <v>56</v>
      </c>
      <c r="F57" s="153" t="s">
        <v>72</v>
      </c>
      <c r="G57" s="155" t="str">
        <f>VLOOKUP(A57,Plano_V3!$A$27:$G$583,7,0)</f>
        <v>1. Concluído</v>
      </c>
      <c r="H57" s="155" t="s">
        <v>477</v>
      </c>
      <c r="I57" s="164"/>
      <c r="J57" s="175" t="str">
        <f>IF(VLOOKUP(A57,'Aux - pivots1'!$A:$E,3,0)=0, "",VLOOKUP(A57,'Aux - pivots1'!$A:$E,3,0))</f>
        <v/>
      </c>
      <c r="K57" s="175" t="str">
        <f>IF(VLOOKUP(A57,'Aux - pivots1'!$A:$E,4,0)=0, "",VLOOKUP(A57,'Aux - pivots1'!$A:$E,4,0))</f>
        <v/>
      </c>
      <c r="L57" s="175" t="str">
        <f>IF(VLOOKUP(A57,'Aux - pivots1'!$A:$E,5,0)=0, "",VLOOKUP(A57,'Aux - pivots1'!$A:$E,5,0))</f>
        <v/>
      </c>
      <c r="M57" s="202"/>
    </row>
    <row r="58" spans="1:13" ht="16.2">
      <c r="A58" s="31" t="str">
        <f t="shared" si="0"/>
        <v>cd_imv_out_trz_cred_prcref_date</v>
      </c>
      <c r="B58" s="162" t="s">
        <v>28</v>
      </c>
      <c r="C58" s="157" t="s">
        <v>54</v>
      </c>
      <c r="D58" s="153" t="s">
        <v>40</v>
      </c>
      <c r="E58" s="154" t="s">
        <v>56</v>
      </c>
      <c r="F58" s="153" t="s">
        <v>73</v>
      </c>
      <c r="G58" s="155" t="str">
        <f>VLOOKUP(A58,Plano_V3!$A$27:$G$583,7,0)</f>
        <v>1. Concluído</v>
      </c>
      <c r="H58" s="155" t="s">
        <v>477</v>
      </c>
      <c r="I58" s="164"/>
      <c r="J58" s="175" t="str">
        <f>IF(VLOOKUP(A58,'Aux - pivots1'!$A:$E,3,0)=0, "",VLOOKUP(A58,'Aux - pivots1'!$A:$E,3,0))</f>
        <v/>
      </c>
      <c r="K58" s="175" t="str">
        <f>IF(VLOOKUP(A58,'Aux - pivots1'!$A:$E,4,0)=0, "",VLOOKUP(A58,'Aux - pivots1'!$A:$E,4,0))</f>
        <v/>
      </c>
      <c r="L58" s="175" t="str">
        <f>IF(VLOOKUP(A58,'Aux - pivots1'!$A:$E,5,0)=0, "",VLOOKUP(A58,'Aux - pivots1'!$A:$E,5,0))</f>
        <v/>
      </c>
      <c r="M58" s="202"/>
    </row>
    <row r="59" spans="1:13" ht="16.2">
      <c r="A59" s="31" t="str">
        <f t="shared" si="0"/>
        <v>cd_imv_out_trz_prc_bens_imvn.a.</v>
      </c>
      <c r="B59" s="162" t="s">
        <v>28</v>
      </c>
      <c r="C59" s="157" t="s">
        <v>54</v>
      </c>
      <c r="D59" s="153" t="s">
        <v>36</v>
      </c>
      <c r="E59" s="154" t="s">
        <v>86</v>
      </c>
      <c r="F59" s="153" t="s">
        <v>38</v>
      </c>
      <c r="G59" s="155" t="str">
        <f>VLOOKUP(A59,Plano_V3!$A$27:$G$583,7,0)</f>
        <v>1. Concluído</v>
      </c>
      <c r="H59" s="155" t="s">
        <v>477</v>
      </c>
      <c r="I59" s="164"/>
      <c r="J59" s="175" t="str">
        <f>IF(VLOOKUP(A59,'Aux - pivots1'!$A:$E,3,0)=0, "",VLOOKUP(A59,'Aux - pivots1'!$A:$E,3,0))</f>
        <v/>
      </c>
      <c r="K59" s="175" t="str">
        <f>IF(VLOOKUP(A59,'Aux - pivots1'!$A:$E,4,0)=0, "",VLOOKUP(A59,'Aux - pivots1'!$A:$E,4,0))</f>
        <v/>
      </c>
      <c r="L59" s="175" t="str">
        <f>IF(VLOOKUP(A59,'Aux - pivots1'!$A:$E,5,0)=0, "",VLOOKUP(A59,'Aux - pivots1'!$A:$E,5,0))</f>
        <v/>
      </c>
      <c r="M59" s="202"/>
    </row>
    <row r="60" spans="1:13" ht="16.2">
      <c r="A60" s="31" t="str">
        <f t="shared" si="0"/>
        <v>cd_imv_out_trz_prc_bens_imvcempbem</v>
      </c>
      <c r="B60" s="162" t="s">
        <v>28</v>
      </c>
      <c r="C60" s="157" t="s">
        <v>54</v>
      </c>
      <c r="D60" s="153" t="s">
        <v>40</v>
      </c>
      <c r="E60" s="154" t="s">
        <v>86</v>
      </c>
      <c r="F60" s="153" t="s">
        <v>41</v>
      </c>
      <c r="G60" s="155" t="str">
        <f>VLOOKUP(A60,Plano_V3!$A$27:$G$583,7,0)</f>
        <v>1. Concluído</v>
      </c>
      <c r="H60" s="155" t="s">
        <v>477</v>
      </c>
      <c r="I60" s="179"/>
      <c r="J60" s="175" t="str">
        <f>IF(VLOOKUP(A60,'Aux - pivots1'!$A:$E,3,0)=0, "",VLOOKUP(A60,'Aux - pivots1'!$A:$E,3,0))</f>
        <v/>
      </c>
      <c r="K60" s="175" t="str">
        <f>IF(VLOOKUP(A60,'Aux - pivots1'!$A:$E,4,0)=0, "",VLOOKUP(A60,'Aux - pivots1'!$A:$E,4,0))</f>
        <v/>
      </c>
      <c r="L60" s="175" t="str">
        <f>IF(VLOOKUP(A60,'Aux - pivots1'!$A:$E,5,0)=0, "",VLOOKUP(A60,'Aux - pivots1'!$A:$E,5,0))</f>
        <v/>
      </c>
      <c r="M60" s="202"/>
    </row>
    <row r="61" spans="1:13" ht="16.2">
      <c r="A61" s="31" t="str">
        <f t="shared" si="0"/>
        <v>cd_imv_out_trz_prc_bens_imvcempresa</v>
      </c>
      <c r="B61" s="162" t="s">
        <v>28</v>
      </c>
      <c r="C61" s="157" t="s">
        <v>54</v>
      </c>
      <c r="D61" s="153" t="s">
        <v>40</v>
      </c>
      <c r="E61" s="154" t="s">
        <v>86</v>
      </c>
      <c r="F61" s="153" t="s">
        <v>57</v>
      </c>
      <c r="G61" s="155" t="str">
        <f>VLOOKUP(A61,Plano_V3!$A$27:$G$583,7,0)</f>
        <v>1. Concluído</v>
      </c>
      <c r="H61" s="155" t="s">
        <v>477</v>
      </c>
      <c r="I61" s="179" t="s">
        <v>498</v>
      </c>
      <c r="J61" s="175" t="str">
        <f>IF(VLOOKUP(A61,'Aux - pivots1'!$A:$E,3,0)=0, "",VLOOKUP(A61,'Aux - pivots1'!$A:$E,3,0))</f>
        <v/>
      </c>
      <c r="K61" s="175" t="str">
        <f>IF(VLOOKUP(A61,'Aux - pivots1'!$A:$E,4,0)=0, "",VLOOKUP(A61,'Aux - pivots1'!$A:$E,4,0))</f>
        <v/>
      </c>
      <c r="L61" s="175" t="str">
        <f>IF(VLOOKUP(A61,'Aux - pivots1'!$A:$E,5,0)=0, "",VLOOKUP(A61,'Aux - pivots1'!$A:$E,5,0))</f>
        <v/>
      </c>
      <c r="M61" s="202"/>
    </row>
    <row r="62" spans="1:13" ht="16.2">
      <c r="A62" s="31" t="str">
        <f t="shared" si="0"/>
        <v>cd_imv_out_trz_prc_bens_imvckbalbem</v>
      </c>
      <c r="B62" s="162" t="s">
        <v>28</v>
      </c>
      <c r="C62" s="157" t="s">
        <v>54</v>
      </c>
      <c r="D62" s="153" t="s">
        <v>40</v>
      </c>
      <c r="E62" s="154" t="s">
        <v>86</v>
      </c>
      <c r="F62" s="153" t="s">
        <v>43</v>
      </c>
      <c r="G62" s="155" t="str">
        <f>VLOOKUP(A62,Plano_V3!$A$27:$G$583,7,0)</f>
        <v>1. Concluído</v>
      </c>
      <c r="H62" s="155" t="s">
        <v>477</v>
      </c>
      <c r="I62" s="179" t="s">
        <v>498</v>
      </c>
      <c r="J62" s="175" t="str">
        <f>IF(VLOOKUP(A62,'Aux - pivots1'!$A:$E,3,0)=0, "",VLOOKUP(A62,'Aux - pivots1'!$A:$E,3,0))</f>
        <v/>
      </c>
      <c r="K62" s="175" t="str">
        <f>IF(VLOOKUP(A62,'Aux - pivots1'!$A:$E,4,0)=0, "",VLOOKUP(A62,'Aux - pivots1'!$A:$E,4,0))</f>
        <v/>
      </c>
      <c r="L62" s="175" t="str">
        <f>IF(VLOOKUP(A62,'Aux - pivots1'!$A:$E,5,0)=0, "",VLOOKUP(A62,'Aux - pivots1'!$A:$E,5,0))</f>
        <v/>
      </c>
      <c r="M62" s="202"/>
    </row>
    <row r="63" spans="1:13" ht="16.2">
      <c r="A63" s="31" t="str">
        <f t="shared" si="0"/>
        <v>cd_imv_out_trz_prc_bens_imvckbalcao</v>
      </c>
      <c r="B63" s="162" t="s">
        <v>28</v>
      </c>
      <c r="C63" s="157" t="s">
        <v>54</v>
      </c>
      <c r="D63" s="153" t="s">
        <v>40</v>
      </c>
      <c r="E63" s="154" t="s">
        <v>86</v>
      </c>
      <c r="F63" s="153" t="s">
        <v>58</v>
      </c>
      <c r="G63" s="155" t="str">
        <f>VLOOKUP(A63,Plano_V3!$A$27:$G$583,7,0)</f>
        <v>1. Concluído</v>
      </c>
      <c r="H63" s="155" t="s">
        <v>477</v>
      </c>
      <c r="I63" s="179" t="s">
        <v>498</v>
      </c>
      <c r="J63" s="175" t="str">
        <f>IF(VLOOKUP(A63,'Aux - pivots1'!$A:$E,3,0)=0, "",VLOOKUP(A63,'Aux - pivots1'!$A:$E,3,0))</f>
        <v/>
      </c>
      <c r="K63" s="175" t="str">
        <f>IF(VLOOKUP(A63,'Aux - pivots1'!$A:$E,4,0)=0, "",VLOOKUP(A63,'Aux - pivots1'!$A:$E,4,0))</f>
        <v/>
      </c>
      <c r="L63" s="175" t="str">
        <f>IF(VLOOKUP(A63,'Aux - pivots1'!$A:$E,5,0)=0, "",VLOOKUP(A63,'Aux - pivots1'!$A:$E,5,0))</f>
        <v/>
      </c>
      <c r="M63" s="202"/>
    </row>
    <row r="64" spans="1:13" ht="16.2">
      <c r="A64" s="31" t="str">
        <f t="shared" si="0"/>
        <v>cd_imv_out_trz_prc_bens_imvckctabem</v>
      </c>
      <c r="B64" s="162" t="s">
        <v>28</v>
      </c>
      <c r="C64" s="157" t="s">
        <v>54</v>
      </c>
      <c r="D64" s="153" t="s">
        <v>40</v>
      </c>
      <c r="E64" s="154" t="s">
        <v>86</v>
      </c>
      <c r="F64" s="153" t="s">
        <v>44</v>
      </c>
      <c r="G64" s="155" t="str">
        <f>VLOOKUP(A64,Plano_V3!$A$27:$G$583,7,0)</f>
        <v>1. Concluído</v>
      </c>
      <c r="H64" s="155" t="s">
        <v>477</v>
      </c>
      <c r="I64" s="179" t="s">
        <v>498</v>
      </c>
      <c r="J64" s="175" t="str">
        <f>IF(VLOOKUP(A64,'Aux - pivots1'!$A:$E,3,0)=0, "",VLOOKUP(A64,'Aux - pivots1'!$A:$E,3,0))</f>
        <v/>
      </c>
      <c r="K64" s="175" t="str">
        <f>IF(VLOOKUP(A64,'Aux - pivots1'!$A:$E,4,0)=0, "",VLOOKUP(A64,'Aux - pivots1'!$A:$E,4,0))</f>
        <v/>
      </c>
      <c r="L64" s="175" t="str">
        <f>IF(VLOOKUP(A64,'Aux - pivots1'!$A:$E,5,0)=0, "",VLOOKUP(A64,'Aux - pivots1'!$A:$E,5,0))</f>
        <v/>
      </c>
      <c r="M64" s="202"/>
    </row>
    <row r="65" spans="1:13" ht="16.2">
      <c r="A65" s="31" t="str">
        <f t="shared" si="0"/>
        <v>cd_imv_out_trz_prc_bens_imvcknumcta</v>
      </c>
      <c r="B65" s="162" t="s">
        <v>28</v>
      </c>
      <c r="C65" s="157" t="s">
        <v>54</v>
      </c>
      <c r="D65" s="153" t="s">
        <v>40</v>
      </c>
      <c r="E65" s="154" t="s">
        <v>86</v>
      </c>
      <c r="F65" s="153" t="s">
        <v>59</v>
      </c>
      <c r="G65" s="155" t="str">
        <f>VLOOKUP(A65,Plano_V3!$A$27:$G$583,7,0)</f>
        <v>1. Concluído</v>
      </c>
      <c r="H65" s="155" t="s">
        <v>477</v>
      </c>
      <c r="I65" s="179" t="s">
        <v>498</v>
      </c>
      <c r="J65" s="175" t="str">
        <f>IF(VLOOKUP(A65,'Aux - pivots1'!$A:$E,3,0)=0, "",VLOOKUP(A65,'Aux - pivots1'!$A:$E,3,0))</f>
        <v/>
      </c>
      <c r="K65" s="175" t="str">
        <f>IF(VLOOKUP(A65,'Aux - pivots1'!$A:$E,4,0)=0, "",VLOOKUP(A65,'Aux - pivots1'!$A:$E,4,0))</f>
        <v/>
      </c>
      <c r="L65" s="175" t="str">
        <f>IF(VLOOKUP(A65,'Aux - pivots1'!$A:$E,5,0)=0, "",VLOOKUP(A65,'Aux - pivots1'!$A:$E,5,0))</f>
        <v/>
      </c>
      <c r="M65" s="202"/>
    </row>
    <row r="66" spans="1:13" ht="16.2">
      <c r="A66" s="31" t="str">
        <f t="shared" si="0"/>
        <v>cd_imv_out_trz_prc_bens_imvckrefbem</v>
      </c>
      <c r="B66" s="162" t="s">
        <v>28</v>
      </c>
      <c r="C66" s="157" t="s">
        <v>54</v>
      </c>
      <c r="D66" s="153" t="s">
        <v>40</v>
      </c>
      <c r="E66" s="154" t="s">
        <v>86</v>
      </c>
      <c r="F66" s="153" t="s">
        <v>45</v>
      </c>
      <c r="G66" s="155" t="str">
        <f>VLOOKUP(A66,Plano_V3!$A$27:$G$583,7,0)</f>
        <v>1. Concluído</v>
      </c>
      <c r="H66" s="155" t="s">
        <v>477</v>
      </c>
      <c r="I66" s="179"/>
      <c r="J66" s="175" t="str">
        <f>IF(VLOOKUP(A66,'Aux - pivots1'!$A:$E,3,0)=0, "",VLOOKUP(A66,'Aux - pivots1'!$A:$E,3,0))</f>
        <v/>
      </c>
      <c r="K66" s="175" t="str">
        <f>IF(VLOOKUP(A66,'Aux - pivots1'!$A:$E,4,0)=0, "",VLOOKUP(A66,'Aux - pivots1'!$A:$E,4,0))</f>
        <v/>
      </c>
      <c r="L66" s="175" t="str">
        <f>IF(VLOOKUP(A66,'Aux - pivots1'!$A:$E,5,0)=0, "",VLOOKUP(A66,'Aux - pivots1'!$A:$E,5,0))</f>
        <v/>
      </c>
      <c r="M66" s="202"/>
    </row>
    <row r="67" spans="1:13" ht="16.2">
      <c r="A67" s="31" t="str">
        <f t="shared" si="0"/>
        <v>cd_imv_out_trz_prc_bens_imvcomp_id_gar</v>
      </c>
      <c r="B67" s="162" t="s">
        <v>28</v>
      </c>
      <c r="C67" s="157" t="s">
        <v>54</v>
      </c>
      <c r="D67" s="153" t="s">
        <v>40</v>
      </c>
      <c r="E67" s="154" t="s">
        <v>86</v>
      </c>
      <c r="F67" s="153" t="s">
        <v>67</v>
      </c>
      <c r="G67" s="155" t="str">
        <f>VLOOKUP(A67,Plano_V3!$A$27:$G$583,7,0)</f>
        <v>1. Concluído</v>
      </c>
      <c r="H67" s="155" t="s">
        <v>477</v>
      </c>
      <c r="I67" s="164"/>
      <c r="J67" s="175" t="str">
        <f>IF(VLOOKUP(A67,'Aux - pivots1'!$A:$E,3,0)=0, "",VLOOKUP(A67,'Aux - pivots1'!$A:$E,3,0))</f>
        <v/>
      </c>
      <c r="K67" s="175" t="str">
        <f>IF(VLOOKUP(A67,'Aux - pivots1'!$A:$E,4,0)=0, "",VLOOKUP(A67,'Aux - pivots1'!$A:$E,4,0))</f>
        <v/>
      </c>
      <c r="L67" s="175" t="str">
        <f>IF(VLOOKUP(A67,'Aux - pivots1'!$A:$E,5,0)=0, "",VLOOKUP(A67,'Aux - pivots1'!$A:$E,5,0))</f>
        <v/>
      </c>
      <c r="M67" s="202"/>
    </row>
    <row r="68" spans="1:13" ht="16.2">
      <c r="A68" s="31" t="str">
        <f t="shared" si="0"/>
        <v>cd_imv_out_trz_prc_bens_imvdata_assc</v>
      </c>
      <c r="B68" s="162" t="s">
        <v>28</v>
      </c>
      <c r="C68" s="157" t="s">
        <v>54</v>
      </c>
      <c r="D68" s="153" t="s">
        <v>40</v>
      </c>
      <c r="E68" s="154" t="s">
        <v>86</v>
      </c>
      <c r="F68" s="153" t="s">
        <v>87</v>
      </c>
      <c r="G68" s="155" t="str">
        <f>VLOOKUP(A68,Plano_V3!$A$27:$G$583,7,0)</f>
        <v>0. Cancelado</v>
      </c>
      <c r="H68" s="155" t="s">
        <v>476</v>
      </c>
      <c r="I68" s="164" t="s">
        <v>499</v>
      </c>
      <c r="J68" s="175" t="str">
        <f>IF(VLOOKUP(A68,'Aux - pivots1'!$A:$E,3,0)=0, "",VLOOKUP(A68,'Aux - pivots1'!$A:$E,3,0))</f>
        <v/>
      </c>
      <c r="K68" s="175" t="str">
        <f>IF(VLOOKUP(A68,'Aux - pivots1'!$A:$E,4,0)=0, "",VLOOKUP(A68,'Aux - pivots1'!$A:$E,4,0))</f>
        <v/>
      </c>
      <c r="L68" s="175" t="str">
        <f>IF(VLOOKUP(A68,'Aux - pivots1'!$A:$E,5,0)=0, "",VLOOKUP(A68,'Aux - pivots1'!$A:$E,5,0))</f>
        <v/>
      </c>
      <c r="M68" s="202"/>
    </row>
    <row r="69" spans="1:13" ht="16.2">
      <c r="A69" s="31" t="str">
        <f t="shared" si="0"/>
        <v>cd_imv_out_trz_prc_bens_imvflg_adj</v>
      </c>
      <c r="B69" s="162" t="s">
        <v>28</v>
      </c>
      <c r="C69" s="157" t="s">
        <v>54</v>
      </c>
      <c r="D69" s="153" t="s">
        <v>40</v>
      </c>
      <c r="E69" s="154" t="s">
        <v>86</v>
      </c>
      <c r="F69" s="153" t="s">
        <v>88</v>
      </c>
      <c r="G69" s="155" t="str">
        <f>VLOOKUP(A69,Plano_V3!$A$27:$G$583,7,0)</f>
        <v>1. Concluído</v>
      </c>
      <c r="H69" s="155" t="s">
        <v>477</v>
      </c>
      <c r="I69" s="179"/>
      <c r="J69" s="175" t="str">
        <f>IF(VLOOKUP(A69,'Aux - pivots1'!$A:$E,3,0)=0, "",VLOOKUP(A69,'Aux - pivots1'!$A:$E,3,0))</f>
        <v/>
      </c>
      <c r="K69" s="175" t="str">
        <f>IF(VLOOKUP(A69,'Aux - pivots1'!$A:$E,4,0)=0, "",VLOOKUP(A69,'Aux - pivots1'!$A:$E,4,0))</f>
        <v/>
      </c>
      <c r="L69" s="175" t="str">
        <f>IF(VLOOKUP(A69,'Aux - pivots1'!$A:$E,5,0)=0, "",VLOOKUP(A69,'Aux - pivots1'!$A:$E,5,0))</f>
        <v/>
      </c>
      <c r="M69" s="202"/>
    </row>
    <row r="70" spans="1:13" ht="16.2">
      <c r="A70" s="31" t="str">
        <f t="shared" si="0"/>
        <v>cd_imv_out_trz_prc_bens_imvflg_col</v>
      </c>
      <c r="B70" s="162" t="s">
        <v>28</v>
      </c>
      <c r="C70" s="157" t="s">
        <v>54</v>
      </c>
      <c r="D70" s="153" t="s">
        <v>40</v>
      </c>
      <c r="E70" s="154" t="s">
        <v>86</v>
      </c>
      <c r="F70" s="153" t="s">
        <v>89</v>
      </c>
      <c r="G70" s="155" t="str">
        <f>VLOOKUP(A70,Plano_V3!$A$27:$G$583,7,0)</f>
        <v>1. Concluído</v>
      </c>
      <c r="H70" s="155" t="s">
        <v>477</v>
      </c>
      <c r="I70" s="179"/>
      <c r="J70" s="175" t="str">
        <f>IF(VLOOKUP(A70,'Aux - pivots1'!$A:$E,3,0)=0, "",VLOOKUP(A70,'Aux - pivots1'!$A:$E,3,0))</f>
        <v/>
      </c>
      <c r="K70" s="175" t="str">
        <f>IF(VLOOKUP(A70,'Aux - pivots1'!$A:$E,4,0)=0, "",VLOOKUP(A70,'Aux - pivots1'!$A:$E,4,0))</f>
        <v/>
      </c>
      <c r="L70" s="175" t="str">
        <f>IF(VLOOKUP(A70,'Aux - pivots1'!$A:$E,5,0)=0, "",VLOOKUP(A70,'Aux - pivots1'!$A:$E,5,0))</f>
        <v/>
      </c>
      <c r="M70" s="202"/>
    </row>
    <row r="71" spans="1:13" ht="16.2">
      <c r="A71" s="31" t="str">
        <f t="shared" si="0"/>
        <v>cd_imv_out_trz_prc_bens_imvflg_fin</v>
      </c>
      <c r="B71" s="162" t="s">
        <v>28</v>
      </c>
      <c r="C71" s="157" t="s">
        <v>54</v>
      </c>
      <c r="D71" s="153" t="s">
        <v>40</v>
      </c>
      <c r="E71" s="154" t="s">
        <v>86</v>
      </c>
      <c r="F71" s="153" t="s">
        <v>90</v>
      </c>
      <c r="G71" s="155" t="str">
        <f>VLOOKUP(A71,Plano_V3!$A$27:$G$583,7,0)</f>
        <v>1. Concluído</v>
      </c>
      <c r="H71" s="155" t="s">
        <v>477</v>
      </c>
      <c r="I71" s="179"/>
      <c r="J71" s="175" t="str">
        <f>IF(VLOOKUP(A71,'Aux - pivots1'!$A:$E,3,0)=0, "",VLOOKUP(A71,'Aux - pivots1'!$A:$E,3,0))</f>
        <v/>
      </c>
      <c r="K71" s="175" t="str">
        <f>IF(VLOOKUP(A71,'Aux - pivots1'!$A:$E,4,0)=0, "",VLOOKUP(A71,'Aux - pivots1'!$A:$E,4,0))</f>
        <v/>
      </c>
      <c r="L71" s="175" t="str">
        <f>IF(VLOOKUP(A71,'Aux - pivots1'!$A:$E,5,0)=0, "",VLOOKUP(A71,'Aux - pivots1'!$A:$E,5,0))</f>
        <v/>
      </c>
      <c r="M71" s="202"/>
    </row>
    <row r="72" spans="1:13" ht="16.2">
      <c r="A72" s="31" t="str">
        <f t="shared" ref="A72:A135" si="1">E72&amp;F72</f>
        <v>cd_imv_out_trz_prc_bens_imvflg_pro</v>
      </c>
      <c r="B72" s="162" t="s">
        <v>28</v>
      </c>
      <c r="C72" s="157" t="s">
        <v>54</v>
      </c>
      <c r="D72" s="153" t="s">
        <v>40</v>
      </c>
      <c r="E72" s="154" t="s">
        <v>86</v>
      </c>
      <c r="F72" s="153" t="s">
        <v>91</v>
      </c>
      <c r="G72" s="155" t="str">
        <f>VLOOKUP(A72,Plano_V3!$A$27:$G$583,7,0)</f>
        <v>1. Concluído</v>
      </c>
      <c r="H72" s="155" t="s">
        <v>477</v>
      </c>
      <c r="I72" s="179"/>
      <c r="J72" s="175" t="str">
        <f>IF(VLOOKUP(A72,'Aux - pivots1'!$A:$E,3,0)=0, "",VLOOKUP(A72,'Aux - pivots1'!$A:$E,3,0))</f>
        <v/>
      </c>
      <c r="K72" s="175" t="str">
        <f>IF(VLOOKUP(A72,'Aux - pivots1'!$A:$E,4,0)=0, "",VLOOKUP(A72,'Aux - pivots1'!$A:$E,4,0))</f>
        <v/>
      </c>
      <c r="L72" s="175" t="str">
        <f>IF(VLOOKUP(A72,'Aux - pivots1'!$A:$E,5,0)=0, "",VLOOKUP(A72,'Aux - pivots1'!$A:$E,5,0))</f>
        <v/>
      </c>
      <c r="M72" s="202"/>
    </row>
    <row r="73" spans="1:13" ht="16.2">
      <c r="A73" s="31" t="str">
        <f t="shared" si="1"/>
        <v>cd_imv_out_trz_prc_bens_imvorigem</v>
      </c>
      <c r="B73" s="162" t="s">
        <v>28</v>
      </c>
      <c r="C73" s="157" t="s">
        <v>54</v>
      </c>
      <c r="D73" s="153" t="s">
        <v>40</v>
      </c>
      <c r="E73" s="154" t="s">
        <v>86</v>
      </c>
      <c r="F73" s="153" t="s">
        <v>72</v>
      </c>
      <c r="G73" s="155" t="str">
        <f>VLOOKUP(A73,Plano_V3!$A$27:$G$583,7,0)</f>
        <v>1. Concluído</v>
      </c>
      <c r="H73" s="155" t="s">
        <v>477</v>
      </c>
      <c r="I73" s="179"/>
      <c r="J73" s="175" t="str">
        <f>IF(VLOOKUP(A73,'Aux - pivots1'!$A:$E,3,0)=0, "",VLOOKUP(A73,'Aux - pivots1'!$A:$E,3,0))</f>
        <v/>
      </c>
      <c r="K73" s="175" t="str">
        <f>IF(VLOOKUP(A73,'Aux - pivots1'!$A:$E,4,0)=0, "",VLOOKUP(A73,'Aux - pivots1'!$A:$E,4,0))</f>
        <v/>
      </c>
      <c r="L73" s="175" t="str">
        <f>IF(VLOOKUP(A73,'Aux - pivots1'!$A:$E,5,0)=0, "",VLOOKUP(A73,'Aux - pivots1'!$A:$E,5,0))</f>
        <v/>
      </c>
      <c r="M73" s="202"/>
    </row>
    <row r="74" spans="1:13" ht="16.2">
      <c r="A74" s="31" t="str">
        <f t="shared" si="1"/>
        <v>cd_imv_out_trz_prc_bens_imvref_date</v>
      </c>
      <c r="B74" s="162" t="s">
        <v>28</v>
      </c>
      <c r="C74" s="157" t="s">
        <v>54</v>
      </c>
      <c r="D74" s="153" t="s">
        <v>40</v>
      </c>
      <c r="E74" s="154" t="s">
        <v>86</v>
      </c>
      <c r="F74" s="153" t="s">
        <v>73</v>
      </c>
      <c r="G74" s="155" t="str">
        <f>VLOOKUP(A74,Plano_V3!$A$27:$G$583,7,0)</f>
        <v>1. Concluído</v>
      </c>
      <c r="H74" s="155" t="s">
        <v>477</v>
      </c>
      <c r="I74" s="179"/>
      <c r="J74" s="175" t="str">
        <f>IF(VLOOKUP(A74,'Aux - pivots1'!$A:$E,3,0)=0, "",VLOOKUP(A74,'Aux - pivots1'!$A:$E,3,0))</f>
        <v/>
      </c>
      <c r="K74" s="175" t="str">
        <f>IF(VLOOKUP(A74,'Aux - pivots1'!$A:$E,4,0)=0, "",VLOOKUP(A74,'Aux - pivots1'!$A:$E,4,0))</f>
        <v/>
      </c>
      <c r="L74" s="175" t="str">
        <f>IF(VLOOKUP(A74,'Aux - pivots1'!$A:$E,5,0)=0, "",VLOOKUP(A74,'Aux - pivots1'!$A:$E,5,0))</f>
        <v/>
      </c>
      <c r="M74" s="202"/>
    </row>
    <row r="75" spans="1:13" ht="16.2">
      <c r="A75" s="31" t="str">
        <f t="shared" si="1"/>
        <v>cd_imv_out_bensn.a.</v>
      </c>
      <c r="B75" s="162" t="s">
        <v>28</v>
      </c>
      <c r="C75" s="157" t="s">
        <v>54</v>
      </c>
      <c r="D75" s="153" t="s">
        <v>36</v>
      </c>
      <c r="E75" s="154" t="s">
        <v>92</v>
      </c>
      <c r="F75" s="153" t="s">
        <v>38</v>
      </c>
      <c r="G75" s="155" t="str">
        <f>VLOOKUP(A75,Plano_V3!$A$27:$G$583,7,0)</f>
        <v>1. Concluído</v>
      </c>
      <c r="H75" s="155" t="s">
        <v>477</v>
      </c>
      <c r="I75" s="164"/>
      <c r="J75" s="175" t="str">
        <f>IF(VLOOKUP(A75,'Aux - pivots1'!$A:$E,3,0)=0, "",VLOOKUP(A75,'Aux - pivots1'!$A:$E,3,0))</f>
        <v/>
      </c>
      <c r="K75" s="175" t="str">
        <f>IF(VLOOKUP(A75,'Aux - pivots1'!$A:$E,4,0)=0, "",VLOOKUP(A75,'Aux - pivots1'!$A:$E,4,0))</f>
        <v/>
      </c>
      <c r="L75" s="175" t="str">
        <f>IF(VLOOKUP(A75,'Aux - pivots1'!$A:$E,5,0)=0, "",VLOOKUP(A75,'Aux - pivots1'!$A:$E,5,0))</f>
        <v/>
      </c>
      <c r="M75" s="202"/>
    </row>
    <row r="76" spans="1:13" ht="16.2">
      <c r="A76" s="31" t="str">
        <f t="shared" si="1"/>
        <v>cd_imv_out_bensano_construcao</v>
      </c>
      <c r="B76" s="162" t="s">
        <v>28</v>
      </c>
      <c r="C76" s="157" t="s">
        <v>54</v>
      </c>
      <c r="D76" s="153" t="s">
        <v>40</v>
      </c>
      <c r="E76" s="154" t="s">
        <v>92</v>
      </c>
      <c r="F76" s="153" t="s">
        <v>94</v>
      </c>
      <c r="G76" s="155" t="str">
        <f>VLOOKUP(A76,Plano_V3!$A$27:$G$583,7,0)</f>
        <v>1. Concluído</v>
      </c>
      <c r="H76" s="155" t="s">
        <v>477</v>
      </c>
      <c r="I76" s="164"/>
      <c r="J76" s="175" t="str">
        <f>IF(VLOOKUP(A76,'Aux - pivots1'!$A:$E,3,0)=0, "",VLOOKUP(A76,'Aux - pivots1'!$A:$E,3,0))</f>
        <v/>
      </c>
      <c r="K76" s="175" t="str">
        <f>IF(VLOOKUP(A76,'Aux - pivots1'!$A:$E,4,0)=0, "",VLOOKUP(A76,'Aux - pivots1'!$A:$E,4,0))</f>
        <v/>
      </c>
      <c r="L76" s="175" t="str">
        <f>IF(VLOOKUP(A76,'Aux - pivots1'!$A:$E,5,0)=0, "",VLOOKUP(A76,'Aux - pivots1'!$A:$E,5,0))</f>
        <v/>
      </c>
      <c r="M76" s="202"/>
    </row>
    <row r="77" spans="1:13" ht="16.2">
      <c r="A77" s="31" t="str">
        <f t="shared" si="1"/>
        <v>cd_imv_out_bensarea_util</v>
      </c>
      <c r="B77" s="162" t="s">
        <v>28</v>
      </c>
      <c r="C77" s="157" t="s">
        <v>54</v>
      </c>
      <c r="D77" s="153" t="s">
        <v>40</v>
      </c>
      <c r="E77" s="154" t="s">
        <v>92</v>
      </c>
      <c r="F77" s="153" t="s">
        <v>95</v>
      </c>
      <c r="G77" s="155" t="str">
        <f>VLOOKUP(A77,Plano_V3!$A$27:$G$583,7,0)</f>
        <v>1. Concluído</v>
      </c>
      <c r="H77" s="155" t="s">
        <v>477</v>
      </c>
      <c r="I77" s="164"/>
      <c r="J77" s="175" t="str">
        <f>IF(VLOOKUP(A77,'Aux - pivots1'!$A:$E,3,0)=0, "",VLOOKUP(A77,'Aux - pivots1'!$A:$E,3,0))</f>
        <v/>
      </c>
      <c r="K77" s="175" t="str">
        <f>IF(VLOOKUP(A77,'Aux - pivots1'!$A:$E,4,0)=0, "",VLOOKUP(A77,'Aux - pivots1'!$A:$E,4,0))</f>
        <v/>
      </c>
      <c r="L77" s="175" t="str">
        <f>IF(VLOOKUP(A77,'Aux - pivots1'!$A:$E,5,0)=0, "",VLOOKUP(A77,'Aux - pivots1'!$A:$E,5,0))</f>
        <v/>
      </c>
      <c r="M77" s="202"/>
    </row>
    <row r="78" spans="1:13" ht="16.2">
      <c r="A78" s="31" t="str">
        <f t="shared" si="1"/>
        <v>cd_imv_out_benscempbem</v>
      </c>
      <c r="B78" s="162" t="s">
        <v>28</v>
      </c>
      <c r="C78" s="157" t="s">
        <v>54</v>
      </c>
      <c r="D78" s="153" t="s">
        <v>40</v>
      </c>
      <c r="E78" s="154" t="s">
        <v>92</v>
      </c>
      <c r="F78" s="153" t="s">
        <v>41</v>
      </c>
      <c r="G78" s="155" t="str">
        <f>VLOOKUP(A78,Plano_V3!$A$27:$G$583,7,0)</f>
        <v>1. Concluído</v>
      </c>
      <c r="H78" s="155" t="s">
        <v>477</v>
      </c>
      <c r="I78" s="179"/>
      <c r="J78" s="175" t="str">
        <f>IF(VLOOKUP(A78,'Aux - pivots1'!$A:$E,3,0)=0, "",VLOOKUP(A78,'Aux - pivots1'!$A:$E,3,0))</f>
        <v/>
      </c>
      <c r="K78" s="175" t="str">
        <f>IF(VLOOKUP(A78,'Aux - pivots1'!$A:$E,4,0)=0, "",VLOOKUP(A78,'Aux - pivots1'!$A:$E,4,0))</f>
        <v/>
      </c>
      <c r="L78" s="175" t="str">
        <f>IF(VLOOKUP(A78,'Aux - pivots1'!$A:$E,5,0)=0, "",VLOOKUP(A78,'Aux - pivots1'!$A:$E,5,0))</f>
        <v/>
      </c>
      <c r="M78" s="202"/>
    </row>
    <row r="79" spans="1:13" ht="16.2">
      <c r="A79" s="31" t="str">
        <f t="shared" si="1"/>
        <v>cd_imv_out_bensckbalbem</v>
      </c>
      <c r="B79" s="162" t="s">
        <v>28</v>
      </c>
      <c r="C79" s="157" t="s">
        <v>54</v>
      </c>
      <c r="D79" s="153" t="s">
        <v>40</v>
      </c>
      <c r="E79" s="154" t="s">
        <v>92</v>
      </c>
      <c r="F79" s="153" t="s">
        <v>43</v>
      </c>
      <c r="G79" s="155" t="str">
        <f>VLOOKUP(A79,Plano_V3!$A$27:$G$583,7,0)</f>
        <v>1. Concluído</v>
      </c>
      <c r="H79" s="155" t="s">
        <v>477</v>
      </c>
      <c r="I79" s="179"/>
      <c r="J79" s="175" t="str">
        <f>IF(VLOOKUP(A79,'Aux - pivots1'!$A:$E,3,0)=0, "",VLOOKUP(A79,'Aux - pivots1'!$A:$E,3,0))</f>
        <v/>
      </c>
      <c r="K79" s="175" t="str">
        <f>IF(VLOOKUP(A79,'Aux - pivots1'!$A:$E,4,0)=0, "",VLOOKUP(A79,'Aux - pivots1'!$A:$E,4,0))</f>
        <v/>
      </c>
      <c r="L79" s="175" t="str">
        <f>IF(VLOOKUP(A79,'Aux - pivots1'!$A:$E,5,0)=0, "",VLOOKUP(A79,'Aux - pivots1'!$A:$E,5,0))</f>
        <v/>
      </c>
      <c r="M79" s="202"/>
    </row>
    <row r="80" spans="1:13" ht="16.2">
      <c r="A80" s="31" t="str">
        <f t="shared" si="1"/>
        <v>cd_imv_out_bensckctabem</v>
      </c>
      <c r="B80" s="162" t="s">
        <v>28</v>
      </c>
      <c r="C80" s="157" t="s">
        <v>54</v>
      </c>
      <c r="D80" s="153" t="s">
        <v>40</v>
      </c>
      <c r="E80" s="154" t="s">
        <v>92</v>
      </c>
      <c r="F80" s="153" t="s">
        <v>44</v>
      </c>
      <c r="G80" s="155" t="str">
        <f>VLOOKUP(A80,Plano_V3!$A$27:$G$583,7,0)</f>
        <v>1. Concluído</v>
      </c>
      <c r="H80" s="155" t="s">
        <v>477</v>
      </c>
      <c r="I80" s="179"/>
      <c r="J80" s="175" t="str">
        <f>IF(VLOOKUP(A80,'Aux - pivots1'!$A:$E,3,0)=0, "",VLOOKUP(A80,'Aux - pivots1'!$A:$E,3,0))</f>
        <v/>
      </c>
      <c r="K80" s="175" t="str">
        <f>IF(VLOOKUP(A80,'Aux - pivots1'!$A:$E,4,0)=0, "",VLOOKUP(A80,'Aux - pivots1'!$A:$E,4,0))</f>
        <v/>
      </c>
      <c r="L80" s="175" t="str">
        <f>IF(VLOOKUP(A80,'Aux - pivots1'!$A:$E,5,0)=0, "",VLOOKUP(A80,'Aux - pivots1'!$A:$E,5,0))</f>
        <v/>
      </c>
      <c r="M80" s="202"/>
    </row>
    <row r="81" spans="1:13" ht="16.2">
      <c r="A81" s="31" t="str">
        <f t="shared" si="1"/>
        <v>cd_imv_out_bensckrefbem</v>
      </c>
      <c r="B81" s="162" t="s">
        <v>28</v>
      </c>
      <c r="C81" s="157" t="s">
        <v>54</v>
      </c>
      <c r="D81" s="153" t="s">
        <v>40</v>
      </c>
      <c r="E81" s="154" t="s">
        <v>92</v>
      </c>
      <c r="F81" s="153" t="s">
        <v>45</v>
      </c>
      <c r="G81" s="155" t="str">
        <f>VLOOKUP(A81,Plano_V3!$A$27:$G$583,7,0)</f>
        <v>1. Concluído</v>
      </c>
      <c r="H81" s="155" t="s">
        <v>477</v>
      </c>
      <c r="I81" s="179"/>
      <c r="J81" s="175" t="str">
        <f>IF(VLOOKUP(A81,'Aux - pivots1'!$A:$E,3,0)=0, "",VLOOKUP(A81,'Aux - pivots1'!$A:$E,3,0))</f>
        <v/>
      </c>
      <c r="K81" s="175" t="str">
        <f>IF(VLOOKUP(A81,'Aux - pivots1'!$A:$E,4,0)=0, "",VLOOKUP(A81,'Aux - pivots1'!$A:$E,4,0))</f>
        <v/>
      </c>
      <c r="L81" s="175" t="str">
        <f>IF(VLOOKUP(A81,'Aux - pivots1'!$A:$E,5,0)=0, "",VLOOKUP(A81,'Aux - pivots1'!$A:$E,5,0))</f>
        <v/>
      </c>
      <c r="M81" s="202"/>
    </row>
    <row r="82" spans="1:13" ht="16.2">
      <c r="A82" s="31" t="str">
        <f t="shared" si="1"/>
        <v>cd_imv_out_benscod_art_matr</v>
      </c>
      <c r="B82" s="162" t="s">
        <v>28</v>
      </c>
      <c r="C82" s="157" t="s">
        <v>54</v>
      </c>
      <c r="D82" s="153" t="s">
        <v>40</v>
      </c>
      <c r="E82" s="154" t="s">
        <v>92</v>
      </c>
      <c r="F82" s="153" t="s">
        <v>96</v>
      </c>
      <c r="G82" s="155" t="str">
        <f>VLOOKUP(A82,Plano_V3!$A$27:$G$583,7,0)</f>
        <v>1. Concluído</v>
      </c>
      <c r="H82" s="155" t="s">
        <v>477</v>
      </c>
      <c r="I82" s="179"/>
      <c r="J82" s="175" t="str">
        <f>IF(VLOOKUP(A82,'Aux - pivots1'!$A:$E,3,0)=0, "",VLOOKUP(A82,'Aux - pivots1'!$A:$E,3,0))</f>
        <v/>
      </c>
      <c r="K82" s="175" t="str">
        <f>IF(VLOOKUP(A82,'Aux - pivots1'!$A:$E,4,0)=0, "",VLOOKUP(A82,'Aux - pivots1'!$A:$E,4,0))</f>
        <v/>
      </c>
      <c r="L82" s="175" t="str">
        <f>IF(VLOOKUP(A82,'Aux - pivots1'!$A:$E,5,0)=0, "",VLOOKUP(A82,'Aux - pivots1'!$A:$E,5,0))</f>
        <v/>
      </c>
      <c r="M82" s="202"/>
    </row>
    <row r="83" spans="1:13" ht="16.2">
      <c r="A83" s="31" t="str">
        <f t="shared" si="1"/>
        <v>cd_imv_out_benscod_avl</v>
      </c>
      <c r="B83" s="162" t="s">
        <v>28</v>
      </c>
      <c r="C83" s="157" t="s">
        <v>54</v>
      </c>
      <c r="D83" s="153" t="s">
        <v>40</v>
      </c>
      <c r="E83" s="154" t="s">
        <v>92</v>
      </c>
      <c r="F83" s="153" t="s">
        <v>97</v>
      </c>
      <c r="G83" s="155" t="str">
        <f>VLOOKUP(A83,Plano_V3!$A$27:$G$583,7,0)</f>
        <v>1. Concluído</v>
      </c>
      <c r="H83" s="155" t="s">
        <v>477</v>
      </c>
      <c r="I83" s="179"/>
      <c r="J83" s="175" t="str">
        <f>IF(VLOOKUP(A83,'Aux - pivots1'!$A:$E,3,0)=0, "",VLOOKUP(A83,'Aux - pivots1'!$A:$E,3,0))</f>
        <v/>
      </c>
      <c r="K83" s="175" t="str">
        <f>IF(VLOOKUP(A83,'Aux - pivots1'!$A:$E,4,0)=0, "",VLOOKUP(A83,'Aux - pivots1'!$A:$E,4,0))</f>
        <v/>
      </c>
      <c r="L83" s="175" t="str">
        <f>IF(VLOOKUP(A83,'Aux - pivots1'!$A:$E,5,0)=0, "",VLOOKUP(A83,'Aux - pivots1'!$A:$E,5,0))</f>
        <v/>
      </c>
      <c r="M83" s="202"/>
    </row>
    <row r="84" spans="1:13" ht="16.2">
      <c r="A84" s="31" t="str">
        <f t="shared" si="1"/>
        <v>cd_imv_out_benscod_bem</v>
      </c>
      <c r="B84" s="162" t="s">
        <v>28</v>
      </c>
      <c r="C84" s="157" t="s">
        <v>54</v>
      </c>
      <c r="D84" s="153" t="s">
        <v>40</v>
      </c>
      <c r="E84" s="154" t="s">
        <v>92</v>
      </c>
      <c r="F84" s="153" t="s">
        <v>98</v>
      </c>
      <c r="G84" s="155" t="str">
        <f>VLOOKUP(A84,Plano_V3!$A$27:$G$583,7,0)</f>
        <v>0. Cancelado</v>
      </c>
      <c r="H84" s="155" t="s">
        <v>476</v>
      </c>
      <c r="I84" s="164" t="s">
        <v>499</v>
      </c>
      <c r="J84" s="175" t="str">
        <f>IF(VLOOKUP(A84,'Aux - pivots1'!$A:$E,3,0)=0, "",VLOOKUP(A84,'Aux - pivots1'!$A:$E,3,0))</f>
        <v/>
      </c>
      <c r="K84" s="175" t="str">
        <f>IF(VLOOKUP(A84,'Aux - pivots1'!$A:$E,4,0)=0, "",VLOOKUP(A84,'Aux - pivots1'!$A:$E,4,0))</f>
        <v/>
      </c>
      <c r="L84" s="175" t="str">
        <f>IF(VLOOKUP(A84,'Aux - pivots1'!$A:$E,5,0)=0, "",VLOOKUP(A84,'Aux - pivots1'!$A:$E,5,0))</f>
        <v/>
      </c>
      <c r="M84" s="202"/>
    </row>
    <row r="85" spans="1:13" ht="16.2">
      <c r="A85" s="31" t="str">
        <f t="shared" si="1"/>
        <v>cd_imv_out_benscod_disconf</v>
      </c>
      <c r="B85" s="162" t="s">
        <v>28</v>
      </c>
      <c r="C85" s="157" t="s">
        <v>54</v>
      </c>
      <c r="D85" s="153" t="s">
        <v>40</v>
      </c>
      <c r="E85" s="154" t="s">
        <v>92</v>
      </c>
      <c r="F85" s="153" t="s">
        <v>99</v>
      </c>
      <c r="G85" s="155" t="str">
        <f>VLOOKUP(A85,Plano_V3!$A$27:$G$583,7,0)</f>
        <v>1. Concluído</v>
      </c>
      <c r="H85" s="155" t="s">
        <v>477</v>
      </c>
      <c r="I85" s="179"/>
      <c r="J85" s="175" t="str">
        <f>IF(VLOOKUP(A85,'Aux - pivots1'!$A:$E,3,0)=0, "",VLOOKUP(A85,'Aux - pivots1'!$A:$E,3,0))</f>
        <v/>
      </c>
      <c r="K85" s="175" t="str">
        <f>IF(VLOOKUP(A85,'Aux - pivots1'!$A:$E,4,0)=0, "",VLOOKUP(A85,'Aux - pivots1'!$A:$E,4,0))</f>
        <v/>
      </c>
      <c r="L85" s="175" t="str">
        <f>IF(VLOOKUP(A85,'Aux - pivots1'!$A:$E,5,0)=0, "",VLOOKUP(A85,'Aux - pivots1'!$A:$E,5,0))</f>
        <v/>
      </c>
      <c r="M85" s="202"/>
    </row>
    <row r="86" spans="1:13" ht="16.2">
      <c r="A86" s="31" t="str">
        <f t="shared" si="1"/>
        <v>cd_imv_out_benscod_fin_bem</v>
      </c>
      <c r="B86" s="162" t="s">
        <v>28</v>
      </c>
      <c r="C86" s="157" t="s">
        <v>54</v>
      </c>
      <c r="D86" s="153" t="s">
        <v>40</v>
      </c>
      <c r="E86" s="154" t="s">
        <v>92</v>
      </c>
      <c r="F86" s="153" t="s">
        <v>100</v>
      </c>
      <c r="G86" s="155" t="str">
        <f>VLOOKUP(A86,Plano_V3!$A$27:$G$583,7,0)</f>
        <v>1. Concluído</v>
      </c>
      <c r="H86" s="155" t="s">
        <v>477</v>
      </c>
      <c r="I86" s="179"/>
      <c r="J86" s="175" t="str">
        <f>IF(VLOOKUP(A86,'Aux - pivots1'!$A:$E,3,0)=0, "",VLOOKUP(A86,'Aux - pivots1'!$A:$E,3,0))</f>
        <v/>
      </c>
      <c r="K86" s="175" t="str">
        <f>IF(VLOOKUP(A86,'Aux - pivots1'!$A:$E,4,0)=0, "",VLOOKUP(A86,'Aux - pivots1'!$A:$E,4,0))</f>
        <v/>
      </c>
      <c r="L86" s="175" t="str">
        <f>IF(VLOOKUP(A86,'Aux - pivots1'!$A:$E,5,0)=0, "",VLOOKUP(A86,'Aux - pivots1'!$A:$E,5,0))</f>
        <v/>
      </c>
      <c r="M86" s="202"/>
    </row>
    <row r="87" spans="1:13" ht="16.2">
      <c r="A87" s="31" t="str">
        <f t="shared" si="1"/>
        <v>cd_imv_out_benscod_idd_pred</v>
      </c>
      <c r="B87" s="162" t="s">
        <v>28</v>
      </c>
      <c r="C87" s="157" t="s">
        <v>54</v>
      </c>
      <c r="D87" s="153" t="s">
        <v>40</v>
      </c>
      <c r="E87" s="154" t="s">
        <v>92</v>
      </c>
      <c r="F87" s="153" t="s">
        <v>101</v>
      </c>
      <c r="G87" s="155" t="str">
        <f>VLOOKUP(A87,Plano_V3!$A$27:$G$583,7,0)</f>
        <v>1. Concluído</v>
      </c>
      <c r="H87" s="155" t="s">
        <v>477</v>
      </c>
      <c r="I87" s="179"/>
      <c r="J87" s="175" t="str">
        <f>IF(VLOOKUP(A87,'Aux - pivots1'!$A:$E,3,0)=0, "",VLOOKUP(A87,'Aux - pivots1'!$A:$E,3,0))</f>
        <v/>
      </c>
      <c r="K87" s="175" t="str">
        <f>IF(VLOOKUP(A87,'Aux - pivots1'!$A:$E,4,0)=0, "",VLOOKUP(A87,'Aux - pivots1'!$A:$E,4,0))</f>
        <v/>
      </c>
      <c r="L87" s="175" t="str">
        <f>IF(VLOOKUP(A87,'Aux - pivots1'!$A:$E,5,0)=0, "",VLOOKUP(A87,'Aux - pivots1'!$A:$E,5,0))</f>
        <v/>
      </c>
      <c r="M87" s="202"/>
    </row>
    <row r="88" spans="1:13" ht="16.2">
      <c r="A88" s="31" t="str">
        <f t="shared" si="1"/>
        <v>cd_imv_out_benscod_morada</v>
      </c>
      <c r="B88" s="162" t="s">
        <v>28</v>
      </c>
      <c r="C88" s="157" t="s">
        <v>54</v>
      </c>
      <c r="D88" s="153" t="s">
        <v>40</v>
      </c>
      <c r="E88" s="154" t="s">
        <v>92</v>
      </c>
      <c r="F88" s="153" t="s">
        <v>102</v>
      </c>
      <c r="G88" s="155" t="str">
        <f>VLOOKUP(A88,Plano_V3!$A$27:$G$583,7,0)</f>
        <v>1. Concluído</v>
      </c>
      <c r="H88" s="155" t="s">
        <v>477</v>
      </c>
      <c r="I88" s="179"/>
      <c r="J88" s="175" t="str">
        <f>IF(VLOOKUP(A88,'Aux - pivots1'!$A:$E,3,0)=0, "",VLOOKUP(A88,'Aux - pivots1'!$A:$E,3,0))</f>
        <v/>
      </c>
      <c r="K88" s="175" t="str">
        <f>IF(VLOOKUP(A88,'Aux - pivots1'!$A:$E,4,0)=0, "",VLOOKUP(A88,'Aux - pivots1'!$A:$E,4,0))</f>
        <v/>
      </c>
      <c r="L88" s="175" t="str">
        <f>IF(VLOOKUP(A88,'Aux - pivots1'!$A:$E,5,0)=0, "",VLOOKUP(A88,'Aux - pivots1'!$A:$E,5,0))</f>
        <v/>
      </c>
      <c r="M88" s="202"/>
    </row>
    <row r="89" spans="1:13" ht="16.2">
      <c r="A89" s="31" t="str">
        <f t="shared" si="1"/>
        <v>cd_imv_out_benscod_pais</v>
      </c>
      <c r="B89" s="162" t="s">
        <v>28</v>
      </c>
      <c r="C89" s="157" t="s">
        <v>54</v>
      </c>
      <c r="D89" s="153" t="s">
        <v>40</v>
      </c>
      <c r="E89" s="154" t="s">
        <v>92</v>
      </c>
      <c r="F89" s="153" t="s">
        <v>103</v>
      </c>
      <c r="G89" s="155" t="str">
        <f>VLOOKUP(A89,Plano_V3!$A$27:$G$583,7,0)</f>
        <v>1. Concluído</v>
      </c>
      <c r="H89" s="155" t="s">
        <v>477</v>
      </c>
      <c r="I89" s="179"/>
      <c r="J89" s="175" t="str">
        <f>IF(VLOOKUP(A89,'Aux - pivots1'!$A:$E,3,0)=0, "",VLOOKUP(A89,'Aux - pivots1'!$A:$E,3,0))</f>
        <v/>
      </c>
      <c r="K89" s="175" t="str">
        <f>IF(VLOOKUP(A89,'Aux - pivots1'!$A:$E,4,0)=0, "",VLOOKUP(A89,'Aux - pivots1'!$A:$E,4,0))</f>
        <v/>
      </c>
      <c r="L89" s="175" t="str">
        <f>IF(VLOOKUP(A89,'Aux - pivots1'!$A:$E,5,0)=0, "",VLOOKUP(A89,'Aux - pivots1'!$A:$E,5,0))</f>
        <v/>
      </c>
      <c r="M89" s="202"/>
    </row>
    <row r="90" spans="1:13" ht="16.2">
      <c r="A90" s="31" t="str">
        <f t="shared" si="1"/>
        <v>cd_imv_out_benscod_post</v>
      </c>
      <c r="B90" s="162" t="s">
        <v>28</v>
      </c>
      <c r="C90" s="157" t="s">
        <v>54</v>
      </c>
      <c r="D90" s="153" t="s">
        <v>40</v>
      </c>
      <c r="E90" s="154" t="s">
        <v>92</v>
      </c>
      <c r="F90" s="153" t="s">
        <v>104</v>
      </c>
      <c r="G90" s="155" t="str">
        <f>VLOOKUP(A90,Plano_V3!$A$27:$G$583,7,0)</f>
        <v>1. Concluído</v>
      </c>
      <c r="H90" s="155" t="s">
        <v>477</v>
      </c>
      <c r="I90" s="179"/>
      <c r="J90" s="175" t="str">
        <f>IF(VLOOKUP(A90,'Aux - pivots1'!$A:$E,3,0)=0, "",VLOOKUP(A90,'Aux - pivots1'!$A:$E,3,0))</f>
        <v/>
      </c>
      <c r="K90" s="175" t="str">
        <f>IF(VLOOKUP(A90,'Aux - pivots1'!$A:$E,4,0)=0, "",VLOOKUP(A90,'Aux - pivots1'!$A:$E,4,0))</f>
        <v/>
      </c>
      <c r="L90" s="175" t="str">
        <f>IF(VLOOKUP(A90,'Aux - pivots1'!$A:$E,5,0)=0, "",VLOOKUP(A90,'Aux - pivots1'!$A:$E,5,0))</f>
        <v/>
      </c>
      <c r="M90" s="202"/>
    </row>
    <row r="91" spans="1:13" ht="16.2">
      <c r="A91" s="31" t="str">
        <f t="shared" si="1"/>
        <v>cd_imv_out_benscod_tp_bem</v>
      </c>
      <c r="B91" s="162" t="s">
        <v>28</v>
      </c>
      <c r="C91" s="157" t="s">
        <v>54</v>
      </c>
      <c r="D91" s="153" t="s">
        <v>40</v>
      </c>
      <c r="E91" s="154" t="s">
        <v>92</v>
      </c>
      <c r="F91" s="153" t="s">
        <v>105</v>
      </c>
      <c r="G91" s="155" t="str">
        <f>VLOOKUP(A91,Plano_V3!$A$27:$G$583,7,0)</f>
        <v>1. Concluído</v>
      </c>
      <c r="H91" s="155" t="s">
        <v>477</v>
      </c>
      <c r="I91" s="179"/>
      <c r="J91" s="175" t="str">
        <f>IF(VLOOKUP(A91,'Aux - pivots1'!$A:$E,3,0)=0, "",VLOOKUP(A91,'Aux - pivots1'!$A:$E,3,0))</f>
        <v/>
      </c>
      <c r="K91" s="175" t="str">
        <f>IF(VLOOKUP(A91,'Aux - pivots1'!$A:$E,4,0)=0, "",VLOOKUP(A91,'Aux - pivots1'!$A:$E,4,0))</f>
        <v/>
      </c>
      <c r="L91" s="175" t="str">
        <f>IF(VLOOKUP(A91,'Aux - pivots1'!$A:$E,5,0)=0, "",VLOOKUP(A91,'Aux - pivots1'!$A:$E,5,0))</f>
        <v/>
      </c>
      <c r="M91" s="202"/>
    </row>
    <row r="92" spans="1:13" ht="16.2">
      <c r="A92" s="31" t="str">
        <f t="shared" si="1"/>
        <v>cd_imv_out_bensdata_avl</v>
      </c>
      <c r="B92" s="162" t="s">
        <v>28</v>
      </c>
      <c r="C92" s="157" t="s">
        <v>54</v>
      </c>
      <c r="D92" s="153" t="s">
        <v>40</v>
      </c>
      <c r="E92" s="154" t="s">
        <v>92</v>
      </c>
      <c r="F92" s="153" t="s">
        <v>106</v>
      </c>
      <c r="G92" s="155" t="str">
        <f>VLOOKUP(A92,Plano_V3!$A$27:$G$583,7,0)</f>
        <v>1. Concluído</v>
      </c>
      <c r="H92" s="155" t="s">
        <v>477</v>
      </c>
      <c r="I92" s="179"/>
      <c r="J92" s="175" t="str">
        <f>IF(VLOOKUP(A92,'Aux - pivots1'!$A:$E,3,0)=0, "",VLOOKUP(A92,'Aux - pivots1'!$A:$E,3,0))</f>
        <v/>
      </c>
      <c r="K92" s="175" t="str">
        <f>IF(VLOOKUP(A92,'Aux - pivots1'!$A:$E,4,0)=0, "",VLOOKUP(A92,'Aux - pivots1'!$A:$E,4,0))</f>
        <v/>
      </c>
      <c r="L92" s="175" t="str">
        <f>IF(VLOOKUP(A92,'Aux - pivots1'!$A:$E,5,0)=0, "",VLOOKUP(A92,'Aux - pivots1'!$A:$E,5,0))</f>
        <v/>
      </c>
      <c r="M92" s="202"/>
    </row>
    <row r="93" spans="1:13" ht="16.2">
      <c r="A93" s="31" t="str">
        <f t="shared" si="1"/>
        <v>cd_imv_out_bensdata_lic_util</v>
      </c>
      <c r="B93" s="162" t="s">
        <v>28</v>
      </c>
      <c r="C93" s="157" t="s">
        <v>54</v>
      </c>
      <c r="D93" s="153" t="s">
        <v>40</v>
      </c>
      <c r="E93" s="154" t="s">
        <v>92</v>
      </c>
      <c r="F93" s="153" t="s">
        <v>107</v>
      </c>
      <c r="G93" s="155" t="str">
        <f>VLOOKUP(A93,Plano_V3!$A$27:$G$583,7,0)</f>
        <v>1. Concluído</v>
      </c>
      <c r="H93" s="155" t="s">
        <v>477</v>
      </c>
      <c r="I93" s="179"/>
      <c r="J93" s="175" t="str">
        <f>IF(VLOOKUP(A93,'Aux - pivots1'!$A:$E,3,0)=0, "",VLOOKUP(A93,'Aux - pivots1'!$A:$E,3,0))</f>
        <v/>
      </c>
      <c r="K93" s="175" t="str">
        <f>IF(VLOOKUP(A93,'Aux - pivots1'!$A:$E,4,0)=0, "",VLOOKUP(A93,'Aux - pivots1'!$A:$E,4,0))</f>
        <v/>
      </c>
      <c r="L93" s="175" t="str">
        <f>IF(VLOOKUP(A93,'Aux - pivots1'!$A:$E,5,0)=0, "",VLOOKUP(A93,'Aux - pivots1'!$A:$E,5,0))</f>
        <v/>
      </c>
      <c r="M93" s="202"/>
    </row>
    <row r="94" spans="1:13" ht="16.2">
      <c r="A94" s="31" t="str">
        <f t="shared" si="1"/>
        <v>cd_imv_out_bensficha</v>
      </c>
      <c r="B94" s="162" t="s">
        <v>28</v>
      </c>
      <c r="C94" s="157" t="s">
        <v>54</v>
      </c>
      <c r="D94" s="153" t="s">
        <v>40</v>
      </c>
      <c r="E94" s="154" t="s">
        <v>92</v>
      </c>
      <c r="F94" s="153" t="s">
        <v>108</v>
      </c>
      <c r="G94" s="155" t="str">
        <f>VLOOKUP(A94,Plano_V3!$A$27:$G$583,7,0)</f>
        <v>1. Concluído</v>
      </c>
      <c r="H94" s="155" t="s">
        <v>477</v>
      </c>
      <c r="I94" s="179"/>
      <c r="J94" s="175" t="str">
        <f>IF(VLOOKUP(A94,'Aux - pivots1'!$A:$E,3,0)=0, "",VLOOKUP(A94,'Aux - pivots1'!$A:$E,3,0))</f>
        <v/>
      </c>
      <c r="K94" s="175" t="str">
        <f>IF(VLOOKUP(A94,'Aux - pivots1'!$A:$E,4,0)=0, "",VLOOKUP(A94,'Aux - pivots1'!$A:$E,4,0))</f>
        <v/>
      </c>
      <c r="L94" s="175" t="str">
        <f>IF(VLOOKUP(A94,'Aux - pivots1'!$A:$E,5,0)=0, "",VLOOKUP(A94,'Aux - pivots1'!$A:$E,5,0))</f>
        <v/>
      </c>
      <c r="M94" s="202"/>
    </row>
    <row r="95" spans="1:13" ht="16.2">
      <c r="A95" s="31" t="str">
        <f t="shared" si="1"/>
        <v>cd_imv_out_bensid_frac</v>
      </c>
      <c r="B95" s="162" t="s">
        <v>28</v>
      </c>
      <c r="C95" s="157" t="s">
        <v>54</v>
      </c>
      <c r="D95" s="153" t="s">
        <v>40</v>
      </c>
      <c r="E95" s="154" t="s">
        <v>92</v>
      </c>
      <c r="F95" s="153" t="s">
        <v>109</v>
      </c>
      <c r="G95" s="155" t="str">
        <f>VLOOKUP(A95,Plano_V3!$A$27:$G$583,7,0)</f>
        <v>1. Concluído</v>
      </c>
      <c r="H95" s="155" t="s">
        <v>477</v>
      </c>
      <c r="I95" s="179"/>
      <c r="J95" s="175" t="str">
        <f>IF(VLOOKUP(A95,'Aux - pivots1'!$A:$E,3,0)=0, "",VLOOKUP(A95,'Aux - pivots1'!$A:$E,3,0))</f>
        <v/>
      </c>
      <c r="K95" s="175" t="str">
        <f>IF(VLOOKUP(A95,'Aux - pivots1'!$A:$E,4,0)=0, "",VLOOKUP(A95,'Aux - pivots1'!$A:$E,4,0))</f>
        <v/>
      </c>
      <c r="L95" s="175" t="str">
        <f>IF(VLOOKUP(A95,'Aux - pivots1'!$A:$E,5,0)=0, "",VLOOKUP(A95,'Aux - pivots1'!$A:$E,5,0))</f>
        <v/>
      </c>
      <c r="M95" s="202"/>
    </row>
    <row r="96" spans="1:13" ht="16.2">
      <c r="A96" s="31" t="str">
        <f t="shared" si="1"/>
        <v>cd_imv_out_benslocalid</v>
      </c>
      <c r="B96" s="162" t="s">
        <v>28</v>
      </c>
      <c r="C96" s="157" t="s">
        <v>54</v>
      </c>
      <c r="D96" s="153" t="s">
        <v>40</v>
      </c>
      <c r="E96" s="154" t="s">
        <v>92</v>
      </c>
      <c r="F96" s="153" t="s">
        <v>110</v>
      </c>
      <c r="G96" s="155" t="str">
        <f>VLOOKUP(A96,Plano_V3!$A$27:$G$583,7,0)</f>
        <v>1. Concluído</v>
      </c>
      <c r="H96" s="155" t="s">
        <v>477</v>
      </c>
      <c r="I96" s="179"/>
      <c r="J96" s="175" t="str">
        <f>IF(VLOOKUP(A96,'Aux - pivots1'!$A:$E,3,0)=0, "",VLOOKUP(A96,'Aux - pivots1'!$A:$E,3,0))</f>
        <v/>
      </c>
      <c r="K96" s="175" t="str">
        <f>IF(VLOOKUP(A96,'Aux - pivots1'!$A:$E,4,0)=0, "",VLOOKUP(A96,'Aux - pivots1'!$A:$E,4,0))</f>
        <v/>
      </c>
      <c r="L96" s="175" t="str">
        <f>IF(VLOOKUP(A96,'Aux - pivots1'!$A:$E,5,0)=0, "",VLOOKUP(A96,'Aux - pivots1'!$A:$E,5,0))</f>
        <v/>
      </c>
      <c r="M96" s="202"/>
    </row>
    <row r="97" spans="1:13" ht="16.2">
      <c r="A97" s="31" t="str">
        <f t="shared" si="1"/>
        <v>cd_imv_out_benslote</v>
      </c>
      <c r="B97" s="162" t="s">
        <v>28</v>
      </c>
      <c r="C97" s="157" t="s">
        <v>54</v>
      </c>
      <c r="D97" s="153" t="s">
        <v>40</v>
      </c>
      <c r="E97" s="154" t="s">
        <v>92</v>
      </c>
      <c r="F97" s="153" t="s">
        <v>111</v>
      </c>
      <c r="G97" s="155" t="str">
        <f>VLOOKUP(A97,Plano_V3!$A$27:$G$583,7,0)</f>
        <v>1. Concluído</v>
      </c>
      <c r="H97" s="155" t="s">
        <v>477</v>
      </c>
      <c r="I97" s="179"/>
      <c r="J97" s="175" t="str">
        <f>IF(VLOOKUP(A97,'Aux - pivots1'!$A:$E,3,0)=0, "",VLOOKUP(A97,'Aux - pivots1'!$A:$E,3,0))</f>
        <v/>
      </c>
      <c r="K97" s="175" t="str">
        <f>IF(VLOOKUP(A97,'Aux - pivots1'!$A:$E,4,0)=0, "",VLOOKUP(A97,'Aux - pivots1'!$A:$E,4,0))</f>
        <v/>
      </c>
      <c r="L97" s="175" t="str">
        <f>IF(VLOOKUP(A97,'Aux - pivots1'!$A:$E,5,0)=0, "",VLOOKUP(A97,'Aux - pivots1'!$A:$E,5,0))</f>
        <v/>
      </c>
      <c r="M97" s="202"/>
    </row>
    <row r="98" spans="1:13" ht="16.2">
      <c r="A98" s="31" t="str">
        <f t="shared" si="1"/>
        <v>cd_imv_out_bensmontante_avl</v>
      </c>
      <c r="B98" s="162" t="s">
        <v>28</v>
      </c>
      <c r="C98" s="157" t="s">
        <v>54</v>
      </c>
      <c r="D98" s="153" t="s">
        <v>40</v>
      </c>
      <c r="E98" s="154" t="s">
        <v>92</v>
      </c>
      <c r="F98" s="153" t="s">
        <v>112</v>
      </c>
      <c r="G98" s="155" t="str">
        <f>VLOOKUP(A98,Plano_V3!$A$27:$G$583,7,0)</f>
        <v>1. Concluído</v>
      </c>
      <c r="H98" s="155" t="s">
        <v>477</v>
      </c>
      <c r="I98" s="179"/>
      <c r="J98" s="175" t="str">
        <f>IF(VLOOKUP(A98,'Aux - pivots1'!$A:$E,3,0)=0, "",VLOOKUP(A98,'Aux - pivots1'!$A:$E,3,0))</f>
        <v/>
      </c>
      <c r="K98" s="175" t="str">
        <f>IF(VLOOKUP(A98,'Aux - pivots1'!$A:$E,4,0)=0, "",VLOOKUP(A98,'Aux - pivots1'!$A:$E,4,0))</f>
        <v/>
      </c>
      <c r="L98" s="175" t="str">
        <f>IF(VLOOKUP(A98,'Aux - pivots1'!$A:$E,5,0)=0, "",VLOOKUP(A98,'Aux - pivots1'!$A:$E,5,0))</f>
        <v/>
      </c>
      <c r="M98" s="202"/>
    </row>
    <row r="99" spans="1:13" ht="16.2">
      <c r="A99" s="31" t="str">
        <f t="shared" si="1"/>
        <v>cd_imv_out_bensmontante_avl_dist</v>
      </c>
      <c r="B99" s="162" t="s">
        <v>28</v>
      </c>
      <c r="C99" s="157" t="s">
        <v>54</v>
      </c>
      <c r="D99" s="153" t="s">
        <v>40</v>
      </c>
      <c r="E99" s="154" t="s">
        <v>92</v>
      </c>
      <c r="F99" s="153" t="s">
        <v>113</v>
      </c>
      <c r="G99" s="155" t="str">
        <f>VLOOKUP(A99,Plano_V3!$A$27:$G$583,7,0)</f>
        <v>1. Concluído</v>
      </c>
      <c r="H99" s="155" t="s">
        <v>477</v>
      </c>
      <c r="I99" s="179"/>
      <c r="J99" s="175" t="str">
        <f>IF(VLOOKUP(A99,'Aux - pivots1'!$A:$E,3,0)=0, "",VLOOKUP(A99,'Aux - pivots1'!$A:$E,3,0))</f>
        <v/>
      </c>
      <c r="K99" s="175" t="str">
        <f>IF(VLOOKUP(A99,'Aux - pivots1'!$A:$E,4,0)=0, "",VLOOKUP(A99,'Aux - pivots1'!$A:$E,4,0))</f>
        <v/>
      </c>
      <c r="L99" s="175" t="str">
        <f>IF(VLOOKUP(A99,'Aux - pivots1'!$A:$E,5,0)=0, "",VLOOKUP(A99,'Aux - pivots1'!$A:$E,5,0))</f>
        <v/>
      </c>
      <c r="M99" s="202"/>
    </row>
    <row r="100" spans="1:13" ht="16.2">
      <c r="A100" s="31" t="str">
        <f t="shared" si="1"/>
        <v>cd_imv_out_bensmontante_vnd_rap</v>
      </c>
      <c r="B100" s="162" t="s">
        <v>28</v>
      </c>
      <c r="C100" s="157" t="s">
        <v>54</v>
      </c>
      <c r="D100" s="153" t="s">
        <v>40</v>
      </c>
      <c r="E100" s="154" t="s">
        <v>92</v>
      </c>
      <c r="F100" s="153" t="s">
        <v>114</v>
      </c>
      <c r="G100" s="155" t="str">
        <f>VLOOKUP(A100,Plano_V3!$A$27:$G$583,7,0)</f>
        <v>1. Concluído</v>
      </c>
      <c r="H100" s="155" t="s">
        <v>477</v>
      </c>
      <c r="I100" s="179"/>
      <c r="J100" s="175" t="str">
        <f>IF(VLOOKUP(A100,'Aux - pivots1'!$A:$E,3,0)=0, "",VLOOKUP(A100,'Aux - pivots1'!$A:$E,3,0))</f>
        <v/>
      </c>
      <c r="K100" s="175" t="str">
        <f>IF(VLOOKUP(A100,'Aux - pivots1'!$A:$E,4,0)=0, "",VLOOKUP(A100,'Aux - pivots1'!$A:$E,4,0))</f>
        <v/>
      </c>
      <c r="L100" s="175" t="str">
        <f>IF(VLOOKUP(A100,'Aux - pivots1'!$A:$E,5,0)=0, "",VLOOKUP(A100,'Aux - pivots1'!$A:$E,5,0))</f>
        <v/>
      </c>
      <c r="M100" s="202"/>
    </row>
    <row r="101" spans="1:13" ht="16.2">
      <c r="A101" s="31" t="str">
        <f t="shared" si="1"/>
        <v>cd_imv_out_bensmorada</v>
      </c>
      <c r="B101" s="162" t="s">
        <v>28</v>
      </c>
      <c r="C101" s="157" t="s">
        <v>54</v>
      </c>
      <c r="D101" s="153" t="s">
        <v>40</v>
      </c>
      <c r="E101" s="154" t="s">
        <v>92</v>
      </c>
      <c r="F101" s="153" t="s">
        <v>115</v>
      </c>
      <c r="G101" s="155" t="str">
        <f>VLOOKUP(A101,Plano_V3!$A$27:$G$583,7,0)</f>
        <v>1. Concluído</v>
      </c>
      <c r="H101" s="155" t="s">
        <v>477</v>
      </c>
      <c r="I101" s="179"/>
      <c r="J101" s="175" t="str">
        <f>IF(VLOOKUP(A101,'Aux - pivots1'!$A:$E,3,0)=0, "",VLOOKUP(A101,'Aux - pivots1'!$A:$E,3,0))</f>
        <v/>
      </c>
      <c r="K101" s="175" t="str">
        <f>IF(VLOOKUP(A101,'Aux - pivots1'!$A:$E,4,0)=0, "",VLOOKUP(A101,'Aux - pivots1'!$A:$E,4,0))</f>
        <v/>
      </c>
      <c r="L101" s="175" t="str">
        <f>IF(VLOOKUP(A101,'Aux - pivots1'!$A:$E,5,0)=0, "",VLOOKUP(A101,'Aux - pivots1'!$A:$E,5,0))</f>
        <v/>
      </c>
      <c r="M101" s="202"/>
    </row>
    <row r="102" spans="1:13" ht="16.2">
      <c r="A102" s="31" t="str">
        <f t="shared" si="1"/>
        <v>cd_imv_out_bensnum</v>
      </c>
      <c r="B102" s="162" t="s">
        <v>28</v>
      </c>
      <c r="C102" s="157" t="s">
        <v>54</v>
      </c>
      <c r="D102" s="153" t="s">
        <v>40</v>
      </c>
      <c r="E102" s="154" t="s">
        <v>92</v>
      </c>
      <c r="F102" s="153" t="s">
        <v>116</v>
      </c>
      <c r="G102" s="155" t="str">
        <f>VLOOKUP(A102,Plano_V3!$A$27:$G$583,7,0)</f>
        <v>1. Concluído</v>
      </c>
      <c r="H102" s="155" t="s">
        <v>477</v>
      </c>
      <c r="I102" s="179"/>
      <c r="J102" s="175" t="str">
        <f>IF(VLOOKUP(A102,'Aux - pivots1'!$A:$E,3,0)=0, "",VLOOKUP(A102,'Aux - pivots1'!$A:$E,3,0))</f>
        <v/>
      </c>
      <c r="K102" s="175" t="str">
        <f>IF(VLOOKUP(A102,'Aux - pivots1'!$A:$E,4,0)=0, "",VLOOKUP(A102,'Aux - pivots1'!$A:$E,4,0))</f>
        <v/>
      </c>
      <c r="L102" s="175" t="str">
        <f>IF(VLOOKUP(A102,'Aux - pivots1'!$A:$E,5,0)=0, "",VLOOKUP(A102,'Aux - pivots1'!$A:$E,5,0))</f>
        <v/>
      </c>
      <c r="M102" s="202"/>
    </row>
    <row r="103" spans="1:13" ht="16.2">
      <c r="A103" s="31" t="str">
        <f t="shared" si="1"/>
        <v>cd_imv_out_bensorigem</v>
      </c>
      <c r="B103" s="162" t="s">
        <v>28</v>
      </c>
      <c r="C103" s="157" t="s">
        <v>54</v>
      </c>
      <c r="D103" s="153" t="s">
        <v>40</v>
      </c>
      <c r="E103" s="154" t="s">
        <v>92</v>
      </c>
      <c r="F103" s="153" t="s">
        <v>72</v>
      </c>
      <c r="G103" s="155" t="str">
        <f>VLOOKUP(A103,Plano_V3!$A$27:$G$583,7,0)</f>
        <v>0. Cancelado</v>
      </c>
      <c r="H103" s="155" t="s">
        <v>476</v>
      </c>
      <c r="I103" s="164" t="s">
        <v>1820</v>
      </c>
      <c r="J103" s="175" t="str">
        <f>IF(VLOOKUP(A103,'Aux - pivots1'!$A:$E,3,0)=0, "",VLOOKUP(A103,'Aux - pivots1'!$A:$E,3,0))</f>
        <v/>
      </c>
      <c r="K103" s="175" t="str">
        <f>IF(VLOOKUP(A103,'Aux - pivots1'!$A:$E,4,0)=0, "",VLOOKUP(A103,'Aux - pivots1'!$A:$E,4,0))</f>
        <v/>
      </c>
      <c r="L103" s="175" t="str">
        <f>IF(VLOOKUP(A103,'Aux - pivots1'!$A:$E,5,0)=0, "",VLOOKUP(A103,'Aux - pivots1'!$A:$E,5,0))</f>
        <v/>
      </c>
      <c r="M103" s="202"/>
    </row>
    <row r="104" spans="1:13" ht="16.2">
      <c r="A104" s="31" t="str">
        <f t="shared" si="1"/>
        <v>cd_imv_out_bensperc_obra</v>
      </c>
      <c r="B104" s="162" t="s">
        <v>28</v>
      </c>
      <c r="C104" s="157" t="s">
        <v>54</v>
      </c>
      <c r="D104" s="153" t="s">
        <v>40</v>
      </c>
      <c r="E104" s="154" t="s">
        <v>92</v>
      </c>
      <c r="F104" s="153" t="s">
        <v>117</v>
      </c>
      <c r="G104" s="155" t="str">
        <f>VLOOKUP(A104,Plano_V3!$A$27:$G$583,7,0)</f>
        <v>1. Concluído</v>
      </c>
      <c r="H104" s="155" t="s">
        <v>477</v>
      </c>
      <c r="I104" s="164" t="s">
        <v>500</v>
      </c>
      <c r="J104" s="175">
        <f>IF(VLOOKUP(A104,'Aux - pivots1'!$A:$E,3,0)=0, "",VLOOKUP(A104,'Aux - pivots1'!$A:$E,3,0))</f>
        <v>45491</v>
      </c>
      <c r="K104" s="175">
        <f>IF(VLOOKUP(A104,'Aux - pivots1'!$A:$E,4,0)=0, "",VLOOKUP(A104,'Aux - pivots1'!$A:$E,4,0))</f>
        <v>45495</v>
      </c>
      <c r="L104" s="175">
        <f>IF(VLOOKUP(A104,'Aux - pivots1'!$A:$E,5,0)=0, "",VLOOKUP(A104,'Aux - pivots1'!$A:$E,5,0))</f>
        <v>45495</v>
      </c>
      <c r="M104" s="202"/>
    </row>
    <row r="105" spans="1:13" ht="16.2">
      <c r="A105" s="31" t="str">
        <f t="shared" si="1"/>
        <v>cd_imv_out_bensprealcons</v>
      </c>
      <c r="B105" s="162" t="s">
        <v>28</v>
      </c>
      <c r="C105" s="157" t="s">
        <v>54</v>
      </c>
      <c r="D105" s="153" t="s">
        <v>40</v>
      </c>
      <c r="E105" s="154" t="s">
        <v>92</v>
      </c>
      <c r="F105" s="153" t="s">
        <v>118</v>
      </c>
      <c r="G105" s="155" t="str">
        <f>VLOOKUP(A105,Plano_V3!$A$27:$G$583,7,0)</f>
        <v>1. Concluído</v>
      </c>
      <c r="H105" s="155" t="s">
        <v>477</v>
      </c>
      <c r="I105" s="164" t="s">
        <v>500</v>
      </c>
      <c r="J105" s="175">
        <f>IF(VLOOKUP(A105,'Aux - pivots1'!$A:$E,3,0)=0, "",VLOOKUP(A105,'Aux - pivots1'!$A:$E,3,0))</f>
        <v>45491</v>
      </c>
      <c r="K105" s="175">
        <f>IF(VLOOKUP(A105,'Aux - pivots1'!$A:$E,4,0)=0, "",VLOOKUP(A105,'Aux - pivots1'!$A:$E,4,0))</f>
        <v>45495</v>
      </c>
      <c r="L105" s="175">
        <f>IF(VLOOKUP(A105,'Aux - pivots1'!$A:$E,5,0)=0, "",VLOOKUP(A105,'Aux - pivots1'!$A:$E,5,0))</f>
        <v>45495</v>
      </c>
      <c r="M105" s="202"/>
    </row>
    <row r="106" spans="1:13" ht="16.2">
      <c r="A106" s="31" t="str">
        <f t="shared" si="1"/>
        <v>cd_imv_out_bensref_date</v>
      </c>
      <c r="B106" s="162" t="s">
        <v>28</v>
      </c>
      <c r="C106" s="157" t="s">
        <v>54</v>
      </c>
      <c r="D106" s="153" t="s">
        <v>40</v>
      </c>
      <c r="E106" s="154" t="s">
        <v>92</v>
      </c>
      <c r="F106" s="153" t="s">
        <v>73</v>
      </c>
      <c r="G106" s="155" t="str">
        <f>VLOOKUP(A106,Plano_V3!$A$27:$G$583,7,0)</f>
        <v>1. Concluído</v>
      </c>
      <c r="H106" s="155" t="s">
        <v>477</v>
      </c>
      <c r="I106" s="179"/>
      <c r="J106" s="175" t="str">
        <f>IF(VLOOKUP(A106,'Aux - pivots1'!$A:$E,3,0)=0, "",VLOOKUP(A106,'Aux - pivots1'!$A:$E,3,0))</f>
        <v/>
      </c>
      <c r="K106" s="175" t="str">
        <f>IF(VLOOKUP(A106,'Aux - pivots1'!$A:$E,4,0)=0, "",VLOOKUP(A106,'Aux - pivots1'!$A:$E,4,0))</f>
        <v/>
      </c>
      <c r="L106" s="175" t="str">
        <f>IF(VLOOKUP(A106,'Aux - pivots1'!$A:$E,5,0)=0, "",VLOOKUP(A106,'Aux - pivots1'!$A:$E,5,0))</f>
        <v/>
      </c>
      <c r="M106" s="202"/>
    </row>
    <row r="107" spans="1:13" ht="16.2">
      <c r="A107" s="31" t="str">
        <f t="shared" si="1"/>
        <v>cd_imv_out_bensurbaniz</v>
      </c>
      <c r="B107" s="162" t="s">
        <v>28</v>
      </c>
      <c r="C107" s="157" t="s">
        <v>54</v>
      </c>
      <c r="D107" s="153" t="s">
        <v>40</v>
      </c>
      <c r="E107" s="154" t="s">
        <v>92</v>
      </c>
      <c r="F107" s="153" t="s">
        <v>119</v>
      </c>
      <c r="G107" s="155" t="str">
        <f>VLOOKUP(A107,Plano_V3!$A$27:$G$583,7,0)</f>
        <v>1. Concluído</v>
      </c>
      <c r="H107" s="155" t="s">
        <v>477</v>
      </c>
      <c r="I107" s="179"/>
      <c r="J107" s="175" t="str">
        <f>IF(VLOOKUP(A107,'Aux - pivots1'!$A:$E,3,0)=0, "",VLOOKUP(A107,'Aux - pivots1'!$A:$E,3,0))</f>
        <v/>
      </c>
      <c r="K107" s="175" t="str">
        <f>IF(VLOOKUP(A107,'Aux - pivots1'!$A:$E,4,0)=0, "",VLOOKUP(A107,'Aux - pivots1'!$A:$E,4,0))</f>
        <v/>
      </c>
      <c r="L107" s="175" t="str">
        <f>IF(VLOOKUP(A107,'Aux - pivots1'!$A:$E,5,0)=0, "",VLOOKUP(A107,'Aux - pivots1'!$A:$E,5,0))</f>
        <v/>
      </c>
      <c r="M107" s="202"/>
    </row>
    <row r="108" spans="1:13" ht="16.2">
      <c r="A108" s="31" t="str">
        <f t="shared" si="1"/>
        <v>cd_imv_out_certifn.a.</v>
      </c>
      <c r="B108" s="162" t="s">
        <v>28</v>
      </c>
      <c r="C108" s="157" t="s">
        <v>54</v>
      </c>
      <c r="D108" s="153" t="s">
        <v>36</v>
      </c>
      <c r="E108" s="154" t="s">
        <v>120</v>
      </c>
      <c r="F108" s="153" t="s">
        <v>38</v>
      </c>
      <c r="G108" s="155" t="str">
        <f>VLOOKUP(A108,Plano_V3!$A$27:$G$583,7,0)</f>
        <v>1. Concluído</v>
      </c>
      <c r="H108" s="155" t="s">
        <v>477</v>
      </c>
      <c r="I108" s="164"/>
      <c r="J108" s="175" t="str">
        <f>IF(VLOOKUP(A108,'Aux - pivots1'!$A:$E,3,0)=0, "",VLOOKUP(A108,'Aux - pivots1'!$A:$E,3,0))</f>
        <v/>
      </c>
      <c r="K108" s="175" t="str">
        <f>IF(VLOOKUP(A108,'Aux - pivots1'!$A:$E,4,0)=0, "",VLOOKUP(A108,'Aux - pivots1'!$A:$E,4,0))</f>
        <v/>
      </c>
      <c r="L108" s="175" t="str">
        <f>IF(VLOOKUP(A108,'Aux - pivots1'!$A:$E,5,0)=0, "",VLOOKUP(A108,'Aux - pivots1'!$A:$E,5,0))</f>
        <v/>
      </c>
      <c r="M108" s="202"/>
    </row>
    <row r="109" spans="1:13" ht="16.2">
      <c r="A109" s="31" t="str">
        <f t="shared" si="1"/>
        <v>cd_imv_out_certifcempbem</v>
      </c>
      <c r="B109" s="162" t="s">
        <v>28</v>
      </c>
      <c r="C109" s="157" t="s">
        <v>54</v>
      </c>
      <c r="D109" s="153" t="s">
        <v>40</v>
      </c>
      <c r="E109" s="154" t="s">
        <v>120</v>
      </c>
      <c r="F109" s="153" t="s">
        <v>41</v>
      </c>
      <c r="G109" s="155" t="str">
        <f>VLOOKUP(A109,Plano_V3!$A$27:$G$583,7,0)</f>
        <v>1. Concluído</v>
      </c>
      <c r="H109" s="155" t="s">
        <v>477</v>
      </c>
      <c r="I109" s="164"/>
      <c r="J109" s="175" t="str">
        <f>IF(VLOOKUP(A109,'Aux - pivots1'!$A:$E,3,0)=0, "",VLOOKUP(A109,'Aux - pivots1'!$A:$E,3,0))</f>
        <v/>
      </c>
      <c r="K109" s="175" t="str">
        <f>IF(VLOOKUP(A109,'Aux - pivots1'!$A:$E,4,0)=0, "",VLOOKUP(A109,'Aux - pivots1'!$A:$E,4,0))</f>
        <v/>
      </c>
      <c r="L109" s="175" t="str">
        <f>IF(VLOOKUP(A109,'Aux - pivots1'!$A:$E,5,0)=0, "",VLOOKUP(A109,'Aux - pivots1'!$A:$E,5,0))</f>
        <v/>
      </c>
      <c r="M109" s="202"/>
    </row>
    <row r="110" spans="1:13" ht="16.2">
      <c r="A110" s="31" t="str">
        <f t="shared" si="1"/>
        <v>cd_imv_out_certifckbalbem</v>
      </c>
      <c r="B110" s="162" t="s">
        <v>28</v>
      </c>
      <c r="C110" s="157" t="s">
        <v>54</v>
      </c>
      <c r="D110" s="153" t="s">
        <v>40</v>
      </c>
      <c r="E110" s="154" t="s">
        <v>120</v>
      </c>
      <c r="F110" s="153" t="s">
        <v>43</v>
      </c>
      <c r="G110" s="155" t="str">
        <f>VLOOKUP(A110,Plano_V3!$A$27:$G$583,7,0)</f>
        <v>1. Concluído</v>
      </c>
      <c r="H110" s="155" t="s">
        <v>477</v>
      </c>
      <c r="I110" s="164"/>
      <c r="J110" s="175" t="str">
        <f>IF(VLOOKUP(A110,'Aux - pivots1'!$A:$E,3,0)=0, "",VLOOKUP(A110,'Aux - pivots1'!$A:$E,3,0))</f>
        <v/>
      </c>
      <c r="K110" s="175" t="str">
        <f>IF(VLOOKUP(A110,'Aux - pivots1'!$A:$E,4,0)=0, "",VLOOKUP(A110,'Aux - pivots1'!$A:$E,4,0))</f>
        <v/>
      </c>
      <c r="L110" s="175" t="str">
        <f>IF(VLOOKUP(A110,'Aux - pivots1'!$A:$E,5,0)=0, "",VLOOKUP(A110,'Aux - pivots1'!$A:$E,5,0))</f>
        <v/>
      </c>
      <c r="M110" s="202"/>
    </row>
    <row r="111" spans="1:13" ht="16.2">
      <c r="A111" s="31" t="str">
        <f t="shared" si="1"/>
        <v>cd_imv_out_certifckctabem</v>
      </c>
      <c r="B111" s="162" t="s">
        <v>28</v>
      </c>
      <c r="C111" s="157" t="s">
        <v>54</v>
      </c>
      <c r="D111" s="153" t="s">
        <v>40</v>
      </c>
      <c r="E111" s="154" t="s">
        <v>120</v>
      </c>
      <c r="F111" s="153" t="s">
        <v>44</v>
      </c>
      <c r="G111" s="155" t="str">
        <f>VLOOKUP(A111,Plano_V3!$A$27:$G$583,7,0)</f>
        <v>1. Concluído</v>
      </c>
      <c r="H111" s="155" t="s">
        <v>477</v>
      </c>
      <c r="I111" s="164"/>
      <c r="J111" s="175" t="str">
        <f>IF(VLOOKUP(A111,'Aux - pivots1'!$A:$E,3,0)=0, "",VLOOKUP(A111,'Aux - pivots1'!$A:$E,3,0))</f>
        <v/>
      </c>
      <c r="K111" s="175" t="str">
        <f>IF(VLOOKUP(A111,'Aux - pivots1'!$A:$E,4,0)=0, "",VLOOKUP(A111,'Aux - pivots1'!$A:$E,4,0))</f>
        <v/>
      </c>
      <c r="L111" s="175" t="str">
        <f>IF(VLOOKUP(A111,'Aux - pivots1'!$A:$E,5,0)=0, "",VLOOKUP(A111,'Aux - pivots1'!$A:$E,5,0))</f>
        <v/>
      </c>
      <c r="M111" s="202"/>
    </row>
    <row r="112" spans="1:13" ht="16.2">
      <c r="A112" s="31" t="str">
        <f t="shared" si="1"/>
        <v>cd_imv_out_certifckrefbem</v>
      </c>
      <c r="B112" s="162" t="s">
        <v>28</v>
      </c>
      <c r="C112" s="157" t="s">
        <v>54</v>
      </c>
      <c r="D112" s="153" t="s">
        <v>40</v>
      </c>
      <c r="E112" s="154" t="s">
        <v>120</v>
      </c>
      <c r="F112" s="153" t="s">
        <v>45</v>
      </c>
      <c r="G112" s="155" t="str">
        <f>VLOOKUP(A112,Plano_V3!$A$27:$G$583,7,0)</f>
        <v>1. Concluído</v>
      </c>
      <c r="H112" s="155" t="s">
        <v>477</v>
      </c>
      <c r="I112" s="164"/>
      <c r="J112" s="175" t="str">
        <f>IF(VLOOKUP(A112,'Aux - pivots1'!$A:$E,3,0)=0, "",VLOOKUP(A112,'Aux - pivots1'!$A:$E,3,0))</f>
        <v/>
      </c>
      <c r="K112" s="175" t="str">
        <f>IF(VLOOKUP(A112,'Aux - pivots1'!$A:$E,4,0)=0, "",VLOOKUP(A112,'Aux - pivots1'!$A:$E,4,0))</f>
        <v/>
      </c>
      <c r="L112" s="175" t="str">
        <f>IF(VLOOKUP(A112,'Aux - pivots1'!$A:$E,5,0)=0, "",VLOOKUP(A112,'Aux - pivots1'!$A:$E,5,0))</f>
        <v/>
      </c>
      <c r="M112" s="202"/>
    </row>
    <row r="113" spans="1:13" ht="16.2">
      <c r="A113" s="31" t="str">
        <f t="shared" si="1"/>
        <v>cd_imv_out_certifcod_cnsrvtr_rgst_prdl</v>
      </c>
      <c r="B113" s="162" t="s">
        <v>28</v>
      </c>
      <c r="C113" s="157" t="s">
        <v>54</v>
      </c>
      <c r="D113" s="153" t="s">
        <v>40</v>
      </c>
      <c r="E113" s="154" t="s">
        <v>120</v>
      </c>
      <c r="F113" s="153" t="s">
        <v>122</v>
      </c>
      <c r="G113" s="155" t="str">
        <f>VLOOKUP(A113,Plano_V3!$A$27:$G$583,7,0)</f>
        <v>6. Em implementação (re-especificação)</v>
      </c>
      <c r="H113" s="155" t="s">
        <v>482</v>
      </c>
      <c r="I113" s="164"/>
      <c r="J113" s="175">
        <f>IF(VLOOKUP(A113,'Aux - pivots1'!$A:$E,3,0)=0, "",VLOOKUP(A113,'Aux - pivots1'!$A:$E,3,0))</f>
        <v>45562</v>
      </c>
      <c r="K113" s="175" t="str">
        <f>IF(VLOOKUP(A113,'Aux - pivots1'!$A:$E,4,0)=0, "",VLOOKUP(A113,'Aux - pivots1'!$A:$E,4,0))</f>
        <v/>
      </c>
      <c r="L113" s="175" t="str">
        <f>IF(VLOOKUP(A113,'Aux - pivots1'!$A:$E,5,0)=0, "",VLOOKUP(A113,'Aux - pivots1'!$A:$E,5,0))</f>
        <v/>
      </c>
      <c r="M113" s="202"/>
    </row>
    <row r="114" spans="1:13" ht="16.2">
      <c r="A114" s="31" t="str">
        <f t="shared" si="1"/>
        <v>cd_imv_out_certifcod_inscrc</v>
      </c>
      <c r="B114" s="162" t="s">
        <v>28</v>
      </c>
      <c r="C114" s="157" t="s">
        <v>54</v>
      </c>
      <c r="D114" s="153" t="s">
        <v>40</v>
      </c>
      <c r="E114" s="154" t="s">
        <v>120</v>
      </c>
      <c r="F114" s="153" t="s">
        <v>123</v>
      </c>
      <c r="G114" s="155" t="str">
        <f>VLOOKUP(A114,Plano_V3!$A$27:$G$583,7,0)</f>
        <v>6. Em implementação (re-especificação)</v>
      </c>
      <c r="H114" s="155" t="s">
        <v>482</v>
      </c>
      <c r="I114" s="164"/>
      <c r="J114" s="175">
        <f>IF(VLOOKUP(A114,'Aux - pivots1'!$A:$E,3,0)=0, "",VLOOKUP(A114,'Aux - pivots1'!$A:$E,3,0))</f>
        <v>45562</v>
      </c>
      <c r="K114" s="175" t="str">
        <f>IF(VLOOKUP(A114,'Aux - pivots1'!$A:$E,4,0)=0, "",VLOOKUP(A114,'Aux - pivots1'!$A:$E,4,0))</f>
        <v/>
      </c>
      <c r="L114" s="175" t="str">
        <f>IF(VLOOKUP(A114,'Aux - pivots1'!$A:$E,5,0)=0, "",VLOOKUP(A114,'Aux - pivots1'!$A:$E,5,0))</f>
        <v/>
      </c>
      <c r="M114" s="202"/>
    </row>
    <row r="115" spans="1:13" ht="16.2">
      <c r="A115" s="31" t="str">
        <f t="shared" si="1"/>
        <v>cd_imv_out_certifcod_sce</v>
      </c>
      <c r="B115" s="162" t="s">
        <v>28</v>
      </c>
      <c r="C115" s="157" t="s">
        <v>54</v>
      </c>
      <c r="D115" s="153" t="s">
        <v>40</v>
      </c>
      <c r="E115" s="154" t="s">
        <v>120</v>
      </c>
      <c r="F115" s="153" t="s">
        <v>124</v>
      </c>
      <c r="G115" s="155" t="str">
        <f>VLOOKUP(A115,Plano_V3!$A$27:$G$583,7,0)</f>
        <v>6. Em implementação (re-especificação)</v>
      </c>
      <c r="H115" s="155" t="s">
        <v>482</v>
      </c>
      <c r="I115" s="164"/>
      <c r="J115" s="175">
        <f>IF(VLOOKUP(A115,'Aux - pivots1'!$A:$E,3,0)=0, "",VLOOKUP(A115,'Aux - pivots1'!$A:$E,3,0))</f>
        <v>45562</v>
      </c>
      <c r="K115" s="175" t="str">
        <f>IF(VLOOKUP(A115,'Aux - pivots1'!$A:$E,4,0)=0, "",VLOOKUP(A115,'Aux - pivots1'!$A:$E,4,0))</f>
        <v/>
      </c>
      <c r="L115" s="175" t="str">
        <f>IF(VLOOKUP(A115,'Aux - pivots1'!$A:$E,5,0)=0, "",VLOOKUP(A115,'Aux - pivots1'!$A:$E,5,0))</f>
        <v/>
      </c>
      <c r="M115" s="202"/>
    </row>
    <row r="116" spans="1:13" ht="16.2">
      <c r="A116" s="31" t="str">
        <f t="shared" si="1"/>
        <v>cd_imv_out_certifdata_epc</v>
      </c>
      <c r="B116" s="162" t="s">
        <v>28</v>
      </c>
      <c r="C116" s="157" t="s">
        <v>54</v>
      </c>
      <c r="D116" s="153" t="s">
        <v>40</v>
      </c>
      <c r="E116" s="154" t="s">
        <v>120</v>
      </c>
      <c r="F116" s="153" t="s">
        <v>125</v>
      </c>
      <c r="G116" s="155" t="str">
        <f>VLOOKUP(A116,Plano_V3!$A$27:$G$583,7,0)</f>
        <v>6. Em implementação (re-especificação)</v>
      </c>
      <c r="H116" s="155" t="s">
        <v>482</v>
      </c>
      <c r="I116" s="164"/>
      <c r="J116" s="175">
        <f>IF(VLOOKUP(A116,'Aux - pivots1'!$A:$E,3,0)=0, "",VLOOKUP(A116,'Aux - pivots1'!$A:$E,3,0))</f>
        <v>45562</v>
      </c>
      <c r="K116" s="175" t="str">
        <f>IF(VLOOKUP(A116,'Aux - pivots1'!$A:$E,4,0)=0, "",VLOOKUP(A116,'Aux - pivots1'!$A:$E,4,0))</f>
        <v/>
      </c>
      <c r="L116" s="175" t="str">
        <f>IF(VLOOKUP(A116,'Aux - pivots1'!$A:$E,5,0)=0, "",VLOOKUP(A116,'Aux - pivots1'!$A:$E,5,0))</f>
        <v/>
      </c>
      <c r="M116" s="202"/>
    </row>
    <row r="117" spans="1:13" ht="16.2">
      <c r="A117" s="31" t="str">
        <f t="shared" si="1"/>
        <v>cd_imv_out_certifdata_exprc_epc</v>
      </c>
      <c r="B117" s="162" t="s">
        <v>28</v>
      </c>
      <c r="C117" s="157" t="s">
        <v>54</v>
      </c>
      <c r="D117" s="153" t="s">
        <v>40</v>
      </c>
      <c r="E117" s="154" t="s">
        <v>120</v>
      </c>
      <c r="F117" s="153" t="s">
        <v>126</v>
      </c>
      <c r="G117" s="155" t="str">
        <f>VLOOKUP(A117,Plano_V3!$A$27:$G$583,7,0)</f>
        <v>6. Em implementação (re-especificação)</v>
      </c>
      <c r="H117" s="155" t="s">
        <v>482</v>
      </c>
      <c r="I117" s="164"/>
      <c r="J117" s="175">
        <f>IF(VLOOKUP(A117,'Aux - pivots1'!$A:$E,3,0)=0, "",VLOOKUP(A117,'Aux - pivots1'!$A:$E,3,0))</f>
        <v>45562</v>
      </c>
      <c r="K117" s="175" t="str">
        <f>IF(VLOOKUP(A117,'Aux - pivots1'!$A:$E,4,0)=0, "",VLOOKUP(A117,'Aux - pivots1'!$A:$E,4,0))</f>
        <v/>
      </c>
      <c r="L117" s="175" t="str">
        <f>IF(VLOOKUP(A117,'Aux - pivots1'!$A:$E,5,0)=0, "",VLOOKUP(A117,'Aux - pivots1'!$A:$E,5,0))</f>
        <v/>
      </c>
      <c r="M117" s="202"/>
    </row>
    <row r="118" spans="1:13" ht="16.2">
      <c r="A118" s="31" t="str">
        <f t="shared" si="1"/>
        <v>cd_imv_out_certifepc</v>
      </c>
      <c r="B118" s="162" t="s">
        <v>28</v>
      </c>
      <c r="C118" s="157" t="s">
        <v>54</v>
      </c>
      <c r="D118" s="153" t="s">
        <v>40</v>
      </c>
      <c r="E118" s="154" t="s">
        <v>120</v>
      </c>
      <c r="F118" s="153" t="s">
        <v>47</v>
      </c>
      <c r="G118" s="155" t="str">
        <f>VLOOKUP(A118,Plano_V3!$A$27:$G$583,7,0)</f>
        <v>6. Em implementação (re-especificação)</v>
      </c>
      <c r="H118" s="155" t="s">
        <v>482</v>
      </c>
      <c r="I118" s="164"/>
      <c r="J118" s="175">
        <f>IF(VLOOKUP(A118,'Aux - pivots1'!$A:$E,3,0)=0, "",VLOOKUP(A118,'Aux - pivots1'!$A:$E,3,0))</f>
        <v>45562</v>
      </c>
      <c r="K118" s="175" t="str">
        <f>IF(VLOOKUP(A118,'Aux - pivots1'!$A:$E,4,0)=0, "",VLOOKUP(A118,'Aux - pivots1'!$A:$E,4,0))</f>
        <v/>
      </c>
      <c r="L118" s="175" t="str">
        <f>IF(VLOOKUP(A118,'Aux - pivots1'!$A:$E,5,0)=0, "",VLOOKUP(A118,'Aux - pivots1'!$A:$E,5,0))</f>
        <v/>
      </c>
      <c r="M118" s="202"/>
    </row>
    <row r="119" spans="1:13" ht="16.2">
      <c r="A119" s="31" t="str">
        <f t="shared" si="1"/>
        <v>cd_imv_out_certifflg_efcc_enrg_cnsm_tp_s</v>
      </c>
      <c r="B119" s="162" t="s">
        <v>28</v>
      </c>
      <c r="C119" s="157" t="s">
        <v>54</v>
      </c>
      <c r="D119" s="153" t="s">
        <v>40</v>
      </c>
      <c r="E119" s="154" t="s">
        <v>120</v>
      </c>
      <c r="F119" s="153" t="s">
        <v>127</v>
      </c>
      <c r="G119" s="155" t="str">
        <f>VLOOKUP(A119,Plano_V3!$A$27:$G$583,7,0)</f>
        <v>1. Concluído</v>
      </c>
      <c r="H119" s="155" t="s">
        <v>477</v>
      </c>
      <c r="I119" s="164"/>
      <c r="J119" s="175" t="str">
        <f>IF(VLOOKUP(A119,'Aux - pivots1'!$A:$E,3,0)=0, "",VLOOKUP(A119,'Aux - pivots1'!$A:$E,3,0))</f>
        <v/>
      </c>
      <c r="K119" s="175" t="str">
        <f>IF(VLOOKUP(A119,'Aux - pivots1'!$A:$E,4,0)=0, "",VLOOKUP(A119,'Aux - pivots1'!$A:$E,4,0))</f>
        <v/>
      </c>
      <c r="L119" s="175" t="str">
        <f>IF(VLOOKUP(A119,'Aux - pivots1'!$A:$E,5,0)=0, "",VLOOKUP(A119,'Aux - pivots1'!$A:$E,5,0))</f>
        <v/>
      </c>
      <c r="M119" s="202"/>
    </row>
    <row r="120" spans="1:13" ht="16.2">
      <c r="A120" s="31" t="str">
        <f t="shared" si="1"/>
        <v>cd_imv_out_certifflg_efcnc_enrg_cnsm_tp_t</v>
      </c>
      <c r="B120" s="162" t="s">
        <v>28</v>
      </c>
      <c r="C120" s="157" t="s">
        <v>54</v>
      </c>
      <c r="D120" s="153" t="s">
        <v>40</v>
      </c>
      <c r="E120" s="154" t="s">
        <v>120</v>
      </c>
      <c r="F120" s="153" t="s">
        <v>128</v>
      </c>
      <c r="G120" s="155" t="str">
        <f>VLOOKUP(A120,Plano_V3!$A$27:$G$583,7,0)</f>
        <v>1. Concluído</v>
      </c>
      <c r="H120" s="155" t="s">
        <v>477</v>
      </c>
      <c r="I120" s="164"/>
      <c r="J120" s="175" t="str">
        <f>IF(VLOOKUP(A120,'Aux - pivots1'!$A:$E,3,0)=0, "",VLOOKUP(A120,'Aux - pivots1'!$A:$E,3,0))</f>
        <v/>
      </c>
      <c r="K120" s="175" t="str">
        <f>IF(VLOOKUP(A120,'Aux - pivots1'!$A:$E,4,0)=0, "",VLOOKUP(A120,'Aux - pivots1'!$A:$E,4,0))</f>
        <v/>
      </c>
      <c r="L120" s="175" t="str">
        <f>IF(VLOOKUP(A120,'Aux - pivots1'!$A:$E,5,0)=0, "",VLOOKUP(A120,'Aux - pivots1'!$A:$E,5,0))</f>
        <v/>
      </c>
      <c r="M120" s="202"/>
    </row>
    <row r="121" spans="1:13" ht="16.2">
      <c r="A121" s="31" t="str">
        <f t="shared" si="1"/>
        <v>cd_imv_out_certifflg_efcnc_enrgtc</v>
      </c>
      <c r="B121" s="162" t="s">
        <v>28</v>
      </c>
      <c r="C121" s="157" t="s">
        <v>54</v>
      </c>
      <c r="D121" s="153" t="s">
        <v>40</v>
      </c>
      <c r="E121" s="154" t="s">
        <v>120</v>
      </c>
      <c r="F121" s="153" t="s">
        <v>129</v>
      </c>
      <c r="G121" s="155" t="str">
        <f>VLOOKUP(A121,Plano_V3!$A$27:$G$583,7,0)</f>
        <v>6. Em implementação (re-especificação)</v>
      </c>
      <c r="H121" s="155" t="s">
        <v>482</v>
      </c>
      <c r="I121" s="164"/>
      <c r="J121" s="175">
        <f>IF(VLOOKUP(A121,'Aux - pivots1'!$A:$E,3,0)=0, "",VLOOKUP(A121,'Aux - pivots1'!$A:$E,3,0))</f>
        <v>45562</v>
      </c>
      <c r="K121" s="175" t="str">
        <f>IF(VLOOKUP(A121,'Aux - pivots1'!$A:$E,4,0)=0, "",VLOOKUP(A121,'Aux - pivots1'!$A:$E,4,0))</f>
        <v/>
      </c>
      <c r="L121" s="175" t="str">
        <f>IF(VLOOKUP(A121,'Aux - pivots1'!$A:$E,5,0)=0, "",VLOOKUP(A121,'Aux - pivots1'!$A:$E,5,0))</f>
        <v/>
      </c>
      <c r="M121" s="202"/>
    </row>
    <row r="122" spans="1:13" ht="16.2">
      <c r="A122" s="31" t="str">
        <f t="shared" si="1"/>
        <v>cd_imv_out_certifflg_efcnc_enrgtc_rnvv</v>
      </c>
      <c r="B122" s="162" t="s">
        <v>28</v>
      </c>
      <c r="C122" s="157" t="s">
        <v>54</v>
      </c>
      <c r="D122" s="153" t="s">
        <v>40</v>
      </c>
      <c r="E122" s="154" t="s">
        <v>120</v>
      </c>
      <c r="F122" s="153" t="s">
        <v>130</v>
      </c>
      <c r="G122" s="155" t="str">
        <f>VLOOKUP(A122,Plano_V3!$A$27:$G$583,7,0)</f>
        <v>1. Concluído</v>
      </c>
      <c r="H122" s="155" t="s">
        <v>477</v>
      </c>
      <c r="I122" s="164"/>
      <c r="J122" s="175" t="str">
        <f>IF(VLOOKUP(A122,'Aux - pivots1'!$A:$E,3,0)=0, "",VLOOKUP(A122,'Aux - pivots1'!$A:$E,3,0))</f>
        <v/>
      </c>
      <c r="K122" s="175" t="str">
        <f>IF(VLOOKUP(A122,'Aux - pivots1'!$A:$E,4,0)=0, "",VLOOKUP(A122,'Aux - pivots1'!$A:$E,4,0))</f>
        <v/>
      </c>
      <c r="L122" s="175" t="str">
        <f>IF(VLOOKUP(A122,'Aux - pivots1'!$A:$E,5,0)=0, "",VLOOKUP(A122,'Aux - pivots1'!$A:$E,5,0))</f>
        <v/>
      </c>
      <c r="M122" s="202"/>
    </row>
    <row r="123" spans="1:13" ht="16.2">
      <c r="A123" s="31" t="str">
        <f t="shared" si="1"/>
        <v>cd_imv_out_certifflg_nzeb</v>
      </c>
      <c r="B123" s="162" t="s">
        <v>28</v>
      </c>
      <c r="C123" s="157" t="s">
        <v>54</v>
      </c>
      <c r="D123" s="153" t="s">
        <v>40</v>
      </c>
      <c r="E123" s="154" t="s">
        <v>120</v>
      </c>
      <c r="F123" s="153" t="s">
        <v>131</v>
      </c>
      <c r="G123" s="155" t="str">
        <f>VLOOKUP(A123,Plano_V3!$A$27:$G$583,7,0)</f>
        <v>6. Em implementação (re-especificação)</v>
      </c>
      <c r="H123" s="155" t="s">
        <v>482</v>
      </c>
      <c r="I123" s="164"/>
      <c r="J123" s="175">
        <f>IF(VLOOKUP(A123,'Aux - pivots1'!$A:$E,3,0)=0, "",VLOOKUP(A123,'Aux - pivots1'!$A:$E,3,0))</f>
        <v>45562</v>
      </c>
      <c r="K123" s="175" t="str">
        <f>IF(VLOOKUP(A123,'Aux - pivots1'!$A:$E,4,0)=0, "",VLOOKUP(A123,'Aux - pivots1'!$A:$E,4,0))</f>
        <v/>
      </c>
      <c r="L123" s="175" t="str">
        <f>IF(VLOOKUP(A123,'Aux - pivots1'!$A:$E,5,0)=0, "",VLOOKUP(A123,'Aux - pivots1'!$A:$E,5,0))</f>
        <v/>
      </c>
      <c r="M123" s="202"/>
    </row>
    <row r="124" spans="1:13" ht="16.2">
      <c r="A124" s="31" t="str">
        <f t="shared" si="1"/>
        <v>cd_imv_out_certifmetodo_info</v>
      </c>
      <c r="B124" s="162" t="s">
        <v>28</v>
      </c>
      <c r="C124" s="157" t="s">
        <v>54</v>
      </c>
      <c r="D124" s="153" t="s">
        <v>40</v>
      </c>
      <c r="E124" s="154" t="s">
        <v>120</v>
      </c>
      <c r="F124" s="153" t="s">
        <v>49</v>
      </c>
      <c r="G124" s="155" t="str">
        <f>VLOOKUP(A124,Plano_V3!$A$27:$G$583,7,0)</f>
        <v>6. Em implementação (re-especificação)</v>
      </c>
      <c r="H124" s="155" t="s">
        <v>482</v>
      </c>
      <c r="I124" s="164"/>
      <c r="J124" s="175">
        <f>IF(VLOOKUP(A124,'Aux - pivots1'!$A:$E,3,0)=0, "",VLOOKUP(A124,'Aux - pivots1'!$A:$E,3,0))</f>
        <v>45562</v>
      </c>
      <c r="K124" s="175" t="str">
        <f>IF(VLOOKUP(A124,'Aux - pivots1'!$A:$E,4,0)=0, "",VLOOKUP(A124,'Aux - pivots1'!$A:$E,4,0))</f>
        <v/>
      </c>
      <c r="L124" s="175" t="str">
        <f>IF(VLOOKUP(A124,'Aux - pivots1'!$A:$E,5,0)=0, "",VLOOKUP(A124,'Aux - pivots1'!$A:$E,5,0))</f>
        <v/>
      </c>
      <c r="M124" s="202"/>
    </row>
    <row r="125" spans="1:13" ht="16.2">
      <c r="A125" s="31" t="str">
        <f t="shared" si="1"/>
        <v>cd_imv_out_certifnvl_efcc_enrg</v>
      </c>
      <c r="B125" s="162" t="s">
        <v>28</v>
      </c>
      <c r="C125" s="157" t="s">
        <v>54</v>
      </c>
      <c r="D125" s="153" t="s">
        <v>40</v>
      </c>
      <c r="E125" s="154" t="s">
        <v>120</v>
      </c>
      <c r="F125" s="153" t="s">
        <v>132</v>
      </c>
      <c r="G125" s="155" t="str">
        <f>VLOOKUP(A125,Plano_V3!$A$27:$G$583,7,0)</f>
        <v>1. Concluído</v>
      </c>
      <c r="H125" s="155" t="s">
        <v>477</v>
      </c>
      <c r="I125" s="164"/>
      <c r="J125" s="175" t="str">
        <f>IF(VLOOKUP(A125,'Aux - pivots1'!$A:$E,3,0)=0, "",VLOOKUP(A125,'Aux - pivots1'!$A:$E,3,0))</f>
        <v/>
      </c>
      <c r="K125" s="175" t="str">
        <f>IF(VLOOKUP(A125,'Aux - pivots1'!$A:$E,4,0)=0, "",VLOOKUP(A125,'Aux - pivots1'!$A:$E,4,0))</f>
        <v/>
      </c>
      <c r="L125" s="175" t="str">
        <f>IF(VLOOKUP(A125,'Aux - pivots1'!$A:$E,5,0)=0, "",VLOOKUP(A125,'Aux - pivots1'!$A:$E,5,0))</f>
        <v/>
      </c>
      <c r="M125" s="202"/>
    </row>
    <row r="126" spans="1:13" ht="16.2">
      <c r="A126" s="31" t="str">
        <f t="shared" si="1"/>
        <v>cd_imv_out_certiforigem</v>
      </c>
      <c r="B126" s="162" t="s">
        <v>28</v>
      </c>
      <c r="C126" s="157" t="s">
        <v>54</v>
      </c>
      <c r="D126" s="153" t="s">
        <v>40</v>
      </c>
      <c r="E126" s="154" t="s">
        <v>120</v>
      </c>
      <c r="F126" s="153" t="s">
        <v>72</v>
      </c>
      <c r="G126" s="155" t="str">
        <f>VLOOKUP(A126,Plano_V3!$A$27:$G$583,7,0)</f>
        <v>6. Em implementação (re-especificação)</v>
      </c>
      <c r="H126" s="155" t="s">
        <v>482</v>
      </c>
      <c r="I126" s="164"/>
      <c r="J126" s="175">
        <f>IF(VLOOKUP(A126,'Aux - pivots1'!$A:$E,3,0)=0, "",VLOOKUP(A126,'Aux - pivots1'!$A:$E,3,0))</f>
        <v>45562</v>
      </c>
      <c r="K126" s="175" t="str">
        <f>IF(VLOOKUP(A126,'Aux - pivots1'!$A:$E,4,0)=0, "",VLOOKUP(A126,'Aux - pivots1'!$A:$E,4,0))</f>
        <v/>
      </c>
      <c r="L126" s="175" t="str">
        <f>IF(VLOOKUP(A126,'Aux - pivots1'!$A:$E,5,0)=0, "",VLOOKUP(A126,'Aux - pivots1'!$A:$E,5,0))</f>
        <v/>
      </c>
      <c r="M126" s="202"/>
    </row>
    <row r="127" spans="1:13" ht="16.2">
      <c r="A127" s="31" t="str">
        <f t="shared" si="1"/>
        <v>cd_imv_out_certifref_date</v>
      </c>
      <c r="B127" s="162" t="s">
        <v>28</v>
      </c>
      <c r="C127" s="157" t="s">
        <v>54</v>
      </c>
      <c r="D127" s="153" t="s">
        <v>40</v>
      </c>
      <c r="E127" s="154" t="s">
        <v>120</v>
      </c>
      <c r="F127" s="153" t="s">
        <v>73</v>
      </c>
      <c r="G127" s="155" t="str">
        <f>VLOOKUP(A127,Plano_V3!$A$27:$G$583,7,0)</f>
        <v>1. Concluído</v>
      </c>
      <c r="H127" s="155" t="s">
        <v>477</v>
      </c>
      <c r="I127" s="164"/>
      <c r="J127" s="175" t="str">
        <f>IF(VLOOKUP(A127,'Aux - pivots1'!$A:$E,3,0)=0, "",VLOOKUP(A127,'Aux - pivots1'!$A:$E,3,0))</f>
        <v/>
      </c>
      <c r="K127" s="175" t="str">
        <f>IF(VLOOKUP(A127,'Aux - pivots1'!$A:$E,4,0)=0, "",VLOOKUP(A127,'Aux - pivots1'!$A:$E,4,0))</f>
        <v/>
      </c>
      <c r="L127" s="175" t="str">
        <f>IF(VLOOKUP(A127,'Aux - pivots1'!$A:$E,5,0)=0, "",VLOOKUP(A127,'Aux - pivots1'!$A:$E,5,0))</f>
        <v/>
      </c>
      <c r="M127" s="202"/>
    </row>
    <row r="128" spans="1:13" ht="16.2">
      <c r="A128" s="31" t="str">
        <f t="shared" si="1"/>
        <v>cd_imv_out_certiftp_crtfcd</v>
      </c>
      <c r="B128" s="162" t="s">
        <v>28</v>
      </c>
      <c r="C128" s="157" t="s">
        <v>54</v>
      </c>
      <c r="D128" s="153" t="s">
        <v>40</v>
      </c>
      <c r="E128" s="154" t="s">
        <v>120</v>
      </c>
      <c r="F128" s="153" t="s">
        <v>133</v>
      </c>
      <c r="G128" s="155" t="str">
        <f>VLOOKUP(A128,Plano_V3!$A$27:$G$583,7,0)</f>
        <v>6. Em implementação (re-especificação)</v>
      </c>
      <c r="H128" s="155" t="s">
        <v>482</v>
      </c>
      <c r="I128" s="164"/>
      <c r="J128" s="175">
        <f>IF(VLOOKUP(A128,'Aux - pivots1'!$A:$E,3,0)=0, "",VLOOKUP(A128,'Aux - pivots1'!$A:$E,3,0))</f>
        <v>45562</v>
      </c>
      <c r="K128" s="175" t="str">
        <f>IF(VLOOKUP(A128,'Aux - pivots1'!$A:$E,4,0)=0, "",VLOOKUP(A128,'Aux - pivots1'!$A:$E,4,0))</f>
        <v/>
      </c>
      <c r="L128" s="175" t="str">
        <f>IF(VLOOKUP(A128,'Aux - pivots1'!$A:$E,5,0)=0, "",VLOOKUP(A128,'Aux - pivots1'!$A:$E,5,0))</f>
        <v/>
      </c>
      <c r="M128" s="202"/>
    </row>
    <row r="129" spans="1:13" ht="16.2">
      <c r="A129" s="31" t="str">
        <f t="shared" si="1"/>
        <v>cd_imv_out_certifvlr_agua_qnt_sant_edfc</v>
      </c>
      <c r="B129" s="162" t="s">
        <v>28</v>
      </c>
      <c r="C129" s="157" t="s">
        <v>54</v>
      </c>
      <c r="D129" s="153" t="s">
        <v>40</v>
      </c>
      <c r="E129" s="154" t="s">
        <v>120</v>
      </c>
      <c r="F129" s="153" t="s">
        <v>134</v>
      </c>
      <c r="G129" s="155" t="str">
        <f>VLOOKUP(A129,Plano_V3!$A$27:$G$583,7,0)</f>
        <v>1. Concluído</v>
      </c>
      <c r="H129" s="155" t="s">
        <v>477</v>
      </c>
      <c r="I129" s="164"/>
      <c r="J129" s="175" t="str">
        <f>IF(VLOOKUP(A129,'Aux - pivots1'!$A:$E,3,0)=0, "",VLOOKUP(A129,'Aux - pivots1'!$A:$E,3,0))</f>
        <v/>
      </c>
      <c r="K129" s="175" t="str">
        <f>IF(VLOOKUP(A129,'Aux - pivots1'!$A:$E,4,0)=0, "",VLOOKUP(A129,'Aux - pivots1'!$A:$E,4,0))</f>
        <v/>
      </c>
      <c r="L129" s="175" t="str">
        <f>IF(VLOOKUP(A129,'Aux - pivots1'!$A:$E,5,0)=0, "",VLOOKUP(A129,'Aux - pivots1'!$A:$E,5,0))</f>
        <v/>
      </c>
      <c r="M129" s="202"/>
    </row>
    <row r="130" spans="1:13" ht="16.2">
      <c r="A130" s="31" t="str">
        <f t="shared" si="1"/>
        <v>cd_imv_out_certifvlr_agua_qnt_snt_rnvv</v>
      </c>
      <c r="B130" s="162" t="s">
        <v>28</v>
      </c>
      <c r="C130" s="157" t="s">
        <v>54</v>
      </c>
      <c r="D130" s="153" t="s">
        <v>40</v>
      </c>
      <c r="E130" s="154" t="s">
        <v>120</v>
      </c>
      <c r="F130" s="153" t="s">
        <v>135</v>
      </c>
      <c r="G130" s="155" t="str">
        <f>VLOOKUP(A130,Plano_V3!$A$27:$G$583,7,0)</f>
        <v>1. Concluído</v>
      </c>
      <c r="H130" s="155" t="s">
        <v>477</v>
      </c>
      <c r="I130" s="164"/>
      <c r="J130" s="175" t="str">
        <f>IF(VLOOKUP(A130,'Aux - pivots1'!$A:$E,3,0)=0, "",VLOOKUP(A130,'Aux - pivots1'!$A:$E,3,0))</f>
        <v/>
      </c>
      <c r="K130" s="175" t="str">
        <f>IF(VLOOKUP(A130,'Aux - pivots1'!$A:$E,4,0)=0, "",VLOOKUP(A130,'Aux - pivots1'!$A:$E,4,0))</f>
        <v/>
      </c>
      <c r="L130" s="175" t="str">
        <f>IF(VLOOKUP(A130,'Aux - pivots1'!$A:$E,5,0)=0, "",VLOOKUP(A130,'Aux - pivots1'!$A:$E,5,0))</f>
        <v/>
      </c>
      <c r="M130" s="202"/>
    </row>
    <row r="131" spans="1:13" ht="16.2">
      <c r="A131" s="31" t="str">
        <f t="shared" si="1"/>
        <v>cd_imv_out_certifvlr_agua_qnt_sntr_rfrc</v>
      </c>
      <c r="B131" s="162" t="s">
        <v>28</v>
      </c>
      <c r="C131" s="157" t="s">
        <v>54</v>
      </c>
      <c r="D131" s="153" t="s">
        <v>40</v>
      </c>
      <c r="E131" s="154" t="s">
        <v>120</v>
      </c>
      <c r="F131" s="153" t="s">
        <v>136</v>
      </c>
      <c r="G131" s="155" t="str">
        <f>VLOOKUP(A131,Plano_V3!$A$27:$G$583,7,0)</f>
        <v>1. Concluído</v>
      </c>
      <c r="H131" s="155" t="s">
        <v>477</v>
      </c>
      <c r="I131" s="164"/>
      <c r="J131" s="175" t="str">
        <f>IF(VLOOKUP(A131,'Aux - pivots1'!$A:$E,3,0)=0, "",VLOOKUP(A131,'Aux - pivots1'!$A:$E,3,0))</f>
        <v/>
      </c>
      <c r="K131" s="175" t="str">
        <f>IF(VLOOKUP(A131,'Aux - pivots1'!$A:$E,4,0)=0, "",VLOOKUP(A131,'Aux - pivots1'!$A:$E,4,0))</f>
        <v/>
      </c>
      <c r="L131" s="175" t="str">
        <f>IF(VLOOKUP(A131,'Aux - pivots1'!$A:$E,5,0)=0, "",VLOOKUP(A131,'Aux - pivots1'!$A:$E,5,0))</f>
        <v/>
      </c>
      <c r="M131" s="202"/>
    </row>
    <row r="132" spans="1:13" ht="16.2">
      <c r="A132" s="31" t="str">
        <f t="shared" si="1"/>
        <v>cd_imv_out_certifvlr_alttt</v>
      </c>
      <c r="B132" s="162" t="s">
        <v>28</v>
      </c>
      <c r="C132" s="157" t="s">
        <v>54</v>
      </c>
      <c r="D132" s="153" t="s">
        <v>40</v>
      </c>
      <c r="E132" s="154" t="s">
        <v>120</v>
      </c>
      <c r="F132" s="153" t="s">
        <v>137</v>
      </c>
      <c r="G132" s="155" t="str">
        <f>VLOOKUP(A132,Plano_V3!$A$27:$G$583,7,0)</f>
        <v>1. Concluído</v>
      </c>
      <c r="H132" s="155" t="s">
        <v>477</v>
      </c>
      <c r="I132" s="164"/>
      <c r="J132" s="175" t="str">
        <f>IF(VLOOKUP(A132,'Aux - pivots1'!$A:$E,3,0)=0, "",VLOOKUP(A132,'Aux - pivots1'!$A:$E,3,0))</f>
        <v/>
      </c>
      <c r="K132" s="175" t="str">
        <f>IF(VLOOKUP(A132,'Aux - pivots1'!$A:$E,4,0)=0, "",VLOOKUP(A132,'Aux - pivots1'!$A:$E,4,0))</f>
        <v/>
      </c>
      <c r="L132" s="175" t="str">
        <f>IF(VLOOKUP(A132,'Aux - pivots1'!$A:$E,5,0)=0, "",VLOOKUP(A132,'Aux - pivots1'!$A:$E,5,0))</f>
        <v/>
      </c>
      <c r="M132" s="202"/>
    </row>
    <row r="133" spans="1:13" ht="16.2">
      <c r="A133" s="31" t="str">
        <f t="shared" si="1"/>
        <v>cd_imv_out_certifvlr_aqcmnt_ambnt_edfc</v>
      </c>
      <c r="B133" s="162" t="s">
        <v>28</v>
      </c>
      <c r="C133" s="157" t="s">
        <v>54</v>
      </c>
      <c r="D133" s="153" t="s">
        <v>40</v>
      </c>
      <c r="E133" s="154" t="s">
        <v>120</v>
      </c>
      <c r="F133" s="153" t="s">
        <v>138</v>
      </c>
      <c r="G133" s="155" t="str">
        <f>VLOOKUP(A133,Plano_V3!$A$27:$G$583,7,0)</f>
        <v>1. Concluído</v>
      </c>
      <c r="H133" s="155" t="s">
        <v>477</v>
      </c>
      <c r="I133" s="164"/>
      <c r="J133" s="175" t="str">
        <f>IF(VLOOKUP(A133,'Aux - pivots1'!$A:$E,3,0)=0, "",VLOOKUP(A133,'Aux - pivots1'!$A:$E,3,0))</f>
        <v/>
      </c>
      <c r="K133" s="175" t="str">
        <f>IF(VLOOKUP(A133,'Aux - pivots1'!$A:$E,4,0)=0, "",VLOOKUP(A133,'Aux - pivots1'!$A:$E,4,0))</f>
        <v/>
      </c>
      <c r="L133" s="175" t="str">
        <f>IF(VLOOKUP(A133,'Aux - pivots1'!$A:$E,5,0)=0, "",VLOOKUP(A133,'Aux - pivots1'!$A:$E,5,0))</f>
        <v/>
      </c>
      <c r="M133" s="202"/>
    </row>
    <row r="134" spans="1:13" ht="16.2">
      <c r="A134" s="31" t="str">
        <f t="shared" si="1"/>
        <v>cd_imv_out_certifvlr_aqcmnt_ambnt_rfrc</v>
      </c>
      <c r="B134" s="162" t="s">
        <v>28</v>
      </c>
      <c r="C134" s="157" t="s">
        <v>54</v>
      </c>
      <c r="D134" s="153" t="s">
        <v>40</v>
      </c>
      <c r="E134" s="154" t="s">
        <v>120</v>
      </c>
      <c r="F134" s="153" t="s">
        <v>139</v>
      </c>
      <c r="G134" s="155" t="str">
        <f>VLOOKUP(A134,Plano_V3!$A$27:$G$583,7,0)</f>
        <v>1. Concluído</v>
      </c>
      <c r="H134" s="155" t="s">
        <v>477</v>
      </c>
      <c r="I134" s="164"/>
      <c r="J134" s="175" t="str">
        <f>IF(VLOOKUP(A134,'Aux - pivots1'!$A:$E,3,0)=0, "",VLOOKUP(A134,'Aux - pivots1'!$A:$E,3,0))</f>
        <v/>
      </c>
      <c r="K134" s="175" t="str">
        <f>IF(VLOOKUP(A134,'Aux - pivots1'!$A:$E,4,0)=0, "",VLOOKUP(A134,'Aux - pivots1'!$A:$E,4,0))</f>
        <v/>
      </c>
      <c r="L134" s="175" t="str">
        <f>IF(VLOOKUP(A134,'Aux - pivots1'!$A:$E,5,0)=0, "",VLOOKUP(A134,'Aux - pivots1'!$A:$E,5,0))</f>
        <v/>
      </c>
      <c r="M134" s="202"/>
    </row>
    <row r="135" spans="1:13" ht="16.2">
      <c r="A135" s="31" t="str">
        <f t="shared" si="1"/>
        <v>cd_imv_out_certifvlr_aqcmnt_ambnt_rnvv</v>
      </c>
      <c r="B135" s="162" t="s">
        <v>28</v>
      </c>
      <c r="C135" s="157" t="s">
        <v>54</v>
      </c>
      <c r="D135" s="153" t="s">
        <v>40</v>
      </c>
      <c r="E135" s="154" t="s">
        <v>120</v>
      </c>
      <c r="F135" s="153" t="s">
        <v>140</v>
      </c>
      <c r="G135" s="155" t="str">
        <f>VLOOKUP(A135,Plano_V3!$A$27:$G$583,7,0)</f>
        <v>1. Concluído</v>
      </c>
      <c r="H135" s="155" t="s">
        <v>477</v>
      </c>
      <c r="I135" s="164"/>
      <c r="J135" s="175" t="str">
        <f>IF(VLOOKUP(A135,'Aux - pivots1'!$A:$E,3,0)=0, "",VLOOKUP(A135,'Aux - pivots1'!$A:$E,3,0))</f>
        <v/>
      </c>
      <c r="K135" s="175" t="str">
        <f>IF(VLOOKUP(A135,'Aux - pivots1'!$A:$E,4,0)=0, "",VLOOKUP(A135,'Aux - pivots1'!$A:$E,4,0))</f>
        <v/>
      </c>
      <c r="L135" s="175" t="str">
        <f>IF(VLOOKUP(A135,'Aux - pivots1'!$A:$E,5,0)=0, "",VLOOKUP(A135,'Aux - pivots1'!$A:$E,5,0))</f>
        <v/>
      </c>
      <c r="M135" s="202"/>
    </row>
    <row r="136" spans="1:13" ht="16.2">
      <c r="A136" s="31" t="str">
        <f t="shared" ref="A136:A206" si="2">E136&amp;F136</f>
        <v>cd_imv_out_certifvlr_arrfcmnt_ambnt_edfc</v>
      </c>
      <c r="B136" s="162" t="s">
        <v>28</v>
      </c>
      <c r="C136" s="157" t="s">
        <v>54</v>
      </c>
      <c r="D136" s="153" t="s">
        <v>40</v>
      </c>
      <c r="E136" s="154" t="s">
        <v>120</v>
      </c>
      <c r="F136" s="153" t="s">
        <v>141</v>
      </c>
      <c r="G136" s="155" t="str">
        <f>VLOOKUP(A136,Plano_V3!$A$27:$G$583,7,0)</f>
        <v>1. Concluído</v>
      </c>
      <c r="H136" s="155" t="s">
        <v>477</v>
      </c>
      <c r="I136" s="164"/>
      <c r="J136" s="175" t="str">
        <f>IF(VLOOKUP(A136,'Aux - pivots1'!$A:$E,3,0)=0, "",VLOOKUP(A136,'Aux - pivots1'!$A:$E,3,0))</f>
        <v/>
      </c>
      <c r="K136" s="175" t="str">
        <f>IF(VLOOKUP(A136,'Aux - pivots1'!$A:$E,4,0)=0, "",VLOOKUP(A136,'Aux - pivots1'!$A:$E,4,0))</f>
        <v/>
      </c>
      <c r="L136" s="175" t="str">
        <f>IF(VLOOKUP(A136,'Aux - pivots1'!$A:$E,5,0)=0, "",VLOOKUP(A136,'Aux - pivots1'!$A:$E,5,0))</f>
        <v/>
      </c>
      <c r="M136" s="202"/>
    </row>
    <row r="137" spans="1:13" ht="16.2">
      <c r="A137" s="31" t="str">
        <f t="shared" si="2"/>
        <v>cd_imv_out_certifvlr_arrfcmnt_ambnt_renvv</v>
      </c>
      <c r="B137" s="162" t="s">
        <v>28</v>
      </c>
      <c r="C137" s="157" t="s">
        <v>54</v>
      </c>
      <c r="D137" s="153" t="s">
        <v>40</v>
      </c>
      <c r="E137" s="154" t="s">
        <v>120</v>
      </c>
      <c r="F137" s="153" t="s">
        <v>142</v>
      </c>
      <c r="G137" s="155" t="str">
        <f>VLOOKUP(A137,Plano_V3!$A$27:$G$583,7,0)</f>
        <v>1. Concluído</v>
      </c>
      <c r="H137" s="155" t="s">
        <v>477</v>
      </c>
      <c r="I137" s="164"/>
      <c r="J137" s="175" t="str">
        <f>IF(VLOOKUP(A137,'Aux - pivots1'!$A:$E,3,0)=0, "",VLOOKUP(A137,'Aux - pivots1'!$A:$E,3,0))</f>
        <v/>
      </c>
      <c r="K137" s="175" t="str">
        <f>IF(VLOOKUP(A137,'Aux - pivots1'!$A:$E,4,0)=0, "",VLOOKUP(A137,'Aux - pivots1'!$A:$E,4,0))</f>
        <v/>
      </c>
      <c r="L137" s="175" t="str">
        <f>IF(VLOOKUP(A137,'Aux - pivots1'!$A:$E,5,0)=0, "",VLOOKUP(A137,'Aux - pivots1'!$A:$E,5,0))</f>
        <v/>
      </c>
      <c r="M137" s="202"/>
    </row>
    <row r="138" spans="1:13" ht="16.2">
      <c r="A138" s="31" t="str">
        <f t="shared" si="2"/>
        <v>cd_imv_out_certifvlr_arrfcmnt_ambnt_rfrc</v>
      </c>
      <c r="B138" s="162" t="s">
        <v>28</v>
      </c>
      <c r="C138" s="157" t="s">
        <v>54</v>
      </c>
      <c r="D138" s="153" t="s">
        <v>40</v>
      </c>
      <c r="E138" s="154" t="s">
        <v>120</v>
      </c>
      <c r="F138" s="153" t="s">
        <v>143</v>
      </c>
      <c r="G138" s="155" t="str">
        <f>VLOOKUP(A138,Plano_V3!$A$27:$G$583,7,0)</f>
        <v>1. Concluído</v>
      </c>
      <c r="H138" s="155" t="s">
        <v>477</v>
      </c>
      <c r="I138" s="164"/>
      <c r="J138" s="175" t="str">
        <f>IF(VLOOKUP(A138,'Aux - pivots1'!$A:$E,3,0)=0, "",VLOOKUP(A138,'Aux - pivots1'!$A:$E,3,0))</f>
        <v/>
      </c>
      <c r="K138" s="175" t="str">
        <f>IF(VLOOKUP(A138,'Aux - pivots1'!$A:$E,4,0)=0, "",VLOOKUP(A138,'Aux - pivots1'!$A:$E,4,0))</f>
        <v/>
      </c>
      <c r="L138" s="175" t="str">
        <f>IF(VLOOKUP(A138,'Aux - pivots1'!$A:$E,5,0)=0, "",VLOOKUP(A138,'Aux - pivots1'!$A:$E,5,0))</f>
        <v/>
      </c>
      <c r="M138" s="202"/>
    </row>
    <row r="139" spans="1:13" ht="16.2">
      <c r="A139" s="31" t="str">
        <f t="shared" si="2"/>
        <v>cd_imv_out_certifvlr_class_enrg_aps_mdd</v>
      </c>
      <c r="B139" s="162" t="s">
        <v>28</v>
      </c>
      <c r="C139" s="157" t="s">
        <v>54</v>
      </c>
      <c r="D139" s="153" t="s">
        <v>40</v>
      </c>
      <c r="E139" s="154" t="s">
        <v>120</v>
      </c>
      <c r="F139" s="153" t="s">
        <v>144</v>
      </c>
      <c r="G139" s="155" t="str">
        <f>VLOOKUP(A139,Plano_V3!$A$27:$G$583,7,0)</f>
        <v>1. Concluído</v>
      </c>
      <c r="H139" s="155" t="s">
        <v>477</v>
      </c>
      <c r="I139" s="164"/>
      <c r="J139" s="175" t="str">
        <f>IF(VLOOKUP(A139,'Aux - pivots1'!$A:$E,3,0)=0, "",VLOOKUP(A139,'Aux - pivots1'!$A:$E,3,0))</f>
        <v/>
      </c>
      <c r="K139" s="175" t="str">
        <f>IF(VLOOKUP(A139,'Aux - pivots1'!$A:$E,4,0)=0, "",VLOOKUP(A139,'Aux - pivots1'!$A:$E,4,0))</f>
        <v/>
      </c>
      <c r="L139" s="175" t="str">
        <f>IF(VLOOKUP(A139,'Aux - pivots1'!$A:$E,5,0)=0, "",VLOOKUP(A139,'Aux - pivots1'!$A:$E,5,0))</f>
        <v/>
      </c>
      <c r="M139" s="202"/>
    </row>
    <row r="140" spans="1:13" ht="16.2">
      <c r="A140" s="31" t="str">
        <f t="shared" si="2"/>
        <v>cd_imv_out_certifvlr_cnsm_ano</v>
      </c>
      <c r="B140" s="162" t="s">
        <v>28</v>
      </c>
      <c r="C140" s="157" t="s">
        <v>54</v>
      </c>
      <c r="D140" s="153" t="s">
        <v>40</v>
      </c>
      <c r="E140" s="154" t="s">
        <v>120</v>
      </c>
      <c r="F140" s="153" t="s">
        <v>51</v>
      </c>
      <c r="G140" s="155" t="str">
        <f>VLOOKUP(A140,Plano_V3!$A$27:$G$583,7,0)</f>
        <v>6. Em implementação (re-especificação)</v>
      </c>
      <c r="H140" s="155" t="s">
        <v>482</v>
      </c>
      <c r="I140" s="164"/>
      <c r="J140" s="175">
        <f>IF(VLOOKUP(A140,'Aux - pivots1'!$A:$E,3,0)=0, "",VLOOKUP(A140,'Aux - pivots1'!$A:$E,3,0))</f>
        <v>45562</v>
      </c>
      <c r="K140" s="175" t="str">
        <f>IF(VLOOKUP(A140,'Aux - pivots1'!$A:$E,4,0)=0, "",VLOOKUP(A140,'Aux - pivots1'!$A:$E,4,0))</f>
        <v/>
      </c>
      <c r="L140" s="175" t="str">
        <f>IF(VLOOKUP(A140,'Aux - pivots1'!$A:$E,5,0)=0, "",VLOOKUP(A140,'Aux - pivots1'!$A:$E,5,0))</f>
        <v/>
      </c>
      <c r="M140" s="202"/>
    </row>
    <row r="141" spans="1:13" ht="16.2">
      <c r="A141" s="31" t="str">
        <f t="shared" si="2"/>
        <v>cd_imv_out_certifvlr_comp_trmc_cbrtrs</v>
      </c>
      <c r="B141" s="162" t="s">
        <v>28</v>
      </c>
      <c r="C141" s="157" t="s">
        <v>54</v>
      </c>
      <c r="D141" s="153" t="s">
        <v>40</v>
      </c>
      <c r="E141" s="154" t="s">
        <v>120</v>
      </c>
      <c r="F141" s="153" t="s">
        <v>145</v>
      </c>
      <c r="G141" s="155" t="str">
        <f>VLOOKUP(A141,Plano_V3!$A$27:$G$583,7,0)</f>
        <v>1. Concluído</v>
      </c>
      <c r="H141" s="155" t="s">
        <v>477</v>
      </c>
      <c r="I141" s="164"/>
      <c r="J141" s="175" t="str">
        <f>IF(VLOOKUP(A141,'Aux - pivots1'!$A:$E,3,0)=0, "",VLOOKUP(A141,'Aux - pivots1'!$A:$E,3,0))</f>
        <v/>
      </c>
      <c r="K141" s="175" t="str">
        <f>IF(VLOOKUP(A141,'Aux - pivots1'!$A:$E,4,0)=0, "",VLOOKUP(A141,'Aux - pivots1'!$A:$E,4,0))</f>
        <v/>
      </c>
      <c r="L141" s="175" t="str">
        <f>IF(VLOOKUP(A141,'Aux - pivots1'!$A:$E,5,0)=0, "",VLOOKUP(A141,'Aux - pivots1'!$A:$E,5,0))</f>
        <v/>
      </c>
      <c r="M141" s="202"/>
    </row>
    <row r="142" spans="1:13" ht="16.2">
      <c r="A142" s="31" t="str">
        <f t="shared" si="2"/>
        <v>cd_imv_out_certifvlr_comp_trmc_jnls</v>
      </c>
      <c r="B142" s="162" t="s">
        <v>28</v>
      </c>
      <c r="C142" s="157" t="s">
        <v>54</v>
      </c>
      <c r="D142" s="153" t="s">
        <v>40</v>
      </c>
      <c r="E142" s="154" t="s">
        <v>120</v>
      </c>
      <c r="F142" s="153" t="s">
        <v>146</v>
      </c>
      <c r="G142" s="155" t="str">
        <f>VLOOKUP(A142,Plano_V3!$A$27:$G$583,7,0)</f>
        <v>1. Concluído</v>
      </c>
      <c r="H142" s="155" t="s">
        <v>477</v>
      </c>
      <c r="I142" s="164"/>
      <c r="J142" s="175" t="str">
        <f>IF(VLOOKUP(A142,'Aux - pivots1'!$A:$E,3,0)=0, "",VLOOKUP(A142,'Aux - pivots1'!$A:$E,3,0))</f>
        <v/>
      </c>
      <c r="K142" s="175" t="str">
        <f>IF(VLOOKUP(A142,'Aux - pivots1'!$A:$E,4,0)=0, "",VLOOKUP(A142,'Aux - pivots1'!$A:$E,4,0))</f>
        <v/>
      </c>
      <c r="L142" s="175" t="str">
        <f>IF(VLOOKUP(A142,'Aux - pivots1'!$A:$E,5,0)=0, "",VLOOKUP(A142,'Aux - pivots1'!$A:$E,5,0))</f>
        <v/>
      </c>
      <c r="M142" s="202"/>
    </row>
    <row r="143" spans="1:13" ht="16.2">
      <c r="A143" s="31" t="str">
        <f t="shared" si="2"/>
        <v>cd_imv_out_certifvlr_comp_trmc_prds</v>
      </c>
      <c r="B143" s="162" t="s">
        <v>28</v>
      </c>
      <c r="C143" s="157" t="s">
        <v>54</v>
      </c>
      <c r="D143" s="153" t="s">
        <v>40</v>
      </c>
      <c r="E143" s="154" t="s">
        <v>120</v>
      </c>
      <c r="F143" s="153" t="s">
        <v>147</v>
      </c>
      <c r="G143" s="155" t="str">
        <f>VLOOKUP(A143,Plano_V3!$A$27:$G$583,7,0)</f>
        <v>1. Concluído</v>
      </c>
      <c r="H143" s="155" t="s">
        <v>477</v>
      </c>
      <c r="I143" s="164"/>
      <c r="J143" s="175" t="str">
        <f>IF(VLOOKUP(A143,'Aux - pivots1'!$A:$E,3,0)=0, "",VLOOKUP(A143,'Aux - pivots1'!$A:$E,3,0))</f>
        <v/>
      </c>
      <c r="K143" s="175" t="str">
        <f>IF(VLOOKUP(A143,'Aux - pivots1'!$A:$E,4,0)=0, "",VLOOKUP(A143,'Aux - pivots1'!$A:$E,4,0))</f>
        <v/>
      </c>
      <c r="L143" s="175" t="str">
        <f>IF(VLOOKUP(A143,'Aux - pivots1'!$A:$E,5,0)=0, "",VLOOKUP(A143,'Aux - pivots1'!$A:$E,5,0))</f>
        <v/>
      </c>
      <c r="M143" s="202"/>
    </row>
    <row r="144" spans="1:13" ht="16.2">
      <c r="A144" s="31" t="str">
        <f t="shared" si="2"/>
        <v>cd_imv_out_certifvlr_comp_trmc_pvmnts</v>
      </c>
      <c r="B144" s="162" t="s">
        <v>28</v>
      </c>
      <c r="C144" s="157" t="s">
        <v>54</v>
      </c>
      <c r="D144" s="153" t="s">
        <v>40</v>
      </c>
      <c r="E144" s="154" t="s">
        <v>120</v>
      </c>
      <c r="F144" s="153" t="s">
        <v>148</v>
      </c>
      <c r="G144" s="155" t="str">
        <f>VLOOKUP(A144,Plano_V3!$A$27:$G$583,7,0)</f>
        <v>1. Concluído</v>
      </c>
      <c r="H144" s="155" t="s">
        <v>477</v>
      </c>
      <c r="I144" s="164"/>
      <c r="J144" s="175" t="str">
        <f>IF(VLOOKUP(A144,'Aux - pivots1'!$A:$E,3,0)=0, "",VLOOKUP(A144,'Aux - pivots1'!$A:$E,3,0))</f>
        <v/>
      </c>
      <c r="K144" s="175" t="str">
        <f>IF(VLOOKUP(A144,'Aux - pivots1'!$A:$E,4,0)=0, "",VLOOKUP(A144,'Aux - pivots1'!$A:$E,4,0))</f>
        <v/>
      </c>
      <c r="L144" s="175" t="str">
        <f>IF(VLOOKUP(A144,'Aux - pivots1'!$A:$E,5,0)=0, "",VLOOKUP(A144,'Aux - pivots1'!$A:$E,5,0))</f>
        <v/>
      </c>
      <c r="M144" s="202"/>
    </row>
    <row r="145" spans="1:13" ht="16.2">
      <c r="A145" s="31" t="str">
        <f t="shared" si="2"/>
        <v>cd_imv_out_certifvlr_comp_trmc_sstmtcn_vntld</v>
      </c>
      <c r="B145" s="162" t="s">
        <v>28</v>
      </c>
      <c r="C145" s="157" t="s">
        <v>54</v>
      </c>
      <c r="D145" s="153" t="s">
        <v>40</v>
      </c>
      <c r="E145" s="154" t="s">
        <v>120</v>
      </c>
      <c r="F145" s="153" t="s">
        <v>149</v>
      </c>
      <c r="G145" s="155" t="str">
        <f>VLOOKUP(A145,Plano_V3!$A$27:$G$583,7,0)</f>
        <v>1. Concluído</v>
      </c>
      <c r="H145" s="155" t="s">
        <v>477</v>
      </c>
      <c r="I145" s="164"/>
      <c r="J145" s="175" t="str">
        <f>IF(VLOOKUP(A145,'Aux - pivots1'!$A:$E,3,0)=0, "",VLOOKUP(A145,'Aux - pivots1'!$A:$E,3,0))</f>
        <v/>
      </c>
      <c r="K145" s="175" t="str">
        <f>IF(VLOOKUP(A145,'Aux - pivots1'!$A:$E,4,0)=0, "",VLOOKUP(A145,'Aux - pivots1'!$A:$E,4,0))</f>
        <v/>
      </c>
      <c r="L145" s="175" t="str">
        <f>IF(VLOOKUP(A145,'Aux - pivots1'!$A:$E,5,0)=0, "",VLOOKUP(A145,'Aux - pivots1'!$A:$E,5,0))</f>
        <v/>
      </c>
      <c r="M145" s="202"/>
    </row>
    <row r="146" spans="1:13" ht="16.2">
      <c r="A146" s="31" t="str">
        <f t="shared" si="2"/>
        <v>cd_imv_out_certifvlr_cst_ttl_invstmnt_estmd</v>
      </c>
      <c r="B146" s="162" t="s">
        <v>28</v>
      </c>
      <c r="C146" s="157" t="s">
        <v>54</v>
      </c>
      <c r="D146" s="153" t="s">
        <v>40</v>
      </c>
      <c r="E146" s="154" t="s">
        <v>120</v>
      </c>
      <c r="F146" s="153" t="s">
        <v>150</v>
      </c>
      <c r="G146" s="155" t="str">
        <f>VLOOKUP(A146,Plano_V3!$A$27:$G$583,7,0)</f>
        <v>1. Concluído</v>
      </c>
      <c r="H146" s="155" t="s">
        <v>477</v>
      </c>
      <c r="I146" s="164"/>
      <c r="J146" s="175" t="str">
        <f>IF(VLOOKUP(A146,'Aux - pivots1'!$A:$E,3,0)=0, "",VLOOKUP(A146,'Aux - pivots1'!$A:$E,3,0))</f>
        <v/>
      </c>
      <c r="K146" s="175" t="str">
        <f>IF(VLOOKUP(A146,'Aux - pivots1'!$A:$E,4,0)=0, "",VLOOKUP(A146,'Aux - pivots1'!$A:$E,4,0))</f>
        <v/>
      </c>
      <c r="L146" s="175" t="str">
        <f>IF(VLOOKUP(A146,'Aux - pivots1'!$A:$E,5,0)=0, "",VLOOKUP(A146,'Aux - pivots1'!$A:$E,5,0))</f>
        <v/>
      </c>
      <c r="M146" s="202"/>
    </row>
    <row r="147" spans="1:13" ht="16.2">
      <c r="A147" s="31" t="str">
        <f t="shared" si="2"/>
        <v>cd_imv_out_certifvlr_drc_estc_aqcmnt</v>
      </c>
      <c r="B147" s="162" t="s">
        <v>28</v>
      </c>
      <c r="C147" s="157" t="s">
        <v>54</v>
      </c>
      <c r="D147" s="153" t="s">
        <v>40</v>
      </c>
      <c r="E147" s="154" t="s">
        <v>120</v>
      </c>
      <c r="F147" s="153" t="s">
        <v>151</v>
      </c>
      <c r="G147" s="155" t="str">
        <f>VLOOKUP(A147,Plano_V3!$A$27:$G$583,7,0)</f>
        <v>1. Concluído</v>
      </c>
      <c r="H147" s="155" t="s">
        <v>477</v>
      </c>
      <c r="I147" s="164"/>
      <c r="J147" s="175" t="str">
        <f>IF(VLOOKUP(A147,'Aux - pivots1'!$A:$E,3,0)=0, "",VLOOKUP(A147,'Aux - pivots1'!$A:$E,3,0))</f>
        <v/>
      </c>
      <c r="K147" s="175" t="str">
        <f>IF(VLOOKUP(A147,'Aux - pivots1'!$A:$E,4,0)=0, "",VLOOKUP(A147,'Aux - pivots1'!$A:$E,4,0))</f>
        <v/>
      </c>
      <c r="L147" s="175" t="str">
        <f>IF(VLOOKUP(A147,'Aux - pivots1'!$A:$E,5,0)=0, "",VLOOKUP(A147,'Aux - pivots1'!$A:$E,5,0))</f>
        <v/>
      </c>
      <c r="M147" s="202"/>
    </row>
    <row r="148" spans="1:13" ht="16.2">
      <c r="A148" s="31" t="str">
        <f t="shared" si="2"/>
        <v>cd_imv_out_certifvlr_drc_estc_arrfcmnt</v>
      </c>
      <c r="B148" s="162" t="s">
        <v>28</v>
      </c>
      <c r="C148" s="157" t="s">
        <v>54</v>
      </c>
      <c r="D148" s="153" t="s">
        <v>40</v>
      </c>
      <c r="E148" s="154" t="s">
        <v>120</v>
      </c>
      <c r="F148" s="153" t="s">
        <v>152</v>
      </c>
      <c r="G148" s="155" t="str">
        <f>VLOOKUP(A148,Plano_V3!$A$27:$G$583,7,0)</f>
        <v>1. Concluído</v>
      </c>
      <c r="H148" s="155" t="s">
        <v>477</v>
      </c>
      <c r="I148" s="164"/>
      <c r="J148" s="175" t="str">
        <f>IF(VLOOKUP(A148,'Aux - pivots1'!$A:$E,3,0)=0, "",VLOOKUP(A148,'Aux - pivots1'!$A:$E,3,0))</f>
        <v/>
      </c>
      <c r="K148" s="175" t="str">
        <f>IF(VLOOKUP(A148,'Aux - pivots1'!$A:$E,4,0)=0, "",VLOOKUP(A148,'Aux - pivots1'!$A:$E,4,0))</f>
        <v/>
      </c>
      <c r="L148" s="175" t="str">
        <f>IF(VLOOKUP(A148,'Aux - pivots1'!$A:$E,5,0)=0, "",VLOOKUP(A148,'Aux - pivots1'!$A:$E,5,0))</f>
        <v/>
      </c>
      <c r="M148" s="202"/>
    </row>
    <row r="149" spans="1:13" ht="16.2">
      <c r="A149" s="31" t="str">
        <f t="shared" si="2"/>
        <v>cd_imv_out_certifvlr_emss_ano</v>
      </c>
      <c r="B149" s="162" t="s">
        <v>28</v>
      </c>
      <c r="C149" s="157" t="s">
        <v>54</v>
      </c>
      <c r="D149" s="153" t="s">
        <v>40</v>
      </c>
      <c r="E149" s="154" t="s">
        <v>120</v>
      </c>
      <c r="F149" s="153" t="s">
        <v>52</v>
      </c>
      <c r="G149" s="155" t="str">
        <f>VLOOKUP(A149,Plano_V3!$A$27:$G$583,7,0)</f>
        <v>6. Em implementação (re-especificação)</v>
      </c>
      <c r="H149" s="155" t="s">
        <v>482</v>
      </c>
      <c r="I149" s="164"/>
      <c r="J149" s="175">
        <f>IF(VLOOKUP(A149,'Aux - pivots1'!$A:$E,3,0)=0, "",VLOOKUP(A149,'Aux - pivots1'!$A:$E,3,0))</f>
        <v>45562</v>
      </c>
      <c r="K149" s="175" t="str">
        <f>IF(VLOOKUP(A149,'Aux - pivots1'!$A:$E,4,0)=0, "",VLOOKUP(A149,'Aux - pivots1'!$A:$E,4,0))</f>
        <v/>
      </c>
      <c r="L149" s="175" t="str">
        <f>IF(VLOOKUP(A149,'Aux - pivots1'!$A:$E,5,0)=0, "",VLOOKUP(A149,'Aux - pivots1'!$A:$E,5,0))</f>
        <v/>
      </c>
      <c r="M149" s="202"/>
    </row>
    <row r="150" spans="1:13" ht="16.2">
      <c r="A150" s="31" t="str">
        <f t="shared" si="2"/>
        <v>cd_imv_out_certifvlr_emss_co2</v>
      </c>
      <c r="B150" s="162" t="s">
        <v>28</v>
      </c>
      <c r="C150" s="157" t="s">
        <v>54</v>
      </c>
      <c r="D150" s="153" t="s">
        <v>40</v>
      </c>
      <c r="E150" s="154" t="s">
        <v>120</v>
      </c>
      <c r="F150" s="153" t="s">
        <v>153</v>
      </c>
      <c r="G150" s="155" t="str">
        <f>VLOOKUP(A150,Plano_V3!$A$27:$G$583,7,0)</f>
        <v>1. Concluído</v>
      </c>
      <c r="H150" s="155" t="s">
        <v>477</v>
      </c>
      <c r="I150" s="164"/>
      <c r="J150" s="175" t="str">
        <f>IF(VLOOKUP(A150,'Aux - pivots1'!$A:$E,3,0)=0, "",VLOOKUP(A150,'Aux - pivots1'!$A:$E,3,0))</f>
        <v/>
      </c>
      <c r="K150" s="175" t="str">
        <f>IF(VLOOKUP(A150,'Aux - pivots1'!$A:$E,4,0)=0, "",VLOOKUP(A150,'Aux - pivots1'!$A:$E,4,0))</f>
        <v/>
      </c>
      <c r="L150" s="175" t="str">
        <f>IF(VLOOKUP(A150,'Aux - pivots1'!$A:$E,5,0)=0, "",VLOOKUP(A150,'Aux - pivots1'!$A:$E,5,0))</f>
        <v/>
      </c>
      <c r="M150" s="202"/>
    </row>
    <row r="151" spans="1:13" ht="16.2">
      <c r="A151" s="31" t="str">
        <f t="shared" si="2"/>
        <v>cd_imv_out_certifvlr_enrg_eltc_vntldr</v>
      </c>
      <c r="B151" s="162" t="s">
        <v>28</v>
      </c>
      <c r="C151" s="157" t="s">
        <v>54</v>
      </c>
      <c r="D151" s="153" t="s">
        <v>40</v>
      </c>
      <c r="E151" s="154" t="s">
        <v>120</v>
      </c>
      <c r="F151" s="153" t="s">
        <v>154</v>
      </c>
      <c r="G151" s="155" t="str">
        <f>VLOOKUP(A151,Plano_V3!$A$27:$G$583,7,0)</f>
        <v>1. Concluído</v>
      </c>
      <c r="H151" s="155" t="s">
        <v>477</v>
      </c>
      <c r="I151" s="164"/>
      <c r="J151" s="175" t="str">
        <f>IF(VLOOKUP(A151,'Aux - pivots1'!$A:$E,3,0)=0, "",VLOOKUP(A151,'Aux - pivots1'!$A:$E,3,0))</f>
        <v/>
      </c>
      <c r="K151" s="175" t="str">
        <f>IF(VLOOKUP(A151,'Aux - pivots1'!$A:$E,4,0)=0, "",VLOOKUP(A151,'Aux - pivots1'!$A:$E,4,0))</f>
        <v/>
      </c>
      <c r="L151" s="175" t="str">
        <f>IF(VLOOKUP(A151,'Aux - pivots1'!$A:$E,5,0)=0, "",VLOOKUP(A151,'Aux - pivots1'!$A:$E,5,0))</f>
        <v/>
      </c>
      <c r="M151" s="202"/>
    </row>
    <row r="152" spans="1:13" ht="16.2">
      <c r="A152" s="31" t="str">
        <f t="shared" si="2"/>
        <v>cd_imv_out_certifvlr_enrg_fnts_rnvv_otr_uso</v>
      </c>
      <c r="B152" s="162" t="s">
        <v>28</v>
      </c>
      <c r="C152" s="157" t="s">
        <v>54</v>
      </c>
      <c r="D152" s="153" t="s">
        <v>40</v>
      </c>
      <c r="E152" s="154" t="s">
        <v>120</v>
      </c>
      <c r="F152" s="153" t="s">
        <v>155</v>
      </c>
      <c r="G152" s="155" t="str">
        <f>VLOOKUP(A152,Plano_V3!$A$27:$G$583,7,0)</f>
        <v>1. Concluído</v>
      </c>
      <c r="H152" s="155" t="s">
        <v>477</v>
      </c>
      <c r="I152" s="164"/>
      <c r="J152" s="175" t="str">
        <f>IF(VLOOKUP(A152,'Aux - pivots1'!$A:$E,3,0)=0, "",VLOOKUP(A152,'Aux - pivots1'!$A:$E,3,0))</f>
        <v/>
      </c>
      <c r="K152" s="175" t="str">
        <f>IF(VLOOKUP(A152,'Aux - pivots1'!$A:$E,4,0)=0, "",VLOOKUP(A152,'Aux - pivots1'!$A:$E,4,0))</f>
        <v/>
      </c>
      <c r="L152" s="175" t="str">
        <f>IF(VLOOKUP(A152,'Aux - pivots1'!$A:$E,5,0)=0, "",VLOOKUP(A152,'Aux - pivots1'!$A:$E,5,0))</f>
        <v/>
      </c>
      <c r="M152" s="202"/>
    </row>
    <row r="153" spans="1:13" ht="16.2">
      <c r="A153" s="31" t="str">
        <f t="shared" si="2"/>
        <v>cd_imv_out_certifvlr_enrg_fnts_rnvv_regl</v>
      </c>
      <c r="B153" s="162" t="s">
        <v>28</v>
      </c>
      <c r="C153" s="157" t="s">
        <v>54</v>
      </c>
      <c r="D153" s="153" t="s">
        <v>40</v>
      </c>
      <c r="E153" s="154" t="s">
        <v>120</v>
      </c>
      <c r="F153" s="153" t="s">
        <v>156</v>
      </c>
      <c r="G153" s="155" t="str">
        <f>VLOOKUP(A153,Plano_V3!$A$27:$G$583,7,0)</f>
        <v>1. Concluído</v>
      </c>
      <c r="H153" s="155" t="s">
        <v>477</v>
      </c>
      <c r="I153" s="164"/>
      <c r="J153" s="175" t="str">
        <f>IF(VLOOKUP(A153,'Aux - pivots1'!$A:$E,3,0)=0, "",VLOOKUP(A153,'Aux - pivots1'!$A:$E,3,0))</f>
        <v/>
      </c>
      <c r="K153" s="175" t="str">
        <f>IF(VLOOKUP(A153,'Aux - pivots1'!$A:$E,4,0)=0, "",VLOOKUP(A153,'Aux - pivots1'!$A:$E,4,0))</f>
        <v/>
      </c>
      <c r="L153" s="175" t="str">
        <f>IF(VLOOKUP(A153,'Aux - pivots1'!$A:$E,5,0)=0, "",VLOOKUP(A153,'Aux - pivots1'!$A:$E,5,0))</f>
        <v/>
      </c>
      <c r="M153" s="202"/>
    </row>
    <row r="154" spans="1:13" ht="16.2">
      <c r="A154" s="31" t="str">
        <f t="shared" si="2"/>
        <v>cd_imv_out_certifvlr_enrg_renew</v>
      </c>
      <c r="B154" s="162" t="s">
        <v>28</v>
      </c>
      <c r="C154" s="157" t="s">
        <v>54</v>
      </c>
      <c r="D154" s="153" t="s">
        <v>40</v>
      </c>
      <c r="E154" s="154" t="s">
        <v>120</v>
      </c>
      <c r="F154" s="153" t="s">
        <v>157</v>
      </c>
      <c r="G154" s="155" t="str">
        <f>VLOOKUP(A154,Plano_V3!$A$27:$G$583,7,0)</f>
        <v>6. Em implementação (re-especificação)</v>
      </c>
      <c r="H154" s="155" t="s">
        <v>482</v>
      </c>
      <c r="I154" s="164"/>
      <c r="J154" s="175">
        <f>IF(VLOOKUP(A154,'Aux - pivots1'!$A:$E,3,0)=0, "",VLOOKUP(A154,'Aux - pivots1'!$A:$E,3,0))</f>
        <v>45562</v>
      </c>
      <c r="K154" s="175" t="str">
        <f>IF(VLOOKUP(A154,'Aux - pivots1'!$A:$E,4,0)=0, "",VLOOKUP(A154,'Aux - pivots1'!$A:$E,4,0))</f>
        <v/>
      </c>
      <c r="L154" s="175" t="str">
        <f>IF(VLOOKUP(A154,'Aux - pivots1'!$A:$E,5,0)=0, "",VLOOKUP(A154,'Aux - pivots1'!$A:$E,5,0))</f>
        <v/>
      </c>
      <c r="M154" s="202"/>
    </row>
    <row r="155" spans="1:13" ht="16.2">
      <c r="A155" s="31" t="str">
        <f t="shared" si="2"/>
        <v>cd_imv_out_certifvlr_enrg_utl_agua_qt_snt</v>
      </c>
      <c r="B155" s="162" t="s">
        <v>28</v>
      </c>
      <c r="C155" s="157" t="s">
        <v>54</v>
      </c>
      <c r="D155" s="153" t="s">
        <v>40</v>
      </c>
      <c r="E155" s="154" t="s">
        <v>120</v>
      </c>
      <c r="F155" s="153" t="s">
        <v>158</v>
      </c>
      <c r="G155" s="155" t="str">
        <f>VLOOKUP(A155,Plano_V3!$A$27:$G$583,7,0)</f>
        <v>1. Concluído</v>
      </c>
      <c r="H155" s="155" t="s">
        <v>477</v>
      </c>
      <c r="I155" s="164"/>
      <c r="J155" s="175" t="str">
        <f>IF(VLOOKUP(A155,'Aux - pivots1'!$A:$E,3,0)=0, "",VLOOKUP(A155,'Aux - pivots1'!$A:$E,3,0))</f>
        <v/>
      </c>
      <c r="K155" s="175" t="str">
        <f>IF(VLOOKUP(A155,'Aux - pivots1'!$A:$E,4,0)=0, "",VLOOKUP(A155,'Aux - pivots1'!$A:$E,4,0))</f>
        <v/>
      </c>
      <c r="L155" s="175" t="str">
        <f>IF(VLOOKUP(A155,'Aux - pivots1'!$A:$E,5,0)=0, "",VLOOKUP(A155,'Aux - pivots1'!$A:$E,5,0))</f>
        <v/>
      </c>
      <c r="M155" s="202"/>
    </row>
    <row r="156" spans="1:13" ht="16.2">
      <c r="A156" s="31" t="str">
        <f t="shared" si="2"/>
        <v>cd_imv_out_certifvlr_enrg_utl_arrfcmnt</v>
      </c>
      <c r="B156" s="162" t="s">
        <v>28</v>
      </c>
      <c r="C156" s="157" t="s">
        <v>54</v>
      </c>
      <c r="D156" s="153" t="s">
        <v>40</v>
      </c>
      <c r="E156" s="154" t="s">
        <v>120</v>
      </c>
      <c r="F156" s="153" t="s">
        <v>159</v>
      </c>
      <c r="G156" s="155" t="str">
        <f>VLOOKUP(A156,Plano_V3!$A$27:$G$583,7,0)</f>
        <v>1. Concluído</v>
      </c>
      <c r="H156" s="155" t="s">
        <v>477</v>
      </c>
      <c r="I156" s="164"/>
      <c r="J156" s="175" t="str">
        <f>IF(VLOOKUP(A156,'Aux - pivots1'!$A:$E,3,0)=0, "",VLOOKUP(A156,'Aux - pivots1'!$A:$E,3,0))</f>
        <v/>
      </c>
      <c r="K156" s="175" t="str">
        <f>IF(VLOOKUP(A156,'Aux - pivots1'!$A:$E,4,0)=0, "",VLOOKUP(A156,'Aux - pivots1'!$A:$E,4,0))</f>
        <v/>
      </c>
      <c r="L156" s="175" t="str">
        <f>IF(VLOOKUP(A156,'Aux - pivots1'!$A:$E,5,0)=0, "",VLOOKUP(A156,'Aux - pivots1'!$A:$E,5,0))</f>
        <v/>
      </c>
      <c r="M156" s="202"/>
    </row>
    <row r="157" spans="1:13" ht="16.2">
      <c r="A157" s="31" t="str">
        <f t="shared" si="2"/>
        <v>cd_imv_out_certifvlr_grs_dia</v>
      </c>
      <c r="B157" s="162" t="s">
        <v>28</v>
      </c>
      <c r="C157" s="157" t="s">
        <v>54</v>
      </c>
      <c r="D157" s="153" t="s">
        <v>40</v>
      </c>
      <c r="E157" s="154" t="s">
        <v>120</v>
      </c>
      <c r="F157" s="153" t="s">
        <v>160</v>
      </c>
      <c r="G157" s="155" t="str">
        <f>VLOOKUP(A157,Plano_V3!$A$27:$G$583,7,0)</f>
        <v>1. Concluído</v>
      </c>
      <c r="H157" s="155" t="s">
        <v>477</v>
      </c>
      <c r="I157" s="164"/>
      <c r="J157" s="175" t="str">
        <f>IF(VLOOKUP(A157,'Aux - pivots1'!$A:$E,3,0)=0, "",VLOOKUP(A157,'Aux - pivots1'!$A:$E,3,0))</f>
        <v/>
      </c>
      <c r="K157" s="175" t="str">
        <f>IF(VLOOKUP(A157,'Aux - pivots1'!$A:$E,4,0)=0, "",VLOOKUP(A157,'Aux - pivots1'!$A:$E,4,0))</f>
        <v/>
      </c>
      <c r="L157" s="175" t="str">
        <f>IF(VLOOKUP(A157,'Aux - pivots1'!$A:$E,5,0)=0, "",VLOOKUP(A157,'Aux - pivots1'!$A:$E,5,0))</f>
        <v/>
      </c>
      <c r="M157" s="202"/>
    </row>
    <row r="158" spans="1:13" ht="16.2">
      <c r="A158" s="31" t="str">
        <f t="shared" si="2"/>
        <v>cd_imv_out_certifvlr_ncssdd_enrg_prmr</v>
      </c>
      <c r="B158" s="162" t="s">
        <v>28</v>
      </c>
      <c r="C158" s="157" t="s">
        <v>54</v>
      </c>
      <c r="D158" s="153" t="s">
        <v>40</v>
      </c>
      <c r="E158" s="154" t="s">
        <v>120</v>
      </c>
      <c r="F158" s="153" t="s">
        <v>161</v>
      </c>
      <c r="G158" s="155" t="str">
        <f>VLOOKUP(A158,Plano_V3!$A$27:$G$583,7,0)</f>
        <v>6. Em implementação (re-especificação)</v>
      </c>
      <c r="H158" s="155" t="s">
        <v>482</v>
      </c>
      <c r="I158" s="164"/>
      <c r="J158" s="175">
        <f>IF(VLOOKUP(A158,'Aux - pivots1'!$A:$E,3,0)=0, "",VLOOKUP(A158,'Aux - pivots1'!$A:$E,3,0))</f>
        <v>45562</v>
      </c>
      <c r="K158" s="175" t="str">
        <f>IF(VLOOKUP(A158,'Aux - pivots1'!$A:$E,4,0)=0, "",VLOOKUP(A158,'Aux - pivots1'!$A:$E,4,0))</f>
        <v/>
      </c>
      <c r="L158" s="175" t="str">
        <f>IF(VLOOKUP(A158,'Aux - pivots1'!$A:$E,5,0)=0, "",VLOOKUP(A158,'Aux - pivots1'!$A:$E,5,0))</f>
        <v/>
      </c>
      <c r="M158" s="202"/>
    </row>
    <row r="159" spans="1:13" ht="16.2">
      <c r="A159" s="31" t="str">
        <f t="shared" si="2"/>
        <v>cd_imv_out_certifvlr_ncssdd_enrg_utl_aqcd</v>
      </c>
      <c r="B159" s="162" t="s">
        <v>28</v>
      </c>
      <c r="C159" s="157" t="s">
        <v>54</v>
      </c>
      <c r="D159" s="153" t="s">
        <v>40</v>
      </c>
      <c r="E159" s="154" t="s">
        <v>120</v>
      </c>
      <c r="F159" s="153" t="s">
        <v>162</v>
      </c>
      <c r="G159" s="155" t="str">
        <f>VLOOKUP(A159,Plano_V3!$A$27:$G$583,7,0)</f>
        <v>1. Concluído</v>
      </c>
      <c r="H159" s="155" t="s">
        <v>477</v>
      </c>
      <c r="I159" s="164"/>
      <c r="J159" s="175" t="str">
        <f>IF(VLOOKUP(A159,'Aux - pivots1'!$A:$E,3,0)=0, "",VLOOKUP(A159,'Aux - pivots1'!$A:$E,3,0))</f>
        <v/>
      </c>
      <c r="K159" s="175" t="str">
        <f>IF(VLOOKUP(A159,'Aux - pivots1'!$A:$E,4,0)=0, "",VLOOKUP(A159,'Aux - pivots1'!$A:$E,4,0))</f>
        <v/>
      </c>
      <c r="L159" s="175" t="str">
        <f>IF(VLOOKUP(A159,'Aux - pivots1'!$A:$E,5,0)=0, "",VLOOKUP(A159,'Aux - pivots1'!$A:$E,5,0))</f>
        <v/>
      </c>
      <c r="M159" s="202"/>
    </row>
    <row r="160" spans="1:13" ht="16.2">
      <c r="A160" s="31" t="str">
        <f t="shared" si="2"/>
        <v>cd_imv_out_certifvlr_prd_gnh_invrn_prd_prt</v>
      </c>
      <c r="B160" s="162" t="s">
        <v>28</v>
      </c>
      <c r="C160" s="157" t="s">
        <v>54</v>
      </c>
      <c r="D160" s="153" t="s">
        <v>40</v>
      </c>
      <c r="E160" s="154" t="s">
        <v>120</v>
      </c>
      <c r="F160" s="153" t="s">
        <v>163</v>
      </c>
      <c r="G160" s="155" t="str">
        <f>VLOOKUP(A160,Plano_V3!$A$27:$G$583,7,0)</f>
        <v>1. Concluído</v>
      </c>
      <c r="H160" s="155" t="s">
        <v>477</v>
      </c>
      <c r="I160" s="164"/>
      <c r="J160" s="175" t="str">
        <f>IF(VLOOKUP(A160,'Aux - pivots1'!$A:$E,3,0)=0, "",VLOOKUP(A160,'Aux - pivots1'!$A:$E,3,0))</f>
        <v/>
      </c>
      <c r="K160" s="175" t="str">
        <f>IF(VLOOKUP(A160,'Aux - pivots1'!$A:$E,4,0)=0, "",VLOOKUP(A160,'Aux - pivots1'!$A:$E,4,0))</f>
        <v/>
      </c>
      <c r="L160" s="175" t="str">
        <f>IF(VLOOKUP(A160,'Aux - pivots1'!$A:$E,5,0)=0, "",VLOOKUP(A160,'Aux - pivots1'!$A:$E,5,0))</f>
        <v/>
      </c>
      <c r="M160" s="202"/>
    </row>
    <row r="161" spans="1:13" ht="16.2">
      <c r="A161" s="31" t="str">
        <f t="shared" si="2"/>
        <v>cd_imv_out_certifvlr_prd_gnh_invrn_pvmnt</v>
      </c>
      <c r="B161" s="162" t="s">
        <v>28</v>
      </c>
      <c r="C161" s="157" t="s">
        <v>54</v>
      </c>
      <c r="D161" s="153" t="s">
        <v>40</v>
      </c>
      <c r="E161" s="154" t="s">
        <v>120</v>
      </c>
      <c r="F161" s="153" t="s">
        <v>164</v>
      </c>
      <c r="G161" s="155" t="str">
        <f>VLOOKUP(A161,Plano_V3!$A$27:$G$583,7,0)</f>
        <v>1. Concluído</v>
      </c>
      <c r="H161" s="155" t="s">
        <v>477</v>
      </c>
      <c r="I161" s="164"/>
      <c r="J161" s="175" t="str">
        <f>IF(VLOOKUP(A161,'Aux - pivots1'!$A:$E,3,0)=0, "",VLOOKUP(A161,'Aux - pivots1'!$A:$E,3,0))</f>
        <v/>
      </c>
      <c r="K161" s="175" t="str">
        <f>IF(VLOOKUP(A161,'Aux - pivots1'!$A:$E,4,0)=0, "",VLOOKUP(A161,'Aux - pivots1'!$A:$E,4,0))</f>
        <v/>
      </c>
      <c r="L161" s="175" t="str">
        <f>IF(VLOOKUP(A161,'Aux - pivots1'!$A:$E,5,0)=0, "",VLOOKUP(A161,'Aux - pivots1'!$A:$E,5,0))</f>
        <v/>
      </c>
      <c r="M161" s="202"/>
    </row>
    <row r="162" spans="1:13" ht="16.2">
      <c r="A162" s="31" t="str">
        <f t="shared" si="2"/>
        <v>cd_imv_out_certifvlr_prds_gnhs_invrn_cbrtr</v>
      </c>
      <c r="B162" s="162" t="s">
        <v>28</v>
      </c>
      <c r="C162" s="157" t="s">
        <v>54</v>
      </c>
      <c r="D162" s="153" t="s">
        <v>40</v>
      </c>
      <c r="E162" s="154" t="s">
        <v>120</v>
      </c>
      <c r="F162" s="153" t="s">
        <v>165</v>
      </c>
      <c r="G162" s="155" t="str">
        <f>VLOOKUP(A162,Plano_V3!$A$27:$G$583,7,0)</f>
        <v>1. Concluído</v>
      </c>
      <c r="H162" s="155" t="s">
        <v>477</v>
      </c>
      <c r="I162" s="164"/>
      <c r="J162" s="175" t="str">
        <f>IF(VLOOKUP(A162,'Aux - pivots1'!$A:$E,3,0)=0, "",VLOOKUP(A162,'Aux - pivots1'!$A:$E,3,0))</f>
        <v/>
      </c>
      <c r="K162" s="175" t="str">
        <f>IF(VLOOKUP(A162,'Aux - pivots1'!$A:$E,4,0)=0, "",VLOOKUP(A162,'Aux - pivots1'!$A:$E,4,0))</f>
        <v/>
      </c>
      <c r="L162" s="175" t="str">
        <f>IF(VLOOKUP(A162,'Aux - pivots1'!$A:$E,5,0)=0, "",VLOOKUP(A162,'Aux - pivots1'!$A:$E,5,0))</f>
        <v/>
      </c>
      <c r="M162" s="202"/>
    </row>
    <row r="163" spans="1:13" ht="16.2">
      <c r="A163" s="31" t="str">
        <f t="shared" si="2"/>
        <v>cd_imv_out_certifvlr_prds_gnhs_invrn_jnl</v>
      </c>
      <c r="B163" s="162" t="s">
        <v>28</v>
      </c>
      <c r="C163" s="157" t="s">
        <v>54</v>
      </c>
      <c r="D163" s="153" t="s">
        <v>40</v>
      </c>
      <c r="E163" s="154" t="s">
        <v>120</v>
      </c>
      <c r="F163" s="153" t="s">
        <v>166</v>
      </c>
      <c r="G163" s="155" t="str">
        <f>VLOOKUP(A163,Plano_V3!$A$27:$G$583,7,0)</f>
        <v>1. Concluído</v>
      </c>
      <c r="H163" s="155" t="s">
        <v>477</v>
      </c>
      <c r="I163" s="164"/>
      <c r="J163" s="175" t="str">
        <f>IF(VLOOKUP(A163,'Aux - pivots1'!$A:$E,3,0)=0, "",VLOOKUP(A163,'Aux - pivots1'!$A:$E,3,0))</f>
        <v/>
      </c>
      <c r="K163" s="175" t="str">
        <f>IF(VLOOKUP(A163,'Aux - pivots1'!$A:$E,4,0)=0, "",VLOOKUP(A163,'Aux - pivots1'!$A:$E,4,0))</f>
        <v/>
      </c>
      <c r="L163" s="175" t="str">
        <f>IF(VLOOKUP(A163,'Aux - pivots1'!$A:$E,5,0)=0, "",VLOOKUP(A163,'Aux - pivots1'!$A:$E,5,0))</f>
        <v/>
      </c>
      <c r="M163" s="202"/>
    </row>
    <row r="164" spans="1:13" ht="16.2">
      <c r="A164" s="31" t="str">
        <f t="shared" si="2"/>
        <v>cd_imv_out_certifvlr_prds_gnhs_invrn_rfc</v>
      </c>
      <c r="B164" s="162" t="s">
        <v>28</v>
      </c>
      <c r="C164" s="157" t="s">
        <v>54</v>
      </c>
      <c r="D164" s="153" t="s">
        <v>40</v>
      </c>
      <c r="E164" s="154" t="s">
        <v>120</v>
      </c>
      <c r="F164" s="153" t="s">
        <v>167</v>
      </c>
      <c r="G164" s="155" t="str">
        <f>VLOOKUP(A164,Plano_V3!$A$27:$G$583,7,0)</f>
        <v>1. Concluído</v>
      </c>
      <c r="H164" s="155" t="s">
        <v>477</v>
      </c>
      <c r="I164" s="164"/>
      <c r="J164" s="175" t="str">
        <f>IF(VLOOKUP(A164,'Aux - pivots1'!$A:$E,3,0)=0, "",VLOOKUP(A164,'Aux - pivots1'!$A:$E,3,0))</f>
        <v/>
      </c>
      <c r="K164" s="175" t="str">
        <f>IF(VLOOKUP(A164,'Aux - pivots1'!$A:$E,4,0)=0, "",VLOOKUP(A164,'Aux - pivots1'!$A:$E,4,0))</f>
        <v/>
      </c>
      <c r="L164" s="175" t="str">
        <f>IF(VLOOKUP(A164,'Aux - pivots1'!$A:$E,5,0)=0, "",VLOOKUP(A164,'Aux - pivots1'!$A:$E,5,0))</f>
        <v/>
      </c>
      <c r="M164" s="202"/>
    </row>
    <row r="165" spans="1:13" ht="16.2">
      <c r="A165" s="31" t="str">
        <f t="shared" si="2"/>
        <v>cd_imv_out_certifvlr_prds_gnhs_invrn_vntnh</v>
      </c>
      <c r="B165" s="162" t="s">
        <v>28</v>
      </c>
      <c r="C165" s="157" t="s">
        <v>54</v>
      </c>
      <c r="D165" s="153" t="s">
        <v>40</v>
      </c>
      <c r="E165" s="154" t="s">
        <v>120</v>
      </c>
      <c r="F165" s="153" t="s">
        <v>168</v>
      </c>
      <c r="G165" s="155" t="str">
        <f>VLOOKUP(A165,Plano_V3!$A$27:$G$583,7,0)</f>
        <v>1. Concluído</v>
      </c>
      <c r="H165" s="155" t="s">
        <v>477</v>
      </c>
      <c r="I165" s="164"/>
      <c r="J165" s="175" t="str">
        <f>IF(VLOOKUP(A165,'Aux - pivots1'!$A:$E,3,0)=0, "",VLOOKUP(A165,'Aux - pivots1'!$A:$E,3,0))</f>
        <v/>
      </c>
      <c r="K165" s="175" t="str">
        <f>IF(VLOOKUP(A165,'Aux - pivots1'!$A:$E,4,0)=0, "",VLOOKUP(A165,'Aux - pivots1'!$A:$E,4,0))</f>
        <v/>
      </c>
      <c r="L165" s="175" t="str">
        <f>IF(VLOOKUP(A165,'Aux - pivots1'!$A:$E,5,0)=0, "",VLOOKUP(A165,'Aux - pivots1'!$A:$E,5,0))</f>
        <v/>
      </c>
      <c r="M165" s="202"/>
    </row>
    <row r="166" spans="1:13" ht="16.2">
      <c r="A166" s="31" t="str">
        <f t="shared" si="2"/>
        <v>cd_imv_out_certifvlr_prds_gnhs_vr_cbrtr</v>
      </c>
      <c r="B166" s="162" t="s">
        <v>28</v>
      </c>
      <c r="C166" s="157" t="s">
        <v>54</v>
      </c>
      <c r="D166" s="153" t="s">
        <v>40</v>
      </c>
      <c r="E166" s="154" t="s">
        <v>120</v>
      </c>
      <c r="F166" s="153" t="s">
        <v>169</v>
      </c>
      <c r="G166" s="155" t="str">
        <f>VLOOKUP(A166,Plano_V3!$A$27:$G$583,7,0)</f>
        <v>1. Concluído</v>
      </c>
      <c r="H166" s="155" t="s">
        <v>477</v>
      </c>
      <c r="I166" s="164"/>
      <c r="J166" s="175" t="str">
        <f>IF(VLOOKUP(A166,'Aux - pivots1'!$A:$E,3,0)=0, "",VLOOKUP(A166,'Aux - pivots1'!$A:$E,3,0))</f>
        <v/>
      </c>
      <c r="K166" s="175" t="str">
        <f>IF(VLOOKUP(A166,'Aux - pivots1'!$A:$E,4,0)=0, "",VLOOKUP(A166,'Aux - pivots1'!$A:$E,4,0))</f>
        <v/>
      </c>
      <c r="L166" s="175" t="str">
        <f>IF(VLOOKUP(A166,'Aux - pivots1'!$A:$E,5,0)=0, "",VLOOKUP(A166,'Aux - pivots1'!$A:$E,5,0))</f>
        <v/>
      </c>
      <c r="M166" s="202"/>
    </row>
    <row r="167" spans="1:13" ht="16.2">
      <c r="A167" s="31" t="str">
        <f t="shared" si="2"/>
        <v>cd_imv_out_certifvlr_prds_gnhs_vr_jnl</v>
      </c>
      <c r="B167" s="162" t="s">
        <v>28</v>
      </c>
      <c r="C167" s="157" t="s">
        <v>54</v>
      </c>
      <c r="D167" s="153" t="s">
        <v>40</v>
      </c>
      <c r="E167" s="154" t="s">
        <v>120</v>
      </c>
      <c r="F167" s="153" t="s">
        <v>170</v>
      </c>
      <c r="G167" s="155" t="str">
        <f>VLOOKUP(A167,Plano_V3!$A$27:$G$583,7,0)</f>
        <v>1. Concluído</v>
      </c>
      <c r="H167" s="155" t="s">
        <v>477</v>
      </c>
      <c r="I167" s="164"/>
      <c r="J167" s="175" t="str">
        <f>IF(VLOOKUP(A167,'Aux - pivots1'!$A:$E,3,0)=0, "",VLOOKUP(A167,'Aux - pivots1'!$A:$E,3,0))</f>
        <v/>
      </c>
      <c r="K167" s="175" t="str">
        <f>IF(VLOOKUP(A167,'Aux - pivots1'!$A:$E,4,0)=0, "",VLOOKUP(A167,'Aux - pivots1'!$A:$E,4,0))</f>
        <v/>
      </c>
      <c r="L167" s="175" t="str">
        <f>IF(VLOOKUP(A167,'Aux - pivots1'!$A:$E,5,0)=0, "",VLOOKUP(A167,'Aux - pivots1'!$A:$E,5,0))</f>
        <v/>
      </c>
      <c r="M167" s="202"/>
    </row>
    <row r="168" spans="1:13" ht="16.2">
      <c r="A168" s="31" t="str">
        <f t="shared" si="2"/>
        <v>cd_imv_out_certifvlr_prds_gnhs_vr_prd_prt</v>
      </c>
      <c r="B168" s="162" t="s">
        <v>28</v>
      </c>
      <c r="C168" s="157" t="s">
        <v>54</v>
      </c>
      <c r="D168" s="153" t="s">
        <v>40</v>
      </c>
      <c r="E168" s="154" t="s">
        <v>120</v>
      </c>
      <c r="F168" s="153" t="s">
        <v>171</v>
      </c>
      <c r="G168" s="155" t="str">
        <f>VLOOKUP(A168,Plano_V3!$A$27:$G$583,7,0)</f>
        <v>1. Concluído</v>
      </c>
      <c r="H168" s="155" t="s">
        <v>477</v>
      </c>
      <c r="I168" s="164"/>
      <c r="J168" s="175" t="str">
        <f>IF(VLOOKUP(A168,'Aux - pivots1'!$A:$E,3,0)=0, "",VLOOKUP(A168,'Aux - pivots1'!$A:$E,3,0))</f>
        <v/>
      </c>
      <c r="K168" s="175" t="str">
        <f>IF(VLOOKUP(A168,'Aux - pivots1'!$A:$E,4,0)=0, "",VLOOKUP(A168,'Aux - pivots1'!$A:$E,4,0))</f>
        <v/>
      </c>
      <c r="L168" s="175" t="str">
        <f>IF(VLOOKUP(A168,'Aux - pivots1'!$A:$E,5,0)=0, "",VLOOKUP(A168,'Aux - pivots1'!$A:$E,5,0))</f>
        <v/>
      </c>
      <c r="M168" s="202"/>
    </row>
    <row r="169" spans="1:13" ht="16.2">
      <c r="A169" s="31" t="str">
        <f t="shared" si="2"/>
        <v>cd_imv_out_certifvlr_prds_gnhs_vr_rfrc</v>
      </c>
      <c r="B169" s="162" t="s">
        <v>28</v>
      </c>
      <c r="C169" s="157" t="s">
        <v>54</v>
      </c>
      <c r="D169" s="153" t="s">
        <v>40</v>
      </c>
      <c r="E169" s="154" t="s">
        <v>120</v>
      </c>
      <c r="F169" s="153" t="s">
        <v>172</v>
      </c>
      <c r="G169" s="155" t="str">
        <f>VLOOKUP(A169,Plano_V3!$A$27:$G$583,7,0)</f>
        <v>1. Concluído</v>
      </c>
      <c r="H169" s="155" t="s">
        <v>477</v>
      </c>
      <c r="I169" s="164"/>
      <c r="J169" s="175" t="str">
        <f>IF(VLOOKUP(A169,'Aux - pivots1'!$A:$E,3,0)=0, "",VLOOKUP(A169,'Aux - pivots1'!$A:$E,3,0))</f>
        <v/>
      </c>
      <c r="K169" s="175" t="str">
        <f>IF(VLOOKUP(A169,'Aux - pivots1'!$A:$E,4,0)=0, "",VLOOKUP(A169,'Aux - pivots1'!$A:$E,4,0))</f>
        <v/>
      </c>
      <c r="L169" s="175" t="str">
        <f>IF(VLOOKUP(A169,'Aux - pivots1'!$A:$E,5,0)=0, "",VLOOKUP(A169,'Aux - pivots1'!$A:$E,5,0))</f>
        <v/>
      </c>
      <c r="M169" s="202"/>
    </row>
    <row r="170" spans="1:13" ht="16.2">
      <c r="A170" s="31" t="str">
        <f t="shared" si="2"/>
        <v>cd_imv_out_certifvlr_rdc_anl_estmd_ftr</v>
      </c>
      <c r="B170" s="162" t="s">
        <v>28</v>
      </c>
      <c r="C170" s="157" t="s">
        <v>54</v>
      </c>
      <c r="D170" s="153" t="s">
        <v>40</v>
      </c>
      <c r="E170" s="154" t="s">
        <v>120</v>
      </c>
      <c r="F170" s="153" t="s">
        <v>173</v>
      </c>
      <c r="G170" s="155" t="str">
        <f>VLOOKUP(A170,Plano_V3!$A$27:$G$583,7,0)</f>
        <v>1. Concluído</v>
      </c>
      <c r="H170" s="155" t="s">
        <v>477</v>
      </c>
      <c r="I170" s="164"/>
      <c r="J170" s="175" t="str">
        <f>IF(VLOOKUP(A170,'Aux - pivots1'!$A:$E,3,0)=0, "",VLOOKUP(A170,'Aux - pivots1'!$A:$E,3,0))</f>
        <v/>
      </c>
      <c r="K170" s="175" t="str">
        <f>IF(VLOOKUP(A170,'Aux - pivots1'!$A:$E,4,0)=0, "",VLOOKUP(A170,'Aux - pivots1'!$A:$E,4,0))</f>
        <v/>
      </c>
      <c r="L170" s="175" t="str">
        <f>IF(VLOOKUP(A170,'Aux - pivots1'!$A:$E,5,0)=0, "",VLOOKUP(A170,'Aux - pivots1'!$A:$E,5,0))</f>
        <v/>
      </c>
      <c r="M170" s="202"/>
    </row>
    <row r="171" spans="1:13" ht="16.2">
      <c r="A171" s="31" t="str">
        <f t="shared" si="2"/>
        <v>cd_imv_out_certifvlr_tmprtr_md_extrr</v>
      </c>
      <c r="B171" s="162" t="s">
        <v>28</v>
      </c>
      <c r="C171" s="157" t="s">
        <v>54</v>
      </c>
      <c r="D171" s="153" t="s">
        <v>40</v>
      </c>
      <c r="E171" s="154" t="s">
        <v>120</v>
      </c>
      <c r="F171" s="153" t="s">
        <v>174</v>
      </c>
      <c r="G171" s="155" t="str">
        <f>VLOOKUP(A171,Plano_V3!$A$27:$G$583,7,0)</f>
        <v>1. Concluído</v>
      </c>
      <c r="H171" s="155" t="s">
        <v>477</v>
      </c>
      <c r="I171" s="164"/>
      <c r="J171" s="175" t="str">
        <f>IF(VLOOKUP(A171,'Aux - pivots1'!$A:$E,3,0)=0, "",VLOOKUP(A171,'Aux - pivots1'!$A:$E,3,0))</f>
        <v/>
      </c>
      <c r="K171" s="175" t="str">
        <f>IF(VLOOKUP(A171,'Aux - pivots1'!$A:$E,4,0)=0, "",VLOOKUP(A171,'Aux - pivots1'!$A:$E,4,0))</f>
        <v/>
      </c>
      <c r="L171" s="175" t="str">
        <f>IF(VLOOKUP(A171,'Aux - pivots1'!$A:$E,5,0)=0, "",VLOOKUP(A171,'Aux - pivots1'!$A:$E,5,0))</f>
        <v/>
      </c>
      <c r="M171" s="202"/>
    </row>
    <row r="172" spans="1:13" ht="16.2">
      <c r="A172" s="31" t="str">
        <f t="shared" si="2"/>
        <v>cd_imv_out_certifzn_clmtc_invrn</v>
      </c>
      <c r="B172" s="162" t="s">
        <v>28</v>
      </c>
      <c r="C172" s="157" t="s">
        <v>54</v>
      </c>
      <c r="D172" s="153" t="s">
        <v>40</v>
      </c>
      <c r="E172" s="154" t="s">
        <v>120</v>
      </c>
      <c r="F172" s="153" t="s">
        <v>175</v>
      </c>
      <c r="G172" s="155" t="str">
        <f>VLOOKUP(A172,Plano_V3!$A$27:$G$583,7,0)</f>
        <v>1. Concluído</v>
      </c>
      <c r="H172" s="155" t="s">
        <v>477</v>
      </c>
      <c r="I172" s="164"/>
      <c r="J172" s="175" t="str">
        <f>IF(VLOOKUP(A172,'Aux - pivots1'!$A:$E,3,0)=0, "",VLOOKUP(A172,'Aux - pivots1'!$A:$E,3,0))</f>
        <v/>
      </c>
      <c r="K172" s="175" t="str">
        <f>IF(VLOOKUP(A172,'Aux - pivots1'!$A:$E,4,0)=0, "",VLOOKUP(A172,'Aux - pivots1'!$A:$E,4,0))</f>
        <v/>
      </c>
      <c r="L172" s="175" t="str">
        <f>IF(VLOOKUP(A172,'Aux - pivots1'!$A:$E,5,0)=0, "",VLOOKUP(A172,'Aux - pivots1'!$A:$E,5,0))</f>
        <v/>
      </c>
      <c r="M172" s="202"/>
    </row>
    <row r="173" spans="1:13" ht="16.2">
      <c r="A173" s="31" t="str">
        <f t="shared" si="2"/>
        <v>cd_imv_out_certifarea_util</v>
      </c>
      <c r="B173" s="162" t="s">
        <v>28</v>
      </c>
      <c r="C173" s="157" t="s">
        <v>54</v>
      </c>
      <c r="D173" s="153" t="s">
        <v>40</v>
      </c>
      <c r="E173" s="154" t="s">
        <v>120</v>
      </c>
      <c r="F173" s="153" t="s">
        <v>95</v>
      </c>
      <c r="G173" s="155" t="str">
        <f>VLOOKUP(A173,Plano_V3!$A$27:$G$583,7,0)</f>
        <v>6. Em implementação (re-especificação)</v>
      </c>
      <c r="H173" s="155" t="s">
        <v>482</v>
      </c>
      <c r="I173" s="164"/>
      <c r="J173" s="175">
        <f>IF(VLOOKUP(A173,'Aux - pivots1'!$A:$E,3,0)=0, "",VLOOKUP(A173,'Aux - pivots1'!$A:$E,3,0))</f>
        <v>45562</v>
      </c>
      <c r="K173" s="175" t="str">
        <f>IF(VLOOKUP(A173,'Aux - pivots1'!$A:$E,4,0)=0, "",VLOOKUP(A173,'Aux - pivots1'!$A:$E,4,0))</f>
        <v/>
      </c>
      <c r="L173" s="175" t="str">
        <f>IF(VLOOKUP(A173,'Aux - pivots1'!$A:$E,5,0)=0, "",VLOOKUP(A173,'Aux - pivots1'!$A:$E,5,0))</f>
        <v/>
      </c>
      <c r="M173" s="202"/>
    </row>
    <row r="174" spans="1:13" ht="16.2">
      <c r="A174" s="31" t="str">
        <f t="shared" si="2"/>
        <v>cd_imv_out_certifcod_art_matr</v>
      </c>
      <c r="B174" s="162" t="s">
        <v>28</v>
      </c>
      <c r="C174" s="157" t="s">
        <v>54</v>
      </c>
      <c r="D174" s="153" t="s">
        <v>40</v>
      </c>
      <c r="E174" s="154" t="s">
        <v>120</v>
      </c>
      <c r="F174" s="153" t="s">
        <v>96</v>
      </c>
      <c r="G174" s="155" t="str">
        <f>VLOOKUP(A174,Plano_V3!$A$27:$G$583,7,0)</f>
        <v>6. Em implementação (re-especificação)</v>
      </c>
      <c r="H174" s="155" t="s">
        <v>482</v>
      </c>
      <c r="I174" s="164"/>
      <c r="J174" s="175">
        <f>IF(VLOOKUP(A174,'Aux - pivots1'!$A:$E,3,0)=0, "",VLOOKUP(A174,'Aux - pivots1'!$A:$E,3,0))</f>
        <v>45562</v>
      </c>
      <c r="K174" s="175" t="str">
        <f>IF(VLOOKUP(A174,'Aux - pivots1'!$A:$E,4,0)=0, "",VLOOKUP(A174,'Aux - pivots1'!$A:$E,4,0))</f>
        <v/>
      </c>
      <c r="L174" s="175" t="str">
        <f>IF(VLOOKUP(A174,'Aux - pivots1'!$A:$E,5,0)=0, "",VLOOKUP(A174,'Aux - pivots1'!$A:$E,5,0))</f>
        <v/>
      </c>
      <c r="M174" s="202"/>
    </row>
    <row r="175" spans="1:13" ht="16.2">
      <c r="A175" s="31" t="str">
        <f t="shared" si="2"/>
        <v>cd_imv_out_certifcod_disconf</v>
      </c>
      <c r="B175" s="162" t="s">
        <v>28</v>
      </c>
      <c r="C175" s="157" t="s">
        <v>54</v>
      </c>
      <c r="D175" s="153" t="s">
        <v>40</v>
      </c>
      <c r="E175" s="154" t="s">
        <v>120</v>
      </c>
      <c r="F175" s="153" t="s">
        <v>99</v>
      </c>
      <c r="G175" s="155" t="str">
        <f>VLOOKUP(A175,Plano_V3!$A$27:$G$583,7,0)</f>
        <v>6. Em implementação (re-especificação)</v>
      </c>
      <c r="H175" s="155" t="s">
        <v>482</v>
      </c>
      <c r="I175" s="164"/>
      <c r="J175" s="175">
        <f>IF(VLOOKUP(A175,'Aux - pivots1'!$A:$E,3,0)=0, "",VLOOKUP(A175,'Aux - pivots1'!$A:$E,3,0))</f>
        <v>45562</v>
      </c>
      <c r="K175" s="175" t="str">
        <f>IF(VLOOKUP(A175,'Aux - pivots1'!$A:$E,4,0)=0, "",VLOOKUP(A175,'Aux - pivots1'!$A:$E,4,0))</f>
        <v/>
      </c>
      <c r="L175" s="175" t="str">
        <f>IF(VLOOKUP(A175,'Aux - pivots1'!$A:$E,5,0)=0, "",VLOOKUP(A175,'Aux - pivots1'!$A:$E,5,0))</f>
        <v/>
      </c>
      <c r="M175" s="202"/>
    </row>
    <row r="176" spans="1:13" ht="16.2">
      <c r="A176" s="31" t="str">
        <f t="shared" si="2"/>
        <v>cd_imv_out_certifcod_fin_bem</v>
      </c>
      <c r="B176" s="162" t="s">
        <v>28</v>
      </c>
      <c r="C176" s="157" t="s">
        <v>54</v>
      </c>
      <c r="D176" s="153" t="s">
        <v>40</v>
      </c>
      <c r="E176" s="154" t="s">
        <v>120</v>
      </c>
      <c r="F176" s="153" t="s">
        <v>100</v>
      </c>
      <c r="G176" s="155" t="str">
        <f>VLOOKUP(A176,Plano_V3!$A$27:$G$583,7,0)</f>
        <v>6. Em implementação (re-especificação)</v>
      </c>
      <c r="H176" s="155" t="s">
        <v>482</v>
      </c>
      <c r="I176" s="164"/>
      <c r="J176" s="175">
        <f>IF(VLOOKUP(A176,'Aux - pivots1'!$A:$E,3,0)=0, "",VLOOKUP(A176,'Aux - pivots1'!$A:$E,3,0))</f>
        <v>45562</v>
      </c>
      <c r="K176" s="175" t="str">
        <f>IF(VLOOKUP(A176,'Aux - pivots1'!$A:$E,4,0)=0, "",VLOOKUP(A176,'Aux - pivots1'!$A:$E,4,0))</f>
        <v/>
      </c>
      <c r="L176" s="175" t="str">
        <f>IF(VLOOKUP(A176,'Aux - pivots1'!$A:$E,5,0)=0, "",VLOOKUP(A176,'Aux - pivots1'!$A:$E,5,0))</f>
        <v/>
      </c>
      <c r="M176" s="202"/>
    </row>
    <row r="177" spans="1:13" ht="16.2">
      <c r="A177" s="31" t="str">
        <f t="shared" si="2"/>
        <v>cd_imv_out_certifcod_morada</v>
      </c>
      <c r="B177" s="162" t="s">
        <v>28</v>
      </c>
      <c r="C177" s="157" t="s">
        <v>54</v>
      </c>
      <c r="D177" s="153" t="s">
        <v>40</v>
      </c>
      <c r="E177" s="154" t="s">
        <v>120</v>
      </c>
      <c r="F177" s="153" t="s">
        <v>102</v>
      </c>
      <c r="G177" s="155" t="str">
        <f>VLOOKUP(A177,Plano_V3!$A$27:$G$583,7,0)</f>
        <v>6. Em implementação (re-especificação)</v>
      </c>
      <c r="H177" s="155" t="s">
        <v>482</v>
      </c>
      <c r="I177" s="164"/>
      <c r="J177" s="175">
        <f>IF(VLOOKUP(A177,'Aux - pivots1'!$A:$E,3,0)=0, "",VLOOKUP(A177,'Aux - pivots1'!$A:$E,3,0))</f>
        <v>45562</v>
      </c>
      <c r="K177" s="175" t="str">
        <f>IF(VLOOKUP(A177,'Aux - pivots1'!$A:$E,4,0)=0, "",VLOOKUP(A177,'Aux - pivots1'!$A:$E,4,0))</f>
        <v/>
      </c>
      <c r="L177" s="175" t="str">
        <f>IF(VLOOKUP(A177,'Aux - pivots1'!$A:$E,5,0)=0, "",VLOOKUP(A177,'Aux - pivots1'!$A:$E,5,0))</f>
        <v/>
      </c>
      <c r="M177" s="202"/>
    </row>
    <row r="178" spans="1:13" ht="16.2">
      <c r="A178" s="31" t="str">
        <f t="shared" si="2"/>
        <v>cd_imv_out_certifid_frac</v>
      </c>
      <c r="B178" s="162" t="s">
        <v>28</v>
      </c>
      <c r="C178" s="157" t="s">
        <v>54</v>
      </c>
      <c r="D178" s="153" t="s">
        <v>40</v>
      </c>
      <c r="E178" s="154" t="s">
        <v>120</v>
      </c>
      <c r="F178" s="153" t="s">
        <v>109</v>
      </c>
      <c r="G178" s="155" t="str">
        <f>VLOOKUP(A178,Plano_V3!$A$27:$G$583,7,0)</f>
        <v>6. Em implementação (re-especificação)</v>
      </c>
      <c r="H178" s="155" t="s">
        <v>482</v>
      </c>
      <c r="I178" s="164"/>
      <c r="J178" s="175">
        <f>IF(VLOOKUP(A178,'Aux - pivots1'!$A:$E,3,0)=0, "",VLOOKUP(A178,'Aux - pivots1'!$A:$E,3,0))</f>
        <v>45562</v>
      </c>
      <c r="K178" s="175" t="str">
        <f>IF(VLOOKUP(A178,'Aux - pivots1'!$A:$E,4,0)=0, "",VLOOKUP(A178,'Aux - pivots1'!$A:$E,4,0))</f>
        <v/>
      </c>
      <c r="L178" s="175" t="str">
        <f>IF(VLOOKUP(A178,'Aux - pivots1'!$A:$E,5,0)=0, "",VLOOKUP(A178,'Aux - pivots1'!$A:$E,5,0))</f>
        <v/>
      </c>
      <c r="M178" s="202"/>
    </row>
    <row r="179" spans="1:13" ht="16.2">
      <c r="A179" s="31" t="str">
        <f t="shared" si="2"/>
        <v>cd_imv_out_certiflocalid</v>
      </c>
      <c r="B179" s="162" t="s">
        <v>28</v>
      </c>
      <c r="C179" s="157" t="s">
        <v>54</v>
      </c>
      <c r="D179" s="153" t="s">
        <v>40</v>
      </c>
      <c r="E179" s="154" t="s">
        <v>120</v>
      </c>
      <c r="F179" s="153" t="s">
        <v>110</v>
      </c>
      <c r="G179" s="155" t="str">
        <f>VLOOKUP(A179,Plano_V3!$A$27:$G$583,7,0)</f>
        <v>6. Em implementação (re-especificação)</v>
      </c>
      <c r="H179" s="155" t="s">
        <v>482</v>
      </c>
      <c r="I179" s="164"/>
      <c r="J179" s="175">
        <f>IF(VLOOKUP(A179,'Aux - pivots1'!$A:$E,3,0)=0, "",VLOOKUP(A179,'Aux - pivots1'!$A:$E,3,0))</f>
        <v>45562</v>
      </c>
      <c r="K179" s="175" t="str">
        <f>IF(VLOOKUP(A179,'Aux - pivots1'!$A:$E,4,0)=0, "",VLOOKUP(A179,'Aux - pivots1'!$A:$E,4,0))</f>
        <v/>
      </c>
      <c r="L179" s="175" t="str">
        <f>IF(VLOOKUP(A179,'Aux - pivots1'!$A:$E,5,0)=0, "",VLOOKUP(A179,'Aux - pivots1'!$A:$E,5,0))</f>
        <v/>
      </c>
      <c r="M179" s="202"/>
    </row>
    <row r="180" spans="1:13" ht="16.2">
      <c r="A180" s="31" t="str">
        <f t="shared" si="2"/>
        <v>cd_imv_out_certifzn_clmtc_vr</v>
      </c>
      <c r="B180" s="162" t="s">
        <v>28</v>
      </c>
      <c r="C180" s="157" t="s">
        <v>54</v>
      </c>
      <c r="D180" s="153" t="s">
        <v>40</v>
      </c>
      <c r="E180" s="154" t="s">
        <v>120</v>
      </c>
      <c r="F180" s="153" t="s">
        <v>176</v>
      </c>
      <c r="G180" s="155" t="str">
        <f>VLOOKUP(A180,Plano_V3!$A$27:$G$583,7,0)</f>
        <v>1. Concluído</v>
      </c>
      <c r="H180" s="155" t="s">
        <v>477</v>
      </c>
      <c r="I180" s="164"/>
      <c r="J180" s="175" t="str">
        <f>IF(VLOOKUP(A180,'Aux - pivots1'!$A:$E,3,0)=0, "",VLOOKUP(A180,'Aux - pivots1'!$A:$E,3,0))</f>
        <v/>
      </c>
      <c r="K180" s="175" t="str">
        <f>IF(VLOOKUP(A180,'Aux - pivots1'!$A:$E,4,0)=0, "",VLOOKUP(A180,'Aux - pivots1'!$A:$E,4,0))</f>
        <v/>
      </c>
      <c r="L180" s="175" t="str">
        <f>IF(VLOOKUP(A180,'Aux - pivots1'!$A:$E,5,0)=0, "",VLOOKUP(A180,'Aux - pivots1'!$A:$E,5,0))</f>
        <v/>
      </c>
      <c r="M180" s="202"/>
    </row>
    <row r="181" spans="1:13" ht="16.2">
      <c r="A181" s="31" t="str">
        <f t="shared" si="2"/>
        <v>modesg_param_sfcs_taxon_europeian.a.</v>
      </c>
      <c r="B181" s="162" t="s">
        <v>28</v>
      </c>
      <c r="C181" s="157" t="s">
        <v>178</v>
      </c>
      <c r="D181" s="153" t="s">
        <v>36</v>
      </c>
      <c r="E181" s="154" t="s">
        <v>179</v>
      </c>
      <c r="F181" s="153" t="s">
        <v>38</v>
      </c>
      <c r="G181" s="155" t="str">
        <f>VLOOKUP(A181,Plano_V3!$A$27:$G$583,7,0)</f>
        <v>6. Em implementação (re-especificação)</v>
      </c>
      <c r="H181" s="155" t="s">
        <v>482</v>
      </c>
      <c r="I181" s="164"/>
      <c r="J181" s="175">
        <f>IF(VLOOKUP(A181,'Aux - pivots1'!$A:$E,3,0)=0, "",VLOOKUP(A181,'Aux - pivots1'!$A:$E,3,0))</f>
        <v>45563</v>
      </c>
      <c r="K181" s="175" t="str">
        <f>IF(VLOOKUP(A181,'Aux - pivots1'!$A:$E,4,0)=0, "",VLOOKUP(A181,'Aux - pivots1'!$A:$E,4,0))</f>
        <v/>
      </c>
      <c r="L181" s="175" t="str">
        <f>IF(VLOOKUP(A181,'Aux - pivots1'!$A:$E,5,0)=0, "",VLOOKUP(A181,'Aux - pivots1'!$A:$E,5,0))</f>
        <v/>
      </c>
      <c r="M181" s="202"/>
    </row>
    <row r="182" spans="1:13" ht="16.2">
      <c r="A182" s="31" t="str">
        <f t="shared" si="2"/>
        <v>modesg_param_sfcs_taxon_europeiacbalcao</v>
      </c>
      <c r="B182" s="162" t="s">
        <v>28</v>
      </c>
      <c r="C182" s="157" t="s">
        <v>178</v>
      </c>
      <c r="D182" s="153" t="s">
        <v>40</v>
      </c>
      <c r="E182" s="154" t="s">
        <v>179</v>
      </c>
      <c r="F182" s="153" t="s">
        <v>180</v>
      </c>
      <c r="G182" s="155" t="str">
        <f>VLOOKUP(A182,Plano_V3!$A$27:$G$583,7,0)</f>
        <v>1. Concluído</v>
      </c>
      <c r="H182" s="155" t="s">
        <v>477</v>
      </c>
      <c r="I182" s="179"/>
      <c r="J182" s="175" t="str">
        <f>IF(VLOOKUP(A182,'Aux - pivots1'!$A:$E,3,0)=0, "",VLOOKUP(A182,'Aux - pivots1'!$A:$E,3,0))</f>
        <v/>
      </c>
      <c r="K182" s="175" t="str">
        <f>IF(VLOOKUP(A182,'Aux - pivots1'!$A:$E,4,0)=0, "",VLOOKUP(A182,'Aux - pivots1'!$A:$E,4,0))</f>
        <v/>
      </c>
      <c r="L182" s="175" t="str">
        <f>IF(VLOOKUP(A182,'Aux - pivots1'!$A:$E,5,0)=0, "",VLOOKUP(A182,'Aux - pivots1'!$A:$E,5,0))</f>
        <v/>
      </c>
      <c r="M182" s="202"/>
    </row>
    <row r="183" spans="1:13" ht="16.2">
      <c r="A183" s="31" t="str">
        <f t="shared" si="2"/>
        <v>modesg_param_sfcs_taxon_europeiacempresa</v>
      </c>
      <c r="B183" s="162" t="s">
        <v>28</v>
      </c>
      <c r="C183" s="157" t="s">
        <v>178</v>
      </c>
      <c r="D183" s="153" t="s">
        <v>40</v>
      </c>
      <c r="E183" s="154" t="s">
        <v>179</v>
      </c>
      <c r="F183" s="153" t="s">
        <v>57</v>
      </c>
      <c r="G183" s="155" t="str">
        <f>VLOOKUP(A183,Plano_V3!$A$27:$G$583,7,0)</f>
        <v>1. Concluído</v>
      </c>
      <c r="H183" s="155" t="s">
        <v>477</v>
      </c>
      <c r="I183" s="179"/>
      <c r="J183" s="175" t="str">
        <f>IF(VLOOKUP(A183,'Aux - pivots1'!$A:$E,3,0)=0, "",VLOOKUP(A183,'Aux - pivots1'!$A:$E,3,0))</f>
        <v/>
      </c>
      <c r="K183" s="175" t="str">
        <f>IF(VLOOKUP(A183,'Aux - pivots1'!$A:$E,4,0)=0, "",VLOOKUP(A183,'Aux - pivots1'!$A:$E,4,0))</f>
        <v/>
      </c>
      <c r="L183" s="175" t="str">
        <f>IF(VLOOKUP(A183,'Aux - pivots1'!$A:$E,5,0)=0, "",VLOOKUP(A183,'Aux - pivots1'!$A:$E,5,0))</f>
        <v/>
      </c>
      <c r="M183" s="202"/>
    </row>
    <row r="184" spans="1:13" ht="16.2">
      <c r="A184" s="31" t="str">
        <f t="shared" si="2"/>
        <v>modesg_param_sfcs_taxon_europeiackmetamis</v>
      </c>
      <c r="B184" s="162" t="s">
        <v>28</v>
      </c>
      <c r="C184" s="157" t="s">
        <v>178</v>
      </c>
      <c r="D184" s="153" t="s">
        <v>40</v>
      </c>
      <c r="E184" s="154" t="s">
        <v>179</v>
      </c>
      <c r="F184" s="153" t="s">
        <v>181</v>
      </c>
      <c r="G184" s="155" t="str">
        <f>VLOOKUP(A184,Plano_V3!$A$27:$G$583,7,0)</f>
        <v>1. Concluído</v>
      </c>
      <c r="H184" s="155" t="s">
        <v>477</v>
      </c>
      <c r="I184" s="179"/>
      <c r="J184" s="175" t="str">
        <f>IF(VLOOKUP(A184,'Aux - pivots1'!$A:$E,3,0)=0, "",VLOOKUP(A184,'Aux - pivots1'!$A:$E,3,0))</f>
        <v/>
      </c>
      <c r="K184" s="175" t="str">
        <f>IF(VLOOKUP(A184,'Aux - pivots1'!$A:$E,4,0)=0, "",VLOOKUP(A184,'Aux - pivots1'!$A:$E,4,0))</f>
        <v/>
      </c>
      <c r="L184" s="175" t="str">
        <f>IF(VLOOKUP(A184,'Aux - pivots1'!$A:$E,5,0)=0, "",VLOOKUP(A184,'Aux - pivots1'!$A:$E,5,0))</f>
        <v/>
      </c>
      <c r="M184" s="202"/>
    </row>
    <row r="185" spans="1:13" ht="16.2">
      <c r="A185" s="31" t="str">
        <f t="shared" si="2"/>
        <v>modesg_param_sfcs_taxon_europeiackprodmi</v>
      </c>
      <c r="B185" s="162" t="s">
        <v>28</v>
      </c>
      <c r="C185" s="157" t="s">
        <v>178</v>
      </c>
      <c r="D185" s="153" t="s">
        <v>40</v>
      </c>
      <c r="E185" s="154" t="s">
        <v>179</v>
      </c>
      <c r="F185" s="153" t="s">
        <v>182</v>
      </c>
      <c r="G185" s="155" t="str">
        <f>VLOOKUP(A185,Plano_V3!$A$27:$G$583,7,0)</f>
        <v>1. Concluído</v>
      </c>
      <c r="H185" s="155" t="s">
        <v>477</v>
      </c>
      <c r="I185" s="179"/>
      <c r="J185" s="175" t="str">
        <f>IF(VLOOKUP(A185,'Aux - pivots1'!$A:$E,3,0)=0, "",VLOOKUP(A185,'Aux - pivots1'!$A:$E,3,0))</f>
        <v/>
      </c>
      <c r="K185" s="175" t="str">
        <f>IF(VLOOKUP(A185,'Aux - pivots1'!$A:$E,4,0)=0, "",VLOOKUP(A185,'Aux - pivots1'!$A:$E,4,0))</f>
        <v/>
      </c>
      <c r="L185" s="175" t="str">
        <f>IF(VLOOKUP(A185,'Aux - pivots1'!$A:$E,5,0)=0, "",VLOOKUP(A185,'Aux - pivots1'!$A:$E,5,0))</f>
        <v/>
      </c>
      <c r="M185" s="202"/>
    </row>
    <row r="186" spans="1:13" ht="16.2">
      <c r="A186" s="31" t="str">
        <f t="shared" si="2"/>
        <v>modesg_param_sfcs_taxon_europeiacmetanseg</v>
      </c>
      <c r="B186" s="162" t="s">
        <v>28</v>
      </c>
      <c r="C186" s="157" t="s">
        <v>178</v>
      </c>
      <c r="D186" s="153" t="s">
        <v>40</v>
      </c>
      <c r="E186" s="154" t="s">
        <v>179</v>
      </c>
      <c r="F186" s="153" t="s">
        <v>183</v>
      </c>
      <c r="G186" s="155" t="str">
        <f>VLOOKUP(A186,Plano_V3!$A$27:$G$583,7,0)</f>
        <v>1. Concluído</v>
      </c>
      <c r="H186" s="155" t="s">
        <v>477</v>
      </c>
      <c r="I186" s="179"/>
      <c r="J186" s="175" t="str">
        <f>IF(VLOOKUP(A186,'Aux - pivots1'!$A:$E,3,0)=0, "",VLOOKUP(A186,'Aux - pivots1'!$A:$E,3,0))</f>
        <v/>
      </c>
      <c r="K186" s="175" t="str">
        <f>IF(VLOOKUP(A186,'Aux - pivots1'!$A:$E,4,0)=0, "",VLOOKUP(A186,'Aux - pivots1'!$A:$E,4,0))</f>
        <v/>
      </c>
      <c r="L186" s="175" t="str">
        <f>IF(VLOOKUP(A186,'Aux - pivots1'!$A:$E,5,0)=0, "",VLOOKUP(A186,'Aux - pivots1'!$A:$E,5,0))</f>
        <v/>
      </c>
      <c r="M186" s="202"/>
    </row>
    <row r="187" spans="1:13" ht="16.2">
      <c r="A187" s="31" t="str">
        <f t="shared" si="2"/>
        <v>modesg_param_sfcs_taxon_europeiacnsm_co2</v>
      </c>
      <c r="B187" s="162" t="s">
        <v>28</v>
      </c>
      <c r="C187" s="157" t="s">
        <v>178</v>
      </c>
      <c r="D187" s="153" t="s">
        <v>40</v>
      </c>
      <c r="E187" s="154" t="s">
        <v>179</v>
      </c>
      <c r="F187" s="153" t="s">
        <v>184</v>
      </c>
      <c r="G187" s="155" t="str">
        <f>VLOOKUP(A187,Plano_V3!$A$27:$G$583,7,0)</f>
        <v>1. Concluído</v>
      </c>
      <c r="H187" s="155" t="s">
        <v>477</v>
      </c>
      <c r="I187" s="179"/>
      <c r="J187" s="175" t="str">
        <f>IF(VLOOKUP(A187,'Aux - pivots1'!$A:$E,3,0)=0, "",VLOOKUP(A187,'Aux - pivots1'!$A:$E,3,0))</f>
        <v/>
      </c>
      <c r="K187" s="175" t="str">
        <f>IF(VLOOKUP(A187,'Aux - pivots1'!$A:$E,4,0)=0, "",VLOOKUP(A187,'Aux - pivots1'!$A:$E,4,0))</f>
        <v/>
      </c>
      <c r="L187" s="175" t="str">
        <f>IF(VLOOKUP(A187,'Aux - pivots1'!$A:$E,5,0)=0, "",VLOOKUP(A187,'Aux - pivots1'!$A:$E,5,0))</f>
        <v/>
      </c>
      <c r="M187" s="202"/>
    </row>
    <row r="188" spans="1:13" ht="16.2">
      <c r="A188" s="31" t="str">
        <f t="shared" si="2"/>
        <v>modesg_param_sfcs_taxon_europeiacnumecta</v>
      </c>
      <c r="B188" s="162" t="s">
        <v>28</v>
      </c>
      <c r="C188" s="157" t="s">
        <v>178</v>
      </c>
      <c r="D188" s="153" t="s">
        <v>40</v>
      </c>
      <c r="E188" s="154" t="s">
        <v>179</v>
      </c>
      <c r="F188" s="153" t="s">
        <v>185</v>
      </c>
      <c r="G188" s="155" t="str">
        <f>VLOOKUP(A188,Plano_V3!$A$27:$G$583,7,0)</f>
        <v>1. Concluído</v>
      </c>
      <c r="H188" s="155" t="s">
        <v>477</v>
      </c>
      <c r="I188" s="179"/>
      <c r="J188" s="175" t="str">
        <f>IF(VLOOKUP(A188,'Aux - pivots1'!$A:$E,3,0)=0, "",VLOOKUP(A188,'Aux - pivots1'!$A:$E,3,0))</f>
        <v/>
      </c>
      <c r="K188" s="175" t="str">
        <f>IF(VLOOKUP(A188,'Aux - pivots1'!$A:$E,4,0)=0, "",VLOOKUP(A188,'Aux - pivots1'!$A:$E,4,0))</f>
        <v/>
      </c>
      <c r="L188" s="175" t="str">
        <f>IF(VLOOKUP(A188,'Aux - pivots1'!$A:$E,5,0)=0, "",VLOOKUP(A188,'Aux - pivots1'!$A:$E,5,0))</f>
        <v/>
      </c>
      <c r="M188" s="202"/>
    </row>
    <row r="189" spans="1:13" ht="16.2">
      <c r="A189" s="31" t="str">
        <f t="shared" si="2"/>
        <v>modesg_param_sfcs_taxon_europeiacod_lease</v>
      </c>
      <c r="B189" s="162" t="s">
        <v>28</v>
      </c>
      <c r="C189" s="157" t="s">
        <v>178</v>
      </c>
      <c r="D189" s="153" t="s">
        <v>40</v>
      </c>
      <c r="E189" s="154" t="s">
        <v>179</v>
      </c>
      <c r="F189" s="153" t="s">
        <v>186</v>
      </c>
      <c r="G189" s="155" t="str">
        <f>VLOOKUP(A189,Plano_V3!$A$27:$G$583,7,0)</f>
        <v>1. Concluído</v>
      </c>
      <c r="H189" s="155" t="s">
        <v>477</v>
      </c>
      <c r="I189" s="179"/>
      <c r="J189" s="175" t="str">
        <f>IF(VLOOKUP(A189,'Aux - pivots1'!$A:$E,3,0)=0, "",VLOOKUP(A189,'Aux - pivots1'!$A:$E,3,0))</f>
        <v/>
      </c>
      <c r="K189" s="175" t="str">
        <f>IF(VLOOKUP(A189,'Aux - pivots1'!$A:$E,4,0)=0, "",VLOOKUP(A189,'Aux - pivots1'!$A:$E,4,0))</f>
        <v/>
      </c>
      <c r="L189" s="175" t="str">
        <f>IF(VLOOKUP(A189,'Aux - pivots1'!$A:$E,5,0)=0, "",VLOOKUP(A189,'Aux - pivots1'!$A:$E,5,0))</f>
        <v/>
      </c>
      <c r="M189" s="202"/>
    </row>
    <row r="190" spans="1:13" ht="16.2">
      <c r="A190" s="31" t="str">
        <f t="shared" si="2"/>
        <v>modesg_param_sfcs_taxon_europeiacod_regra</v>
      </c>
      <c r="B190" s="162" t="s">
        <v>28</v>
      </c>
      <c r="C190" s="157" t="s">
        <v>178</v>
      </c>
      <c r="D190" s="153" t="s">
        <v>40</v>
      </c>
      <c r="E190" s="154" t="s">
        <v>179</v>
      </c>
      <c r="F190" s="153" t="s">
        <v>187</v>
      </c>
      <c r="G190" s="155" t="str">
        <f>VLOOKUP(A190,Plano_V3!$A$27:$G$583,7,0)</f>
        <v>6. Em implementação (re-especificação)</v>
      </c>
      <c r="H190" s="155" t="s">
        <v>482</v>
      </c>
      <c r="I190" s="164"/>
      <c r="J190" s="175">
        <f>IF(VLOOKUP(A190,'Aux - pivots1'!$A:$E,3,0)=0, "",VLOOKUP(A190,'Aux - pivots1'!$A:$E,3,0))</f>
        <v>45563</v>
      </c>
      <c r="K190" s="175" t="str">
        <f>IF(VLOOKUP(A190,'Aux - pivots1'!$A:$E,4,0)=0, "",VLOOKUP(A190,'Aux - pivots1'!$A:$E,4,0))</f>
        <v/>
      </c>
      <c r="L190" s="175" t="str">
        <f>IF(VLOOKUP(A190,'Aux - pivots1'!$A:$E,5,0)=0, "",VLOOKUP(A190,'Aux - pivots1'!$A:$E,5,0))</f>
        <v/>
      </c>
      <c r="M190" s="202"/>
    </row>
    <row r="191" spans="1:13" ht="16.2">
      <c r="A191" s="31" t="str">
        <f t="shared" si="2"/>
        <v>modesg_param_sfcs_taxon_europeiacomite</v>
      </c>
      <c r="B191" s="162" t="s">
        <v>28</v>
      </c>
      <c r="C191" s="157" t="s">
        <v>178</v>
      </c>
      <c r="D191" s="153" t="s">
        <v>40</v>
      </c>
      <c r="E191" s="154" t="s">
        <v>179</v>
      </c>
      <c r="F191" s="153" t="s">
        <v>188</v>
      </c>
      <c r="G191" s="155" t="str">
        <f>VLOOKUP(A191,Plano_V3!$A$27:$G$583,7,0)</f>
        <v>6. Em implementação (re-especificação)</v>
      </c>
      <c r="H191" s="155" t="s">
        <v>482</v>
      </c>
      <c r="I191" s="164"/>
      <c r="J191" s="175">
        <f>IF(VLOOKUP(A191,'Aux - pivots1'!$A:$E,3,0)=0, "",VLOOKUP(A191,'Aux - pivots1'!$A:$E,3,0))</f>
        <v>45563</v>
      </c>
      <c r="K191" s="175" t="str">
        <f>IF(VLOOKUP(A191,'Aux - pivots1'!$A:$E,4,0)=0, "",VLOOKUP(A191,'Aux - pivots1'!$A:$E,4,0))</f>
        <v/>
      </c>
      <c r="L191" s="175" t="str">
        <f>IF(VLOOKUP(A191,'Aux - pivots1'!$A:$E,5,0)=0, "",VLOOKUP(A191,'Aux - pivots1'!$A:$E,5,0))</f>
        <v/>
      </c>
      <c r="M191" s="202"/>
    </row>
    <row r="192" spans="1:13" ht="16.2">
      <c r="A192" s="31" t="str">
        <f t="shared" si="2"/>
        <v>modesg_param_sfcs_taxon_europeiadata_aprvc</v>
      </c>
      <c r="B192" s="162" t="s">
        <v>28</v>
      </c>
      <c r="C192" s="157" t="s">
        <v>178</v>
      </c>
      <c r="D192" s="153" t="s">
        <v>40</v>
      </c>
      <c r="E192" s="154" t="s">
        <v>179</v>
      </c>
      <c r="F192" s="153" t="s">
        <v>189</v>
      </c>
      <c r="G192" s="155" t="str">
        <f>VLOOKUP(A192,Plano_V3!$A$27:$G$583,7,0)</f>
        <v>6. Em implementação (re-especificação)</v>
      </c>
      <c r="H192" s="155" t="s">
        <v>482</v>
      </c>
      <c r="I192" s="164"/>
      <c r="J192" s="175">
        <f>IF(VLOOKUP(A192,'Aux - pivots1'!$A:$E,3,0)=0, "",VLOOKUP(A192,'Aux - pivots1'!$A:$E,3,0))</f>
        <v>45563</v>
      </c>
      <c r="K192" s="175" t="str">
        <f>IF(VLOOKUP(A192,'Aux - pivots1'!$A:$E,4,0)=0, "",VLOOKUP(A192,'Aux - pivots1'!$A:$E,4,0))</f>
        <v/>
      </c>
      <c r="L192" s="175" t="str">
        <f>IF(VLOOKUP(A192,'Aux - pivots1'!$A:$E,5,0)=0, "",VLOOKUP(A192,'Aux - pivots1'!$A:$E,5,0))</f>
        <v/>
      </c>
      <c r="M192" s="202"/>
    </row>
    <row r="193" spans="1:13" ht="16.2">
      <c r="A193" s="31" t="str">
        <f t="shared" si="2"/>
        <v>modesg_param_sfcs_taxon_europeiadata_final</v>
      </c>
      <c r="B193" s="162" t="s">
        <v>28</v>
      </c>
      <c r="C193" s="157" t="s">
        <v>178</v>
      </c>
      <c r="D193" s="153" t="s">
        <v>40</v>
      </c>
      <c r="E193" s="154" t="s">
        <v>179</v>
      </c>
      <c r="F193" s="153" t="s">
        <v>190</v>
      </c>
      <c r="G193" s="155" t="str">
        <f>VLOOKUP(A193,Plano_V3!$A$27:$G$583,7,0)</f>
        <v>5. Em Correção</v>
      </c>
      <c r="H193" s="155" t="s">
        <v>480</v>
      </c>
      <c r="I193" s="164"/>
      <c r="J193" s="175">
        <f>IF(VLOOKUP(A193,'Aux - pivots1'!$A:$E,3,0)=0, "",VLOOKUP(A193,'Aux - pivots1'!$A:$E,3,0))</f>
        <v>45561</v>
      </c>
      <c r="K193" s="175" t="str">
        <f>IF(VLOOKUP(A193,'Aux - pivots1'!$A:$E,4,0)=0, "",VLOOKUP(A193,'Aux - pivots1'!$A:$E,4,0))</f>
        <v/>
      </c>
      <c r="L193" s="175" t="str">
        <f>IF(VLOOKUP(A193,'Aux - pivots1'!$A:$E,5,0)=0, "",VLOOKUP(A193,'Aux - pivots1'!$A:$E,5,0))</f>
        <v/>
      </c>
      <c r="M193" s="202"/>
    </row>
    <row r="194" spans="1:13" ht="16.2">
      <c r="A194" s="31" t="str">
        <f t="shared" si="2"/>
        <v>modesg_param_sfcs_taxon_europeiadata_inicial</v>
      </c>
      <c r="B194" s="162" t="s">
        <v>28</v>
      </c>
      <c r="C194" s="157" t="s">
        <v>178</v>
      </c>
      <c r="D194" s="153" t="s">
        <v>40</v>
      </c>
      <c r="E194" s="154" t="s">
        <v>179</v>
      </c>
      <c r="F194" s="153" t="s">
        <v>191</v>
      </c>
      <c r="G194" s="155" t="str">
        <f>VLOOKUP(A194,Plano_V3!$A$27:$G$583,7,0)</f>
        <v>5. Em Correção</v>
      </c>
      <c r="H194" s="155" t="s">
        <v>480</v>
      </c>
      <c r="I194" s="164"/>
      <c r="J194" s="175">
        <f>IF(VLOOKUP(A194,'Aux - pivots1'!$A:$E,3,0)=0, "",VLOOKUP(A194,'Aux - pivots1'!$A:$E,3,0))</f>
        <v>45561</v>
      </c>
      <c r="K194" s="175" t="str">
        <f>IF(VLOOKUP(A194,'Aux - pivots1'!$A:$E,4,0)=0, "",VLOOKUP(A194,'Aux - pivots1'!$A:$E,4,0))</f>
        <v/>
      </c>
      <c r="L194" s="175" t="str">
        <f>IF(VLOOKUP(A194,'Aux - pivots1'!$A:$E,5,0)=0, "",VLOOKUP(A194,'Aux - pivots1'!$A:$E,5,0))</f>
        <v/>
      </c>
      <c r="M194" s="202"/>
    </row>
    <row r="195" spans="1:13" ht="16.2">
      <c r="A195" s="31" t="str">
        <f t="shared" si="2"/>
        <v>modesg_param_sfcs_taxon_europeiadominio</v>
      </c>
      <c r="B195" s="162" t="s">
        <v>28</v>
      </c>
      <c r="C195" s="157" t="s">
        <v>178</v>
      </c>
      <c r="D195" s="153" t="s">
        <v>40</v>
      </c>
      <c r="E195" s="154" t="s">
        <v>179</v>
      </c>
      <c r="F195" s="153" t="s">
        <v>192</v>
      </c>
      <c r="G195" s="155" t="str">
        <f>VLOOKUP(A195,Plano_V3!$A$27:$G$583,7,0)</f>
        <v>1. Concluído</v>
      </c>
      <c r="H195" s="155" t="s">
        <v>477</v>
      </c>
      <c r="I195" s="179"/>
      <c r="J195" s="175" t="str">
        <f>IF(VLOOKUP(A195,'Aux - pivots1'!$A:$E,3,0)=0, "",VLOOKUP(A195,'Aux - pivots1'!$A:$E,3,0))</f>
        <v/>
      </c>
      <c r="K195" s="175" t="str">
        <f>IF(VLOOKUP(A195,'Aux - pivots1'!$A:$E,4,0)=0, "",VLOOKUP(A195,'Aux - pivots1'!$A:$E,4,0))</f>
        <v/>
      </c>
      <c r="L195" s="175" t="str">
        <f>IF(VLOOKUP(A195,'Aux - pivots1'!$A:$E,5,0)=0, "",VLOOKUP(A195,'Aux - pivots1'!$A:$E,5,0))</f>
        <v/>
      </c>
      <c r="M195" s="202"/>
    </row>
    <row r="196" spans="1:13" ht="16.2">
      <c r="A196" s="31" t="str">
        <f t="shared" si="2"/>
        <v>modesg_param_sfcs_taxon_europeiadscrc</v>
      </c>
      <c r="B196" s="162" t="s">
        <v>28</v>
      </c>
      <c r="C196" s="157" t="s">
        <v>178</v>
      </c>
      <c r="D196" s="153" t="s">
        <v>40</v>
      </c>
      <c r="E196" s="154" t="s">
        <v>179</v>
      </c>
      <c r="F196" s="153" t="s">
        <v>193</v>
      </c>
      <c r="G196" s="155" t="str">
        <f>VLOOKUP(A196,Plano_V3!$A$27:$G$583,7,0)</f>
        <v>1. Concluído</v>
      </c>
      <c r="H196" s="155" t="s">
        <v>477</v>
      </c>
      <c r="I196" s="179"/>
      <c r="J196" s="175" t="str">
        <f>IF(VLOOKUP(A196,'Aux - pivots1'!$A:$E,3,0)=0, "",VLOOKUP(A196,'Aux - pivots1'!$A:$E,3,0))</f>
        <v/>
      </c>
      <c r="K196" s="175" t="str">
        <f>IF(VLOOKUP(A196,'Aux - pivots1'!$A:$E,4,0)=0, "",VLOOKUP(A196,'Aux - pivots1'!$A:$E,4,0))</f>
        <v/>
      </c>
      <c r="L196" s="175" t="str">
        <f>IF(VLOOKUP(A196,'Aux - pivots1'!$A:$E,5,0)=0, "",VLOOKUP(A196,'Aux - pivots1'!$A:$E,5,0))</f>
        <v/>
      </c>
      <c r="M196" s="202"/>
    </row>
    <row r="197" spans="1:13" ht="16.2">
      <c r="A197" s="31" t="str">
        <f t="shared" si="2"/>
        <v>modesg_param_sfcs_taxon_europeiaepc</v>
      </c>
      <c r="B197" s="162" t="s">
        <v>28</v>
      </c>
      <c r="C197" s="157" t="s">
        <v>178</v>
      </c>
      <c r="D197" s="153" t="s">
        <v>40</v>
      </c>
      <c r="E197" s="154" t="s">
        <v>179</v>
      </c>
      <c r="F197" s="153" t="s">
        <v>47</v>
      </c>
      <c r="G197" s="155" t="str">
        <f>VLOOKUP(A197,Plano_V3!$A$27:$G$583,7,0)</f>
        <v>1. Concluído</v>
      </c>
      <c r="H197" s="155" t="s">
        <v>477</v>
      </c>
      <c r="I197" s="179"/>
      <c r="J197" s="175" t="str">
        <f>IF(VLOOKUP(A197,'Aux - pivots1'!$A:$E,3,0)=0, "",VLOOKUP(A197,'Aux - pivots1'!$A:$E,3,0))</f>
        <v/>
      </c>
      <c r="K197" s="175" t="str">
        <f>IF(VLOOKUP(A197,'Aux - pivots1'!$A:$E,4,0)=0, "",VLOOKUP(A197,'Aux - pivots1'!$A:$E,4,0))</f>
        <v/>
      </c>
      <c r="L197" s="175" t="str">
        <f>IF(VLOOKUP(A197,'Aux - pivots1'!$A:$E,5,0)=0, "",VLOOKUP(A197,'Aux - pivots1'!$A:$E,5,0))</f>
        <v/>
      </c>
      <c r="M197" s="202"/>
    </row>
    <row r="198" spans="1:13" ht="16.2">
      <c r="A198" s="31" t="str">
        <f t="shared" si="2"/>
        <v>modesg_param_sfcs_taxon_europeiaflag_project_finance</v>
      </c>
      <c r="B198" s="162" t="s">
        <v>28</v>
      </c>
      <c r="C198" s="157" t="s">
        <v>178</v>
      </c>
      <c r="D198" s="153" t="s">
        <v>40</v>
      </c>
      <c r="E198" s="154" t="s">
        <v>179</v>
      </c>
      <c r="F198" s="153" t="s">
        <v>194</v>
      </c>
      <c r="G198" s="155" t="str">
        <f>VLOOKUP(A198,Plano_V3!$A$27:$G$583,7,0)</f>
        <v>6. Em implementação (re-especificação)</v>
      </c>
      <c r="H198" s="155" t="s">
        <v>482</v>
      </c>
      <c r="I198" s="165" t="s">
        <v>501</v>
      </c>
      <c r="J198" s="175">
        <f>IF(VLOOKUP(A198,'Aux - pivots1'!$A:$E,3,0)=0, "",VLOOKUP(A198,'Aux - pivots1'!$A:$E,3,0))</f>
        <v>45563</v>
      </c>
      <c r="K198" s="175" t="str">
        <f>IF(VLOOKUP(A198,'Aux - pivots1'!$A:$E,4,0)=0, "",VLOOKUP(A198,'Aux - pivots1'!$A:$E,4,0))</f>
        <v/>
      </c>
      <c r="L198" s="175" t="str">
        <f>IF(VLOOKUP(A198,'Aux - pivots1'!$A:$E,5,0)=0, "",VLOOKUP(A198,'Aux - pivots1'!$A:$E,5,0))</f>
        <v/>
      </c>
      <c r="M198" s="202"/>
    </row>
    <row r="199" spans="1:13" ht="16.2">
      <c r="A199" s="31" t="str">
        <f t="shared" si="2"/>
        <v>modesg_param_sfcs_taxon_europeiacfinalidad</v>
      </c>
      <c r="B199" s="162" t="s">
        <v>28</v>
      </c>
      <c r="C199" s="157" t="s">
        <v>178</v>
      </c>
      <c r="D199" s="153" t="s">
        <v>40</v>
      </c>
      <c r="E199" s="154" t="s">
        <v>179</v>
      </c>
      <c r="F199" s="153" t="s">
        <v>195</v>
      </c>
      <c r="G199" s="155" t="str">
        <f>VLOOKUP(A199,Plano_V3!$A$27:$G$583,7,0)</f>
        <v>6. Em implementação (re-especificação)</v>
      </c>
      <c r="H199" s="155" t="s">
        <v>482</v>
      </c>
      <c r="I199" s="165" t="s">
        <v>501</v>
      </c>
      <c r="J199" s="175">
        <f>IF(VLOOKUP(A199,'Aux - pivots1'!$A:$E,3,0)=0, "",VLOOKUP(A199,'Aux - pivots1'!$A:$E,3,0))</f>
        <v>45563</v>
      </c>
      <c r="K199" s="175" t="str">
        <f>IF(VLOOKUP(A199,'Aux - pivots1'!$A:$E,4,0)=0, "",VLOOKUP(A199,'Aux - pivots1'!$A:$E,4,0))</f>
        <v/>
      </c>
      <c r="L199" s="175" t="str">
        <f>IF(VLOOKUP(A199,'Aux - pivots1'!$A:$E,5,0)=0, "",VLOOKUP(A199,'Aux - pivots1'!$A:$E,5,0))</f>
        <v/>
      </c>
      <c r="M199" s="202"/>
    </row>
    <row r="200" spans="1:13" ht="16.2">
      <c r="A200" s="31" t="str">
        <f t="shared" si="2"/>
        <v>modesg_param_sfcs_taxon_europeiatipo_combust</v>
      </c>
      <c r="B200" s="162" t="s">
        <v>28</v>
      </c>
      <c r="C200" s="157" t="s">
        <v>178</v>
      </c>
      <c r="D200" s="153" t="s">
        <v>40</v>
      </c>
      <c r="E200" s="154" t="s">
        <v>179</v>
      </c>
      <c r="F200" s="153" t="s">
        <v>196</v>
      </c>
      <c r="G200" s="155" t="str">
        <f>VLOOKUP(A200,Plano_V3!$A$27:$G$583,7,0)</f>
        <v>6. Em implementação (re-especificação)</v>
      </c>
      <c r="H200" s="155" t="s">
        <v>482</v>
      </c>
      <c r="I200" s="165" t="s">
        <v>502</v>
      </c>
      <c r="J200" s="175">
        <f>IF(VLOOKUP(A200,'Aux - pivots1'!$A:$E,3,0)=0, "",VLOOKUP(A200,'Aux - pivots1'!$A:$E,3,0))</f>
        <v>45563</v>
      </c>
      <c r="K200" s="175" t="str">
        <f>IF(VLOOKUP(A200,'Aux - pivots1'!$A:$E,4,0)=0, "",VLOOKUP(A200,'Aux - pivots1'!$A:$E,4,0))</f>
        <v/>
      </c>
      <c r="L200" s="175" t="str">
        <f>IF(VLOOKUP(A200,'Aux - pivots1'!$A:$E,5,0)=0, "",VLOOKUP(A200,'Aux - pivots1'!$A:$E,5,0))</f>
        <v/>
      </c>
      <c r="M200" s="202"/>
    </row>
    <row r="201" spans="1:13" ht="16.2">
      <c r="A201" s="31" t="str">
        <f t="shared" si="2"/>
        <v>modesg_param_sfcs_taxon_europeiamontante_pndrc</v>
      </c>
      <c r="B201" s="162" t="s">
        <v>28</v>
      </c>
      <c r="C201" s="157" t="s">
        <v>178</v>
      </c>
      <c r="D201" s="153" t="s">
        <v>40</v>
      </c>
      <c r="E201" s="154" t="s">
        <v>179</v>
      </c>
      <c r="F201" s="153" t="s">
        <v>197</v>
      </c>
      <c r="G201" s="155" t="str">
        <f>VLOOKUP(A201,Plano_V3!$A$27:$G$583,7,0)</f>
        <v>6. Em implementação (re-especificação)</v>
      </c>
      <c r="H201" s="155" t="s">
        <v>482</v>
      </c>
      <c r="I201" s="164"/>
      <c r="J201" s="175">
        <f>IF(VLOOKUP(A201,'Aux - pivots1'!$A:$E,3,0)=0, "",VLOOKUP(A201,'Aux - pivots1'!$A:$E,3,0))</f>
        <v>45563</v>
      </c>
      <c r="K201" s="175" t="str">
        <f>IF(VLOOKUP(A201,'Aux - pivots1'!$A:$E,4,0)=0, "",VLOOKUP(A201,'Aux - pivots1'!$A:$E,4,0))</f>
        <v/>
      </c>
      <c r="L201" s="175" t="str">
        <f>IF(VLOOKUP(A201,'Aux - pivots1'!$A:$E,5,0)=0, "",VLOOKUP(A201,'Aux - pivots1'!$A:$E,5,0))</f>
        <v/>
      </c>
      <c r="M201" s="202"/>
    </row>
    <row r="202" spans="1:13" ht="16.2">
      <c r="A202" s="31" t="str">
        <f t="shared" si="2"/>
        <v>modesg_param_sfcs_taxon_europeianome_ctgr_sfcs</v>
      </c>
      <c r="B202" s="162" t="s">
        <v>28</v>
      </c>
      <c r="C202" s="157" t="s">
        <v>178</v>
      </c>
      <c r="D202" s="153" t="s">
        <v>40</v>
      </c>
      <c r="E202" s="154" t="s">
        <v>179</v>
      </c>
      <c r="F202" s="153" t="s">
        <v>198</v>
      </c>
      <c r="G202" s="155" t="str">
        <f>VLOOKUP(A202,Plano_V3!$A$27:$G$583,7,0)</f>
        <v>4. Validação EF</v>
      </c>
      <c r="H202" s="155" t="s">
        <v>479</v>
      </c>
      <c r="I202" s="164" t="s">
        <v>1864</v>
      </c>
      <c r="J202" s="175" t="str">
        <f>IF(VLOOKUP(A202,'Aux - pivots1'!$A:$E,3,0)=0, "",VLOOKUP(A202,'Aux - pivots1'!$A:$E,3,0))</f>
        <v/>
      </c>
      <c r="K202" s="175" t="str">
        <f>IF(VLOOKUP(A202,'Aux - pivots1'!$A:$E,4,0)=0, "",VLOOKUP(A202,'Aux - pivots1'!$A:$E,4,0))</f>
        <v/>
      </c>
      <c r="L202" s="175" t="str">
        <f>IF(VLOOKUP(A202,'Aux - pivots1'!$A:$E,5,0)=0, "",VLOOKUP(A202,'Aux - pivots1'!$A:$E,5,0))</f>
        <v/>
      </c>
      <c r="M202" s="202"/>
    </row>
    <row r="203" spans="1:13" ht="16.2">
      <c r="A203" s="31" t="str">
        <f t="shared" si="2"/>
        <v>modesg_param_sfcs_taxon_europeianome_general_specific_purpose</v>
      </c>
      <c r="B203" s="162" t="s">
        <v>28</v>
      </c>
      <c r="C203" s="157" t="s">
        <v>178</v>
      </c>
      <c r="D203" s="153" t="s">
        <v>40</v>
      </c>
      <c r="E203" s="154" t="s">
        <v>179</v>
      </c>
      <c r="F203" s="153" t="s">
        <v>199</v>
      </c>
      <c r="G203" s="155" t="str">
        <f>VLOOKUP(A203,Plano_V3!$A$27:$G$583,7,0)</f>
        <v>6. Em implementação (re-especificação)</v>
      </c>
      <c r="H203" s="155" t="s">
        <v>482</v>
      </c>
      <c r="I203" s="179"/>
      <c r="J203" s="175">
        <f>IF(VLOOKUP(A203,'Aux - pivots1'!$A:$E,3,0)=0, "",VLOOKUP(A203,'Aux - pivots1'!$A:$E,3,0))</f>
        <v>45563</v>
      </c>
      <c r="K203" s="175" t="str">
        <f>IF(VLOOKUP(A203,'Aux - pivots1'!$A:$E,4,0)=0, "",VLOOKUP(A203,'Aux - pivots1'!$A:$E,4,0))</f>
        <v/>
      </c>
      <c r="L203" s="175" t="str">
        <f>IF(VLOOKUP(A203,'Aux - pivots1'!$A:$E,5,0)=0, "",VLOOKUP(A203,'Aux - pivots1'!$A:$E,5,0))</f>
        <v/>
      </c>
      <c r="M203" s="202"/>
    </row>
    <row r="204" spans="1:13" ht="16.2">
      <c r="A204" s="31" t="str">
        <f t="shared" si="2"/>
        <v>modesg_param_sfcs_taxon_europeianome_purpose_esg</v>
      </c>
      <c r="B204" s="162" t="s">
        <v>28</v>
      </c>
      <c r="C204" s="157" t="s">
        <v>178</v>
      </c>
      <c r="D204" s="153" t="s">
        <v>40</v>
      </c>
      <c r="E204" s="154" t="s">
        <v>179</v>
      </c>
      <c r="F204" s="153" t="s">
        <v>200</v>
      </c>
      <c r="G204" s="155" t="str">
        <f>VLOOKUP(A204,Plano_V3!$A$27:$G$583,7,0)</f>
        <v>6. Em implementação (re-especificação)</v>
      </c>
      <c r="H204" s="155" t="s">
        <v>482</v>
      </c>
      <c r="I204" s="179"/>
      <c r="J204" s="175">
        <f>IF(VLOOKUP(A204,'Aux - pivots1'!$A:$E,3,0)=0, "",VLOOKUP(A204,'Aux - pivots1'!$A:$E,3,0))</f>
        <v>45563</v>
      </c>
      <c r="K204" s="175" t="str">
        <f>IF(VLOOKUP(A204,'Aux - pivots1'!$A:$E,4,0)=0, "",VLOOKUP(A204,'Aux - pivots1'!$A:$E,4,0))</f>
        <v/>
      </c>
      <c r="L204" s="175" t="str">
        <f>IF(VLOOKUP(A204,'Aux - pivots1'!$A:$E,5,0)=0, "",VLOOKUP(A204,'Aux - pivots1'!$A:$E,5,0))</f>
        <v/>
      </c>
      <c r="M204" s="202"/>
    </row>
    <row r="205" spans="1:13" ht="16.2">
      <c r="A205" s="31" t="str">
        <f t="shared" si="2"/>
        <v>modesg_param_sfcs_taxon_europeianome_specific_eligible</v>
      </c>
      <c r="B205" s="162" t="s">
        <v>28</v>
      </c>
      <c r="C205" s="157" t="s">
        <v>178</v>
      </c>
      <c r="D205" s="153" t="s">
        <v>40</v>
      </c>
      <c r="E205" s="154" t="s">
        <v>179</v>
      </c>
      <c r="F205" s="153" t="s">
        <v>201</v>
      </c>
      <c r="G205" s="155" t="str">
        <f>VLOOKUP(A205,Plano_V3!$A$27:$G$583,7,0)</f>
        <v>6. Em implementação (re-especificação)</v>
      </c>
      <c r="H205" s="155" t="s">
        <v>482</v>
      </c>
      <c r="I205" s="179"/>
      <c r="J205" s="175">
        <f>IF(VLOOKUP(A205,'Aux - pivots1'!$A:$E,3,0)=0, "",VLOOKUP(A205,'Aux - pivots1'!$A:$E,3,0))</f>
        <v>45563</v>
      </c>
      <c r="K205" s="175" t="str">
        <f>IF(VLOOKUP(A205,'Aux - pivots1'!$A:$E,4,0)=0, "",VLOOKUP(A205,'Aux - pivots1'!$A:$E,4,0))</f>
        <v/>
      </c>
      <c r="L205" s="175" t="str">
        <f>IF(VLOOKUP(A205,'Aux - pivots1'!$A:$E,5,0)=0, "",VLOOKUP(A205,'Aux - pivots1'!$A:$E,5,0))</f>
        <v/>
      </c>
      <c r="M205" s="202"/>
    </row>
    <row r="206" spans="1:13" ht="16.2">
      <c r="A206" s="31" t="str">
        <f t="shared" si="2"/>
        <v>modesg_param_sfcs_taxon_europeianome_specific_sustainable</v>
      </c>
      <c r="B206" s="162" t="s">
        <v>28</v>
      </c>
      <c r="C206" s="157" t="s">
        <v>178</v>
      </c>
      <c r="D206" s="153" t="s">
        <v>40</v>
      </c>
      <c r="E206" s="154" t="s">
        <v>179</v>
      </c>
      <c r="F206" s="153" t="s">
        <v>202</v>
      </c>
      <c r="G206" s="155" t="str">
        <f>VLOOKUP(A206,Plano_V3!$A$27:$G$583,7,0)</f>
        <v>6. Em implementação (re-especificação)</v>
      </c>
      <c r="H206" s="155" t="s">
        <v>482</v>
      </c>
      <c r="I206" s="179"/>
      <c r="J206" s="175">
        <f>IF(VLOOKUP(A206,'Aux - pivots1'!$A:$E,3,0)=0, "",VLOOKUP(A206,'Aux - pivots1'!$A:$E,3,0))</f>
        <v>45563</v>
      </c>
      <c r="K206" s="175" t="str">
        <f>IF(VLOOKUP(A206,'Aux - pivots1'!$A:$E,4,0)=0, "",VLOOKUP(A206,'Aux - pivots1'!$A:$E,4,0))</f>
        <v/>
      </c>
      <c r="L206" s="175" t="str">
        <f>IF(VLOOKUP(A206,'Aux - pivots1'!$A:$E,5,0)=0, "",VLOOKUP(A206,'Aux - pivots1'!$A:$E,5,0))</f>
        <v/>
      </c>
      <c r="M206" s="202"/>
    </row>
    <row r="207" spans="1:13" ht="16.2">
      <c r="A207" s="31" t="str">
        <f t="shared" ref="A207:A209" si="3">E207&amp;F207</f>
        <v>modesg_param_sfcs_taxon_europeiaref_date</v>
      </c>
      <c r="B207" s="162" t="s">
        <v>28</v>
      </c>
      <c r="C207" s="157" t="s">
        <v>178</v>
      </c>
      <c r="D207" s="153" t="s">
        <v>40</v>
      </c>
      <c r="E207" s="154" t="s">
        <v>179</v>
      </c>
      <c r="F207" s="153" t="s">
        <v>73</v>
      </c>
      <c r="G207" s="155" t="str">
        <f>VLOOKUP(A207,Plano_V3!$A$27:$G$583,7,0)</f>
        <v>1. Concluído</v>
      </c>
      <c r="H207" s="155" t="s">
        <v>477</v>
      </c>
      <c r="I207" s="179"/>
      <c r="J207" s="175" t="str">
        <f>IF(VLOOKUP(A207,'Aux - pivots1'!$A:$E,3,0)=0, "",VLOOKUP(A207,'Aux - pivots1'!$A:$E,3,0))</f>
        <v/>
      </c>
      <c r="K207" s="175" t="str">
        <f>IF(VLOOKUP(A207,'Aux - pivots1'!$A:$E,4,0)=0, "",VLOOKUP(A207,'Aux - pivots1'!$A:$E,4,0))</f>
        <v/>
      </c>
      <c r="L207" s="175" t="str">
        <f>IF(VLOOKUP(A207,'Aux - pivots1'!$A:$E,5,0)=0, "",VLOOKUP(A207,'Aux - pivots1'!$A:$E,5,0))</f>
        <v/>
      </c>
      <c r="M207" s="202"/>
    </row>
    <row r="208" spans="1:13" ht="16.2">
      <c r="A208" s="31" t="str">
        <f t="shared" si="3"/>
        <v>modesg_param_sfcs_taxon_europeiazcliente</v>
      </c>
      <c r="B208" s="162" t="s">
        <v>28</v>
      </c>
      <c r="C208" s="157" t="s">
        <v>178</v>
      </c>
      <c r="D208" s="153" t="s">
        <v>40</v>
      </c>
      <c r="E208" s="154" t="s">
        <v>179</v>
      </c>
      <c r="F208" s="153" t="s">
        <v>203</v>
      </c>
      <c r="G208" s="155" t="str">
        <f>VLOOKUP(A208,Plano_V3!$A$27:$G$583,7,0)</f>
        <v>6. Em implementação (re-especificação)</v>
      </c>
      <c r="H208" s="155" t="s">
        <v>482</v>
      </c>
      <c r="I208" s="179"/>
      <c r="J208" s="175">
        <f>IF(VLOOKUP(A208,'Aux - pivots1'!$A:$E,3,0)=0, "",VLOOKUP(A208,'Aux - pivots1'!$A:$E,3,0))</f>
        <v>45563</v>
      </c>
      <c r="K208" s="175" t="str">
        <f>IF(VLOOKUP(A208,'Aux - pivots1'!$A:$E,4,0)=0, "",VLOOKUP(A208,'Aux - pivots1'!$A:$E,4,0))</f>
        <v/>
      </c>
      <c r="L208" s="175" t="str">
        <f>IF(VLOOKUP(A208,'Aux - pivots1'!$A:$E,5,0)=0, "",VLOOKUP(A208,'Aux - pivots1'!$A:$E,5,0))</f>
        <v/>
      </c>
      <c r="M208" s="202"/>
    </row>
    <row r="209" spans="1:13" ht="16.2">
      <c r="A209" s="31" t="str">
        <f t="shared" si="3"/>
        <v>modesg_param_sfcs_taxon_europeiazdeposit</v>
      </c>
      <c r="B209" s="162" t="s">
        <v>28</v>
      </c>
      <c r="C209" s="157" t="s">
        <v>178</v>
      </c>
      <c r="D209" s="153" t="s">
        <v>40</v>
      </c>
      <c r="E209" s="154" t="s">
        <v>179</v>
      </c>
      <c r="F209" s="153" t="s">
        <v>204</v>
      </c>
      <c r="G209" s="155" t="str">
        <f>VLOOKUP(A209,Plano_V3!$A$27:$G$583,7,0)</f>
        <v>6. Em implementação (re-especificação)</v>
      </c>
      <c r="H209" s="155" t="s">
        <v>482</v>
      </c>
      <c r="I209" s="179"/>
      <c r="J209" s="175">
        <f>IF(VLOOKUP(A209,'Aux - pivots1'!$A:$E,3,0)=0, "",VLOOKUP(A209,'Aux - pivots1'!$A:$E,3,0))</f>
        <v>45563</v>
      </c>
      <c r="K209" s="175" t="str">
        <f>IF(VLOOKUP(A209,'Aux - pivots1'!$A:$E,4,0)=0, "",VLOOKUP(A209,'Aux - pivots1'!$A:$E,4,0))</f>
        <v/>
      </c>
      <c r="L209" s="175" t="str">
        <f>IF(VLOOKUP(A209,'Aux - pivots1'!$A:$E,5,0)=0, "",VLOOKUP(A209,'Aux - pivots1'!$A:$E,5,0))</f>
        <v/>
      </c>
      <c r="M209" s="202"/>
    </row>
    <row r="210" spans="1:13" ht="16.2">
      <c r="A210" s="31" t="str">
        <f t="shared" ref="A210:A211" si="4">E210&amp;F210</f>
        <v>modesg_param_sfcs_taxon_europeiaordem</v>
      </c>
      <c r="B210" s="162" t="s">
        <v>28</v>
      </c>
      <c r="C210" s="157" t="s">
        <v>178</v>
      </c>
      <c r="D210" s="153" t="s">
        <v>40</v>
      </c>
      <c r="E210" s="154" t="s">
        <v>179</v>
      </c>
      <c r="F210" s="153" t="s">
        <v>322</v>
      </c>
      <c r="G210" s="155" t="str">
        <f>VLOOKUP(A210,Plano_V3!$A$27:$G$583,7,0)</f>
        <v>0. Cancelado</v>
      </c>
      <c r="H210" s="155" t="s">
        <v>476</v>
      </c>
      <c r="I210" s="179" t="s">
        <v>1877</v>
      </c>
      <c r="J210" s="175">
        <f>IF(VLOOKUP(A210,'Aux - pivots1'!$A:$E,3,0)=0, "",VLOOKUP(A210,'Aux - pivots1'!$A:$E,3,0))</f>
        <v>45561</v>
      </c>
      <c r="K210" s="175" t="str">
        <f>IF(VLOOKUP(A210,'Aux - pivots1'!$A:$E,4,0)=0, "",VLOOKUP(A210,'Aux - pivots1'!$A:$E,4,0))</f>
        <v/>
      </c>
      <c r="L210" s="175" t="str">
        <f>IF(VLOOKUP(A210,'Aux - pivots1'!$A:$E,5,0)=0, "",VLOOKUP(A210,'Aux - pivots1'!$A:$E,5,0))</f>
        <v/>
      </c>
      <c r="M210" s="202"/>
    </row>
    <row r="211" spans="1:13" ht="16.2">
      <c r="A211" s="31" t="str">
        <f t="shared" si="4"/>
        <v>modesg_param_sfcs_taxon_europeianivel_mrc</v>
      </c>
      <c r="B211" s="162" t="s">
        <v>28</v>
      </c>
      <c r="C211" s="157" t="s">
        <v>178</v>
      </c>
      <c r="D211" s="153" t="s">
        <v>40</v>
      </c>
      <c r="E211" s="154" t="s">
        <v>179</v>
      </c>
      <c r="F211" s="153" t="s">
        <v>1860</v>
      </c>
      <c r="G211" s="155" t="str">
        <f>VLOOKUP(A211,Plano_V3!$A$27:$G$583,7,0)</f>
        <v>0. Cancelado</v>
      </c>
      <c r="H211" s="155" t="s">
        <v>476</v>
      </c>
      <c r="I211" s="179" t="s">
        <v>1877</v>
      </c>
      <c r="J211" s="175">
        <f>IF(VLOOKUP(A211,'Aux - pivots1'!$A:$E,3,0)=0, "",VLOOKUP(A211,'Aux - pivots1'!$A:$E,3,0))</f>
        <v>45561</v>
      </c>
      <c r="K211" s="175" t="str">
        <f>IF(VLOOKUP(A211,'Aux - pivots1'!$A:$E,4,0)=0, "",VLOOKUP(A211,'Aux - pivots1'!$A:$E,4,0))</f>
        <v/>
      </c>
      <c r="L211" s="175" t="str">
        <f>IF(VLOOKUP(A211,'Aux - pivots1'!$A:$E,5,0)=0, "",VLOOKUP(A211,'Aux - pivots1'!$A:$E,5,0))</f>
        <v/>
      </c>
      <c r="M211" s="202"/>
    </row>
    <row r="212" spans="1:13" ht="16.2">
      <c r="A212" s="31" t="str">
        <f t="shared" ref="A212:A243" si="5">E212&amp;F212</f>
        <v>modesg_inp_emss_vclsn.a.</v>
      </c>
      <c r="B212" s="162" t="s">
        <v>28</v>
      </c>
      <c r="C212" s="157" t="s">
        <v>178</v>
      </c>
      <c r="D212" s="153" t="s">
        <v>36</v>
      </c>
      <c r="E212" s="154" t="s">
        <v>205</v>
      </c>
      <c r="F212" s="153" t="s">
        <v>38</v>
      </c>
      <c r="G212" s="155" t="str">
        <f>VLOOKUP(A212,Plano_V3!$A$27:$G$583,7,0)</f>
        <v>1. Concluído</v>
      </c>
      <c r="H212" s="155" t="s">
        <v>477</v>
      </c>
      <c r="I212" s="164"/>
      <c r="J212" s="175">
        <f>IF(VLOOKUP(A212,'Aux - pivots1'!$A:$E,3,0)=0, "",VLOOKUP(A212,'Aux - pivots1'!$A:$E,3,0))</f>
        <v>45471</v>
      </c>
      <c r="K212" s="175">
        <f>IF(VLOOKUP(A212,'Aux - pivots1'!$A:$E,4,0)=0, "",VLOOKUP(A212,'Aux - pivots1'!$A:$E,4,0))</f>
        <v>45534</v>
      </c>
      <c r="L212" s="175">
        <f>IF(VLOOKUP(A212,'Aux - pivots1'!$A:$E,5,0)=0, "",VLOOKUP(A212,'Aux - pivots1'!$A:$E,5,0))</f>
        <v>45534</v>
      </c>
      <c r="M212" s="202"/>
    </row>
    <row r="213" spans="1:13" ht="16.2">
      <c r="A213" s="31" t="str">
        <f t="shared" si="5"/>
        <v>modesg_inp_km_medios_emss_vclsn.a.</v>
      </c>
      <c r="B213" s="162" t="s">
        <v>28</v>
      </c>
      <c r="C213" s="157" t="s">
        <v>178</v>
      </c>
      <c r="D213" s="153" t="s">
        <v>36</v>
      </c>
      <c r="E213" s="154" t="s">
        <v>206</v>
      </c>
      <c r="F213" s="153" t="s">
        <v>38</v>
      </c>
      <c r="G213" s="155" t="str">
        <f>VLOOKUP(A213,Plano_V3!$A$27:$G$583,7,0)</f>
        <v>1. Concluído</v>
      </c>
      <c r="H213" s="155" t="s">
        <v>477</v>
      </c>
      <c r="I213" s="164"/>
      <c r="J213" s="175" t="str">
        <f>IF(VLOOKUP(A213,'Aux - pivots1'!$A:$E,3,0)=0, "",VLOOKUP(A213,'Aux - pivots1'!$A:$E,3,0))</f>
        <v/>
      </c>
      <c r="K213" s="175">
        <f>IF(VLOOKUP(A213,'Aux - pivots1'!$A:$E,4,0)=0, "",VLOOKUP(A213,'Aux - pivots1'!$A:$E,4,0))</f>
        <v>45534</v>
      </c>
      <c r="L213" s="175">
        <f>IF(VLOOKUP(A213,'Aux - pivots1'!$A:$E,5,0)=0, "",VLOOKUP(A213,'Aux - pivots1'!$A:$E,5,0))</f>
        <v>45534</v>
      </c>
      <c r="M213" s="202"/>
    </row>
    <row r="214" spans="1:13" ht="16.2">
      <c r="A214" s="31" t="str">
        <f t="shared" si="5"/>
        <v>modesg_inp_empr_excl_parisn.a.</v>
      </c>
      <c r="B214" s="162" t="s">
        <v>28</v>
      </c>
      <c r="C214" s="157" t="s">
        <v>178</v>
      </c>
      <c r="D214" s="153" t="s">
        <v>36</v>
      </c>
      <c r="E214" s="154" t="s">
        <v>207</v>
      </c>
      <c r="F214" s="153" t="s">
        <v>38</v>
      </c>
      <c r="G214" s="155" t="str">
        <f>VLOOKUP(A214,Plano_V3!$A$27:$G$583,7,0)</f>
        <v>1. Concluído</v>
      </c>
      <c r="H214" s="155" t="s">
        <v>477</v>
      </c>
      <c r="I214" s="179"/>
      <c r="J214" s="175" t="str">
        <f>IF(VLOOKUP(A214,'Aux - pivots1'!$A:$E,3,0)=0, "",VLOOKUP(A214,'Aux - pivots1'!$A:$E,3,0))</f>
        <v/>
      </c>
      <c r="K214" s="175" t="str">
        <f>IF(VLOOKUP(A214,'Aux - pivots1'!$A:$E,4,0)=0, "",VLOOKUP(A214,'Aux - pivots1'!$A:$E,4,0))</f>
        <v/>
      </c>
      <c r="L214" s="175" t="str">
        <f>IF(VLOOKUP(A214,'Aux - pivots1'!$A:$E,5,0)=0, "",VLOOKUP(A214,'Aux - pivots1'!$A:$E,5,0))</f>
        <v/>
      </c>
      <c r="M214" s="202"/>
    </row>
    <row r="215" spans="1:13" ht="16.2">
      <c r="A215" s="31" t="str">
        <f t="shared" si="5"/>
        <v>modesg_inp_nfrd_alinhamento_taxn.a.</v>
      </c>
      <c r="B215" s="162" t="s">
        <v>28</v>
      </c>
      <c r="C215" s="157" t="s">
        <v>178</v>
      </c>
      <c r="D215" s="153" t="s">
        <v>36</v>
      </c>
      <c r="E215" s="154" t="s">
        <v>208</v>
      </c>
      <c r="F215" s="153" t="s">
        <v>38</v>
      </c>
      <c r="G215" s="155" t="str">
        <f>VLOOKUP(A215,Plano_V3!$A$27:$G$583,7,0)</f>
        <v>1. Concluído</v>
      </c>
      <c r="H215" s="155" t="s">
        <v>477</v>
      </c>
      <c r="I215" s="164"/>
      <c r="J215" s="175" t="str">
        <f>IF(VLOOKUP(A215,'Aux - pivots1'!$A:$E,3,0)=0, "",VLOOKUP(A215,'Aux - pivots1'!$A:$E,3,0))</f>
        <v/>
      </c>
      <c r="K215" s="175">
        <f>IF(VLOOKUP(A215,'Aux - pivots1'!$A:$E,4,0)=0, "",VLOOKUP(A215,'Aux - pivots1'!$A:$E,4,0))</f>
        <v>45534</v>
      </c>
      <c r="L215" s="175">
        <f>IF(VLOOKUP(A215,'Aux - pivots1'!$A:$E,5,0)=0, "",VLOOKUP(A215,'Aux - pivots1'!$A:$E,5,0))</f>
        <v>45534</v>
      </c>
      <c r="M215" s="202"/>
    </row>
    <row r="216" spans="1:13" ht="16.2">
      <c r="A216" s="31" t="str">
        <f t="shared" si="5"/>
        <v>modesg_inp_risco_fisicon.a.</v>
      </c>
      <c r="B216" s="162" t="s">
        <v>28</v>
      </c>
      <c r="C216" s="157" t="s">
        <v>178</v>
      </c>
      <c r="D216" s="153" t="s">
        <v>36</v>
      </c>
      <c r="E216" s="154" t="s">
        <v>209</v>
      </c>
      <c r="F216" s="153" t="s">
        <v>38</v>
      </c>
      <c r="G216" s="155" t="str">
        <f>VLOOKUP(A216,Plano_V3!$A$27:$G$583,7,0)</f>
        <v>1. Concluído</v>
      </c>
      <c r="H216" s="155" t="s">
        <v>477</v>
      </c>
      <c r="I216" s="179"/>
      <c r="J216" s="175" t="str">
        <f>IF(VLOOKUP(A216,'Aux - pivots1'!$A:$E,3,0)=0, "",VLOOKUP(A216,'Aux - pivots1'!$A:$E,3,0))</f>
        <v/>
      </c>
      <c r="K216" s="175" t="str">
        <f>IF(VLOOKUP(A216,'Aux - pivots1'!$A:$E,4,0)=0, "",VLOOKUP(A216,'Aux - pivots1'!$A:$E,4,0))</f>
        <v/>
      </c>
      <c r="L216" s="175" t="str">
        <f>IF(VLOOKUP(A216,'Aux - pivots1'!$A:$E,5,0)=0, "",VLOOKUP(A216,'Aux - pivots1'!$A:$E,5,0))</f>
        <v/>
      </c>
      <c r="M216" s="202"/>
    </row>
    <row r="217" spans="1:13" ht="16.2">
      <c r="A217" s="31" t="str">
        <f t="shared" si="5"/>
        <v>modesg_inp_emss_scibn.a.</v>
      </c>
      <c r="B217" s="162" t="s">
        <v>28</v>
      </c>
      <c r="C217" s="157" t="s">
        <v>178</v>
      </c>
      <c r="D217" s="153" t="s">
        <v>36</v>
      </c>
      <c r="E217" s="154" t="s">
        <v>210</v>
      </c>
      <c r="F217" s="153" t="s">
        <v>38</v>
      </c>
      <c r="G217" s="155" t="str">
        <f>VLOOKUP(A217,Plano_V3!$A$27:$G$583,7,0)</f>
        <v>1. Concluído</v>
      </c>
      <c r="H217" s="155" t="s">
        <v>477</v>
      </c>
      <c r="I217" s="179"/>
      <c r="J217" s="175" t="str">
        <f>IF(VLOOKUP(A217,'Aux - pivots1'!$A:$E,3,0)=0, "",VLOOKUP(A217,'Aux - pivots1'!$A:$E,3,0))</f>
        <v/>
      </c>
      <c r="K217" s="175" t="str">
        <f>IF(VLOOKUP(A217,'Aux - pivots1'!$A:$E,4,0)=0, "",VLOOKUP(A217,'Aux - pivots1'!$A:$E,4,0))</f>
        <v/>
      </c>
      <c r="L217" s="175" t="str">
        <f>IF(VLOOKUP(A217,'Aux - pivots1'!$A:$E,5,0)=0, "",VLOOKUP(A217,'Aux - pivots1'!$A:$E,5,0))</f>
        <v/>
      </c>
      <c r="M217" s="202"/>
    </row>
    <row r="218" spans="1:13" ht="16.2">
      <c r="A218" s="31" t="str">
        <f t="shared" si="5"/>
        <v>modesg_inp_emss_nacen.a.</v>
      </c>
      <c r="B218" s="162" t="s">
        <v>28</v>
      </c>
      <c r="C218" s="157" t="s">
        <v>178</v>
      </c>
      <c r="D218" s="153" t="s">
        <v>36</v>
      </c>
      <c r="E218" s="154" t="s">
        <v>211</v>
      </c>
      <c r="F218" s="153" t="s">
        <v>38</v>
      </c>
      <c r="G218" s="155" t="str">
        <f>VLOOKUP(A218,Plano_V3!$A$27:$G$583,7,0)</f>
        <v>1. Concluído</v>
      </c>
      <c r="H218" s="155" t="s">
        <v>477</v>
      </c>
      <c r="I218" s="164"/>
      <c r="J218" s="175" t="str">
        <f>IF(VLOOKUP(A218,'Aux - pivots1'!$A:$E,3,0)=0, "",VLOOKUP(A218,'Aux - pivots1'!$A:$E,3,0))</f>
        <v/>
      </c>
      <c r="K218" s="175" t="str">
        <f>IF(VLOOKUP(A218,'Aux - pivots1'!$A:$E,4,0)=0, "",VLOOKUP(A218,'Aux - pivots1'!$A:$E,4,0))</f>
        <v/>
      </c>
      <c r="L218" s="175" t="str">
        <f>IF(VLOOKUP(A218,'Aux - pivots1'!$A:$E,5,0)=0, "",VLOOKUP(A218,'Aux - pivots1'!$A:$E,5,0))</f>
        <v/>
      </c>
      <c r="M218" s="202"/>
    </row>
    <row r="219" spans="1:13" ht="16.2">
      <c r="A219" s="31" t="str">
        <f t="shared" si="5"/>
        <v>modesg_inp_emss_bens_imoveisn.a.</v>
      </c>
      <c r="B219" s="162" t="s">
        <v>28</v>
      </c>
      <c r="C219" s="157" t="s">
        <v>178</v>
      </c>
      <c r="D219" s="153" t="s">
        <v>36</v>
      </c>
      <c r="E219" s="154" t="s">
        <v>212</v>
      </c>
      <c r="F219" s="153" t="s">
        <v>38</v>
      </c>
      <c r="G219" s="155" t="str">
        <f>VLOOKUP(A219,Plano_V3!$A$27:$G$583,7,0)</f>
        <v>1. Concluído</v>
      </c>
      <c r="H219" s="155" t="s">
        <v>477</v>
      </c>
      <c r="I219" s="164"/>
      <c r="J219" s="175" t="str">
        <f>IF(VLOOKUP(A219,'Aux - pivots1'!$A:$E,3,0)=0, "",VLOOKUP(A219,'Aux - pivots1'!$A:$E,3,0))</f>
        <v/>
      </c>
      <c r="K219" s="175">
        <f>IF(VLOOKUP(A219,'Aux - pivots1'!$A:$E,4,0)=0, "",VLOOKUP(A219,'Aux - pivots1'!$A:$E,4,0))</f>
        <v>45534</v>
      </c>
      <c r="L219" s="175">
        <f>IF(VLOOKUP(A219,'Aux - pivots1'!$A:$E,5,0)=0, "",VLOOKUP(A219,'Aux - pivots1'!$A:$E,5,0))</f>
        <v>45534</v>
      </c>
      <c r="M219" s="202"/>
    </row>
    <row r="220" spans="1:13" ht="16.2">
      <c r="A220" s="31" t="str">
        <f t="shared" si="5"/>
        <v>modesg_inp_emss_vclsref_date</v>
      </c>
      <c r="B220" s="162" t="s">
        <v>28</v>
      </c>
      <c r="C220" s="157" t="s">
        <v>178</v>
      </c>
      <c r="D220" s="153" t="s">
        <v>40</v>
      </c>
      <c r="E220" s="154" t="s">
        <v>205</v>
      </c>
      <c r="F220" s="153" t="s">
        <v>73</v>
      </c>
      <c r="G220" s="155" t="str">
        <f>VLOOKUP(A220,Plano_V3!$A$27:$G$583,7,0)</f>
        <v>1. Concluído</v>
      </c>
      <c r="H220" s="155" t="s">
        <v>477</v>
      </c>
      <c r="I220" s="164"/>
      <c r="J220" s="175" t="str">
        <f>IF(VLOOKUP(A220,'Aux - pivots1'!$A:$E,3,0)=0, "",VLOOKUP(A220,'Aux - pivots1'!$A:$E,3,0))</f>
        <v/>
      </c>
      <c r="K220" s="175">
        <f>IF(VLOOKUP(A220,'Aux - pivots1'!$A:$E,4,0)=0, "",VLOOKUP(A220,'Aux - pivots1'!$A:$E,4,0))</f>
        <v>45534</v>
      </c>
      <c r="L220" s="175">
        <f>IF(VLOOKUP(A220,'Aux - pivots1'!$A:$E,5,0)=0, "",VLOOKUP(A220,'Aux - pivots1'!$A:$E,5,0))</f>
        <v>45534</v>
      </c>
      <c r="M220" s="202"/>
    </row>
    <row r="221" spans="1:13" ht="16.2">
      <c r="A221" s="31" t="str">
        <f t="shared" si="5"/>
        <v>modesg_inp_emss_vclsnome_regiao</v>
      </c>
      <c r="B221" s="162" t="s">
        <v>28</v>
      </c>
      <c r="C221" s="157" t="s">
        <v>178</v>
      </c>
      <c r="D221" s="153" t="s">
        <v>40</v>
      </c>
      <c r="E221" s="154" t="s">
        <v>205</v>
      </c>
      <c r="F221" s="153" t="s">
        <v>213</v>
      </c>
      <c r="G221" s="155" t="str">
        <f>VLOOKUP(A221,Plano_V3!$A$27:$G$583,7,0)</f>
        <v>1. Concluído</v>
      </c>
      <c r="H221" s="155" t="s">
        <v>477</v>
      </c>
      <c r="I221" s="164"/>
      <c r="J221" s="175" t="str">
        <f>IF(VLOOKUP(A221,'Aux - pivots1'!$A:$E,3,0)=0, "",VLOOKUP(A221,'Aux - pivots1'!$A:$E,3,0))</f>
        <v/>
      </c>
      <c r="K221" s="175">
        <f>IF(VLOOKUP(A221,'Aux - pivots1'!$A:$E,4,0)=0, "",VLOOKUP(A221,'Aux - pivots1'!$A:$E,4,0))</f>
        <v>45534</v>
      </c>
      <c r="L221" s="175">
        <f>IF(VLOOKUP(A221,'Aux - pivots1'!$A:$E,5,0)=0, "",VLOOKUP(A221,'Aux - pivots1'!$A:$E,5,0))</f>
        <v>45534</v>
      </c>
      <c r="M221" s="202"/>
    </row>
    <row r="222" spans="1:13" ht="16.2">
      <c r="A222" s="31" t="str">
        <f t="shared" si="5"/>
        <v>modesg_inp_emss_vclsnome_pais</v>
      </c>
      <c r="B222" s="162" t="s">
        <v>28</v>
      </c>
      <c r="C222" s="157" t="s">
        <v>178</v>
      </c>
      <c r="D222" s="153" t="s">
        <v>40</v>
      </c>
      <c r="E222" s="154" t="s">
        <v>205</v>
      </c>
      <c r="F222" s="153" t="s">
        <v>214</v>
      </c>
      <c r="G222" s="155" t="str">
        <f>VLOOKUP(A222,Plano_V3!$A$27:$G$583,7,0)</f>
        <v>1. Concluído</v>
      </c>
      <c r="H222" s="155" t="s">
        <v>477</v>
      </c>
      <c r="I222" s="164"/>
      <c r="J222" s="175" t="str">
        <f>IF(VLOOKUP(A222,'Aux - pivots1'!$A:$E,3,0)=0, "",VLOOKUP(A222,'Aux - pivots1'!$A:$E,3,0))</f>
        <v/>
      </c>
      <c r="K222" s="175">
        <f>IF(VLOOKUP(A222,'Aux - pivots1'!$A:$E,4,0)=0, "",VLOOKUP(A222,'Aux - pivots1'!$A:$E,4,0))</f>
        <v>45534</v>
      </c>
      <c r="L222" s="175">
        <f>IF(VLOOKUP(A222,'Aux - pivots1'!$A:$E,5,0)=0, "",VLOOKUP(A222,'Aux - pivots1'!$A:$E,5,0))</f>
        <v>45534</v>
      </c>
      <c r="M222" s="202"/>
    </row>
    <row r="223" spans="1:13" ht="16.2">
      <c r="A223" s="31" t="str">
        <f t="shared" si="5"/>
        <v>modesg_inp_emss_vclsnome_estado</v>
      </c>
      <c r="B223" s="162" t="s">
        <v>28</v>
      </c>
      <c r="C223" s="157" t="s">
        <v>178</v>
      </c>
      <c r="D223" s="153" t="s">
        <v>40</v>
      </c>
      <c r="E223" s="154" t="s">
        <v>205</v>
      </c>
      <c r="F223" s="153" t="s">
        <v>215</v>
      </c>
      <c r="G223" s="155" t="str">
        <f>VLOOKUP(A223,Plano_V3!$A$27:$G$583,7,0)</f>
        <v>1. Concluído</v>
      </c>
      <c r="H223" s="155" t="s">
        <v>477</v>
      </c>
      <c r="I223" s="164"/>
      <c r="J223" s="175" t="str">
        <f>IF(VLOOKUP(A223,'Aux - pivots1'!$A:$E,3,0)=0, "",VLOOKUP(A223,'Aux - pivots1'!$A:$E,3,0))</f>
        <v/>
      </c>
      <c r="K223" s="175">
        <f>IF(VLOOKUP(A223,'Aux - pivots1'!$A:$E,4,0)=0, "",VLOOKUP(A223,'Aux - pivots1'!$A:$E,4,0))</f>
        <v>45534</v>
      </c>
      <c r="L223" s="175">
        <f>IF(VLOOKUP(A223,'Aux - pivots1'!$A:$E,5,0)=0, "",VLOOKUP(A223,'Aux - pivots1'!$A:$E,5,0))</f>
        <v>45534</v>
      </c>
      <c r="M223" s="202"/>
    </row>
    <row r="224" spans="1:13" ht="16.2">
      <c r="A224" s="31" t="str">
        <f t="shared" si="5"/>
        <v>modesg_inp_emss_vclstipo_veiculo</v>
      </c>
      <c r="B224" s="162" t="s">
        <v>28</v>
      </c>
      <c r="C224" s="157" t="s">
        <v>178</v>
      </c>
      <c r="D224" s="153" t="s">
        <v>40</v>
      </c>
      <c r="E224" s="154" t="s">
        <v>205</v>
      </c>
      <c r="F224" s="153" t="s">
        <v>216</v>
      </c>
      <c r="G224" s="155" t="str">
        <f>VLOOKUP(A224,Plano_V3!$A$27:$G$583,7,0)</f>
        <v>1. Concluído</v>
      </c>
      <c r="H224" s="155" t="s">
        <v>477</v>
      </c>
      <c r="I224" s="164"/>
      <c r="J224" s="175" t="str">
        <f>IF(VLOOKUP(A224,'Aux - pivots1'!$A:$E,3,0)=0, "",VLOOKUP(A224,'Aux - pivots1'!$A:$E,3,0))</f>
        <v/>
      </c>
      <c r="K224" s="175">
        <f>IF(VLOOKUP(A224,'Aux - pivots1'!$A:$E,4,0)=0, "",VLOOKUP(A224,'Aux - pivots1'!$A:$E,4,0))</f>
        <v>45534</v>
      </c>
      <c r="L224" s="175">
        <f>IF(VLOOKUP(A224,'Aux - pivots1'!$A:$E,5,0)=0, "",VLOOKUP(A224,'Aux - pivots1'!$A:$E,5,0))</f>
        <v>45534</v>
      </c>
      <c r="M224" s="202"/>
    </row>
    <row r="225" spans="1:13" ht="16.2">
      <c r="A225" s="31" t="str">
        <f t="shared" si="5"/>
        <v>modesg_inp_emss_vclstipo_motor</v>
      </c>
      <c r="B225" s="162" t="s">
        <v>28</v>
      </c>
      <c r="C225" s="157" t="s">
        <v>178</v>
      </c>
      <c r="D225" s="153" t="s">
        <v>40</v>
      </c>
      <c r="E225" s="154" t="s">
        <v>205</v>
      </c>
      <c r="F225" s="153" t="s">
        <v>217</v>
      </c>
      <c r="G225" s="155" t="str">
        <f>VLOOKUP(A225,Plano_V3!$A$27:$G$583,7,0)</f>
        <v>1. Concluído</v>
      </c>
      <c r="H225" s="155" t="s">
        <v>477</v>
      </c>
      <c r="I225" s="164"/>
      <c r="J225" s="175" t="str">
        <f>IF(VLOOKUP(A225,'Aux - pivots1'!$A:$E,3,0)=0, "",VLOOKUP(A225,'Aux - pivots1'!$A:$E,3,0))</f>
        <v/>
      </c>
      <c r="K225" s="175">
        <f>IF(VLOOKUP(A225,'Aux - pivots1'!$A:$E,4,0)=0, "",VLOOKUP(A225,'Aux - pivots1'!$A:$E,4,0))</f>
        <v>45534</v>
      </c>
      <c r="L225" s="175">
        <f>IF(VLOOKUP(A225,'Aux - pivots1'!$A:$E,5,0)=0, "",VLOOKUP(A225,'Aux - pivots1'!$A:$E,5,0))</f>
        <v>45534</v>
      </c>
      <c r="M225" s="202"/>
    </row>
    <row r="226" spans="1:13" ht="16.2">
      <c r="A226" s="31" t="str">
        <f t="shared" si="5"/>
        <v>modesg_inp_emss_vclsmarca</v>
      </c>
      <c r="B226" s="162" t="s">
        <v>28</v>
      </c>
      <c r="C226" s="157" t="s">
        <v>178</v>
      </c>
      <c r="D226" s="153" t="s">
        <v>40</v>
      </c>
      <c r="E226" s="154" t="s">
        <v>205</v>
      </c>
      <c r="F226" s="153" t="s">
        <v>218</v>
      </c>
      <c r="G226" s="155" t="str">
        <f>VLOOKUP(A226,Plano_V3!$A$27:$G$583,7,0)</f>
        <v>1. Concluído</v>
      </c>
      <c r="H226" s="155" t="s">
        <v>477</v>
      </c>
      <c r="I226" s="164"/>
      <c r="J226" s="175" t="str">
        <f>IF(VLOOKUP(A226,'Aux - pivots1'!$A:$E,3,0)=0, "",VLOOKUP(A226,'Aux - pivots1'!$A:$E,3,0))</f>
        <v/>
      </c>
      <c r="K226" s="175">
        <f>IF(VLOOKUP(A226,'Aux - pivots1'!$A:$E,4,0)=0, "",VLOOKUP(A226,'Aux - pivots1'!$A:$E,4,0))</f>
        <v>45534</v>
      </c>
      <c r="L226" s="175">
        <f>IF(VLOOKUP(A226,'Aux - pivots1'!$A:$E,5,0)=0, "",VLOOKUP(A226,'Aux - pivots1'!$A:$E,5,0))</f>
        <v>45534</v>
      </c>
      <c r="M226" s="202"/>
    </row>
    <row r="227" spans="1:13" ht="16.2">
      <c r="A227" s="31" t="str">
        <f t="shared" si="5"/>
        <v>modesg_inp_emss_vclsmodelo</v>
      </c>
      <c r="B227" s="162" t="s">
        <v>28</v>
      </c>
      <c r="C227" s="157" t="s">
        <v>178</v>
      </c>
      <c r="D227" s="153" t="s">
        <v>40</v>
      </c>
      <c r="E227" s="154" t="s">
        <v>205</v>
      </c>
      <c r="F227" s="153" t="s">
        <v>219</v>
      </c>
      <c r="G227" s="155" t="str">
        <f>VLOOKUP(A227,Plano_V3!$A$27:$G$583,7,0)</f>
        <v>1. Concluído</v>
      </c>
      <c r="H227" s="155" t="s">
        <v>477</v>
      </c>
      <c r="I227" s="164"/>
      <c r="J227" s="175" t="str">
        <f>IF(VLOOKUP(A227,'Aux - pivots1'!$A:$E,3,0)=0, "",VLOOKUP(A227,'Aux - pivots1'!$A:$E,3,0))</f>
        <v/>
      </c>
      <c r="K227" s="175">
        <f>IF(VLOOKUP(A227,'Aux - pivots1'!$A:$E,4,0)=0, "",VLOOKUP(A227,'Aux - pivots1'!$A:$E,4,0))</f>
        <v>45534</v>
      </c>
      <c r="L227" s="175">
        <f>IF(VLOOKUP(A227,'Aux - pivots1'!$A:$E,5,0)=0, "",VLOOKUP(A227,'Aux - pivots1'!$A:$E,5,0))</f>
        <v>45534</v>
      </c>
      <c r="M227" s="202"/>
    </row>
    <row r="228" spans="1:13" ht="16.2">
      <c r="A228" s="31" t="str">
        <f t="shared" si="5"/>
        <v>modesg_inp_emss_vclssubgrupo</v>
      </c>
      <c r="B228" s="162" t="s">
        <v>28</v>
      </c>
      <c r="C228" s="157" t="s">
        <v>178</v>
      </c>
      <c r="D228" s="153" t="s">
        <v>40</v>
      </c>
      <c r="E228" s="154" t="s">
        <v>205</v>
      </c>
      <c r="F228" s="153" t="s">
        <v>1839</v>
      </c>
      <c r="G228" s="155" t="str">
        <f>VLOOKUP(A228,Plano_V3!$A$27:$G$583,7,0)</f>
        <v>1. Concluído</v>
      </c>
      <c r="H228" s="155" t="s">
        <v>477</v>
      </c>
      <c r="I228" s="165" t="s">
        <v>503</v>
      </c>
      <c r="J228" s="175" t="str">
        <f>IF(VLOOKUP(A228,'Aux - pivots1'!$A:$E,3,0)=0, "",VLOOKUP(A228,'Aux - pivots1'!$A:$E,3,0))</f>
        <v/>
      </c>
      <c r="K228" s="175">
        <f>IF(VLOOKUP(A228,'Aux - pivots1'!$A:$E,4,0)=0, "",VLOOKUP(A228,'Aux - pivots1'!$A:$E,4,0))</f>
        <v>45534</v>
      </c>
      <c r="L228" s="175">
        <f>IF(VLOOKUP(A228,'Aux - pivots1'!$A:$E,5,0)=0, "",VLOOKUP(A228,'Aux - pivots1'!$A:$E,5,0))</f>
        <v>45534</v>
      </c>
      <c r="M228" s="202"/>
    </row>
    <row r="229" spans="1:13" ht="16.2">
      <c r="A229" s="31" t="str">
        <f t="shared" si="5"/>
        <v>modesg_inp_emss_vclsnome_unidade_funcional</v>
      </c>
      <c r="B229" s="162" t="s">
        <v>28</v>
      </c>
      <c r="C229" s="157" t="s">
        <v>178</v>
      </c>
      <c r="D229" s="153" t="s">
        <v>40</v>
      </c>
      <c r="E229" s="154" t="s">
        <v>205</v>
      </c>
      <c r="F229" s="153" t="s">
        <v>221</v>
      </c>
      <c r="G229" s="155" t="str">
        <f>VLOOKUP(A229,Plano_V3!$A$27:$G$583,7,0)</f>
        <v>1. Concluído</v>
      </c>
      <c r="H229" s="155" t="s">
        <v>477</v>
      </c>
      <c r="I229" s="164"/>
      <c r="J229" s="175" t="str">
        <f>IF(VLOOKUP(A229,'Aux - pivots1'!$A:$E,3,0)=0, "",VLOOKUP(A229,'Aux - pivots1'!$A:$E,3,0))</f>
        <v/>
      </c>
      <c r="K229" s="175">
        <f>IF(VLOOKUP(A229,'Aux - pivots1'!$A:$E,4,0)=0, "",VLOOKUP(A229,'Aux - pivots1'!$A:$E,4,0))</f>
        <v>45534</v>
      </c>
      <c r="L229" s="175">
        <f>IF(VLOOKUP(A229,'Aux - pivots1'!$A:$E,5,0)=0, "",VLOOKUP(A229,'Aux - pivots1'!$A:$E,5,0))</f>
        <v>45534</v>
      </c>
      <c r="M229" s="202"/>
    </row>
    <row r="230" spans="1:13" ht="16.2">
      <c r="A230" s="31" t="str">
        <f t="shared" si="5"/>
        <v>modesg_inp_emss_vclsunidade_funcional</v>
      </c>
      <c r="B230" s="162" t="s">
        <v>28</v>
      </c>
      <c r="C230" s="157" t="s">
        <v>178</v>
      </c>
      <c r="D230" s="153" t="s">
        <v>40</v>
      </c>
      <c r="E230" s="154" t="s">
        <v>205</v>
      </c>
      <c r="F230" s="153" t="s">
        <v>222</v>
      </c>
      <c r="G230" s="155" t="str">
        <f>VLOOKUP(A230,Plano_V3!$A$27:$G$583,7,0)</f>
        <v>1. Concluído</v>
      </c>
      <c r="H230" s="155" t="s">
        <v>477</v>
      </c>
      <c r="I230" s="164"/>
      <c r="J230" s="175" t="str">
        <f>IF(VLOOKUP(A230,'Aux - pivots1'!$A:$E,3,0)=0, "",VLOOKUP(A230,'Aux - pivots1'!$A:$E,3,0))</f>
        <v/>
      </c>
      <c r="K230" s="175">
        <f>IF(VLOOKUP(A230,'Aux - pivots1'!$A:$E,4,0)=0, "",VLOOKUP(A230,'Aux - pivots1'!$A:$E,4,0))</f>
        <v>45534</v>
      </c>
      <c r="L230" s="175">
        <f>IF(VLOOKUP(A230,'Aux - pivots1'!$A:$E,5,0)=0, "",VLOOKUP(A230,'Aux - pivots1'!$A:$E,5,0))</f>
        <v>45534</v>
      </c>
      <c r="M230" s="202"/>
    </row>
    <row r="231" spans="1:13" ht="16.2">
      <c r="A231" s="31" t="str">
        <f t="shared" si="5"/>
        <v>modesg_inp_emss_vclsnome_fator_emissao</v>
      </c>
      <c r="B231" s="162" t="s">
        <v>28</v>
      </c>
      <c r="C231" s="157" t="s">
        <v>178</v>
      </c>
      <c r="D231" s="153" t="s">
        <v>40</v>
      </c>
      <c r="E231" s="154" t="s">
        <v>205</v>
      </c>
      <c r="F231" s="153" t="s">
        <v>223</v>
      </c>
      <c r="G231" s="155" t="str">
        <f>VLOOKUP(A231,Plano_V3!$A$27:$G$583,7,0)</f>
        <v>1. Concluído</v>
      </c>
      <c r="H231" s="155" t="s">
        <v>477</v>
      </c>
      <c r="I231" s="164"/>
      <c r="J231" s="175" t="str">
        <f>IF(VLOOKUP(A231,'Aux - pivots1'!$A:$E,3,0)=0, "",VLOOKUP(A231,'Aux - pivots1'!$A:$E,3,0))</f>
        <v/>
      </c>
      <c r="K231" s="175">
        <f>IF(VLOOKUP(A231,'Aux - pivots1'!$A:$E,4,0)=0, "",VLOOKUP(A231,'Aux - pivots1'!$A:$E,4,0))</f>
        <v>45534</v>
      </c>
      <c r="L231" s="175">
        <f>IF(VLOOKUP(A231,'Aux - pivots1'!$A:$E,5,0)=0, "",VLOOKUP(A231,'Aux - pivots1'!$A:$E,5,0))</f>
        <v>45534</v>
      </c>
      <c r="M231" s="202"/>
    </row>
    <row r="232" spans="1:13" ht="16.2">
      <c r="A232" s="31" t="str">
        <f t="shared" si="5"/>
        <v>modesg_inp_emss_vclsunidade_fator_de_emissao</v>
      </c>
      <c r="B232" s="162" t="s">
        <v>28</v>
      </c>
      <c r="C232" s="157" t="s">
        <v>178</v>
      </c>
      <c r="D232" s="153" t="s">
        <v>40</v>
      </c>
      <c r="E232" s="154" t="s">
        <v>205</v>
      </c>
      <c r="F232" s="153" t="s">
        <v>224</v>
      </c>
      <c r="G232" s="155" t="str">
        <f>VLOOKUP(A232,Plano_V3!$A$27:$G$583,7,0)</f>
        <v>1. Concluído</v>
      </c>
      <c r="H232" s="155" t="s">
        <v>477</v>
      </c>
      <c r="I232" s="164"/>
      <c r="J232" s="175" t="str">
        <f>IF(VLOOKUP(A232,'Aux - pivots1'!$A:$E,3,0)=0, "",VLOOKUP(A232,'Aux - pivots1'!$A:$E,3,0))</f>
        <v/>
      </c>
      <c r="K232" s="175">
        <f>IF(VLOOKUP(A232,'Aux - pivots1'!$A:$E,4,0)=0, "",VLOOKUP(A232,'Aux - pivots1'!$A:$E,4,0))</f>
        <v>45534</v>
      </c>
      <c r="L232" s="175">
        <f>IF(VLOOKUP(A232,'Aux - pivots1'!$A:$E,5,0)=0, "",VLOOKUP(A232,'Aux - pivots1'!$A:$E,5,0))</f>
        <v>45534</v>
      </c>
      <c r="M232" s="202"/>
    </row>
    <row r="233" spans="1:13" ht="16.2">
      <c r="A233" s="31" t="str">
        <f t="shared" si="5"/>
        <v>modesg_inp_emss_vclsscore_qualidade</v>
      </c>
      <c r="B233" s="162" t="s">
        <v>28</v>
      </c>
      <c r="C233" s="157" t="s">
        <v>178</v>
      </c>
      <c r="D233" s="153" t="s">
        <v>40</v>
      </c>
      <c r="E233" s="154" t="s">
        <v>205</v>
      </c>
      <c r="F233" s="153" t="s">
        <v>50</v>
      </c>
      <c r="G233" s="155" t="str">
        <f>VLOOKUP(A233,Plano_V3!$A$27:$G$583,7,0)</f>
        <v>1. Concluído</v>
      </c>
      <c r="H233" s="155" t="s">
        <v>477</v>
      </c>
      <c r="I233" s="164"/>
      <c r="J233" s="175" t="str">
        <f>IF(VLOOKUP(A233,'Aux - pivots1'!$A:$E,3,0)=0, "",VLOOKUP(A233,'Aux - pivots1'!$A:$E,3,0))</f>
        <v/>
      </c>
      <c r="K233" s="175">
        <f>IF(VLOOKUP(A233,'Aux - pivots1'!$A:$E,4,0)=0, "",VLOOKUP(A233,'Aux - pivots1'!$A:$E,4,0))</f>
        <v>45534</v>
      </c>
      <c r="L233" s="175">
        <f>IF(VLOOKUP(A233,'Aux - pivots1'!$A:$E,5,0)=0, "",VLOOKUP(A233,'Aux - pivots1'!$A:$E,5,0))</f>
        <v>45534</v>
      </c>
      <c r="M233" s="202"/>
    </row>
    <row r="234" spans="1:13" ht="16.2">
      <c r="A234" s="31" t="str">
        <f t="shared" si="5"/>
        <v>modesg_inp_emss_vclsscp1_ftr_emss</v>
      </c>
      <c r="B234" s="162" t="s">
        <v>28</v>
      </c>
      <c r="C234" s="157" t="s">
        <v>178</v>
      </c>
      <c r="D234" s="153" t="s">
        <v>40</v>
      </c>
      <c r="E234" s="154" t="s">
        <v>205</v>
      </c>
      <c r="F234" s="153" t="s">
        <v>225</v>
      </c>
      <c r="G234" s="155" t="str">
        <f>VLOOKUP(A234,Plano_V3!$A$27:$G$583,7,0)</f>
        <v>1. Concluído</v>
      </c>
      <c r="H234" s="155" t="s">
        <v>477</v>
      </c>
      <c r="I234" s="164"/>
      <c r="J234" s="175" t="str">
        <f>IF(VLOOKUP(A234,'Aux - pivots1'!$A:$E,3,0)=0, "",VLOOKUP(A234,'Aux - pivots1'!$A:$E,3,0))</f>
        <v/>
      </c>
      <c r="K234" s="175">
        <f>IF(VLOOKUP(A234,'Aux - pivots1'!$A:$E,4,0)=0, "",VLOOKUP(A234,'Aux - pivots1'!$A:$E,4,0))</f>
        <v>45534</v>
      </c>
      <c r="L234" s="175">
        <f>IF(VLOOKUP(A234,'Aux - pivots1'!$A:$E,5,0)=0, "",VLOOKUP(A234,'Aux - pivots1'!$A:$E,5,0))</f>
        <v>45534</v>
      </c>
      <c r="M234" s="202"/>
    </row>
    <row r="235" spans="1:13" ht="16.2">
      <c r="A235" s="31" t="str">
        <f t="shared" si="5"/>
        <v>modesg_inp_emss_vclsscp2_ftr_emss</v>
      </c>
      <c r="B235" s="162" t="s">
        <v>28</v>
      </c>
      <c r="C235" s="157" t="s">
        <v>178</v>
      </c>
      <c r="D235" s="153" t="s">
        <v>40</v>
      </c>
      <c r="E235" s="154" t="s">
        <v>205</v>
      </c>
      <c r="F235" s="153" t="s">
        <v>226</v>
      </c>
      <c r="G235" s="155" t="str">
        <f>VLOOKUP(A235,Plano_V3!$A$27:$G$583,7,0)</f>
        <v>1. Concluído</v>
      </c>
      <c r="H235" s="155" t="s">
        <v>477</v>
      </c>
      <c r="I235" s="164"/>
      <c r="J235" s="175" t="str">
        <f>IF(VLOOKUP(A235,'Aux - pivots1'!$A:$E,3,0)=0, "",VLOOKUP(A235,'Aux - pivots1'!$A:$E,3,0))</f>
        <v/>
      </c>
      <c r="K235" s="175">
        <f>IF(VLOOKUP(A235,'Aux - pivots1'!$A:$E,4,0)=0, "",VLOOKUP(A235,'Aux - pivots1'!$A:$E,4,0))</f>
        <v>45534</v>
      </c>
      <c r="L235" s="175">
        <f>IF(VLOOKUP(A235,'Aux - pivots1'!$A:$E,5,0)=0, "",VLOOKUP(A235,'Aux - pivots1'!$A:$E,5,0))</f>
        <v>45534</v>
      </c>
      <c r="M235" s="202"/>
    </row>
    <row r="236" spans="1:13" ht="16.2">
      <c r="A236" s="31" t="str">
        <f t="shared" si="5"/>
        <v>modesg_inp_emss_vclsscp3_ftr_emss</v>
      </c>
      <c r="B236" s="162" t="s">
        <v>28</v>
      </c>
      <c r="C236" s="157" t="s">
        <v>178</v>
      </c>
      <c r="D236" s="153" t="s">
        <v>40</v>
      </c>
      <c r="E236" s="154" t="s">
        <v>205</v>
      </c>
      <c r="F236" s="153" t="s">
        <v>227</v>
      </c>
      <c r="G236" s="155" t="str">
        <f>VLOOKUP(A236,Plano_V3!$A$27:$G$583,7,0)</f>
        <v>1. Concluído</v>
      </c>
      <c r="H236" s="155" t="s">
        <v>477</v>
      </c>
      <c r="I236" s="164"/>
      <c r="J236" s="175" t="str">
        <f>IF(VLOOKUP(A236,'Aux - pivots1'!$A:$E,3,0)=0, "",VLOOKUP(A236,'Aux - pivots1'!$A:$E,3,0))</f>
        <v/>
      </c>
      <c r="K236" s="175">
        <f>IF(VLOOKUP(A236,'Aux - pivots1'!$A:$E,4,0)=0, "",VLOOKUP(A236,'Aux - pivots1'!$A:$E,4,0))</f>
        <v>45534</v>
      </c>
      <c r="L236" s="175">
        <f>IF(VLOOKUP(A236,'Aux - pivots1'!$A:$E,5,0)=0, "",VLOOKUP(A236,'Aux - pivots1'!$A:$E,5,0))</f>
        <v>45534</v>
      </c>
      <c r="M236" s="202"/>
    </row>
    <row r="237" spans="1:13" ht="16.2">
      <c r="A237" s="31" t="str">
        <f t="shared" si="5"/>
        <v>modesg_inp_km_medios_emss_vclsref_date</v>
      </c>
      <c r="B237" s="162" t="s">
        <v>28</v>
      </c>
      <c r="C237" s="157" t="s">
        <v>178</v>
      </c>
      <c r="D237" s="153" t="s">
        <v>40</v>
      </c>
      <c r="E237" s="154" t="s">
        <v>206</v>
      </c>
      <c r="F237" s="153" t="s">
        <v>73</v>
      </c>
      <c r="G237" s="155" t="str">
        <f>VLOOKUP(A237,Plano_V3!$A$27:$G$583,7,0)</f>
        <v>1. Concluído</v>
      </c>
      <c r="H237" s="155" t="s">
        <v>477</v>
      </c>
      <c r="I237" s="164"/>
      <c r="J237" s="175" t="str">
        <f>IF(VLOOKUP(A237,'Aux - pivots1'!$A:$E,3,0)=0, "",VLOOKUP(A237,'Aux - pivots1'!$A:$E,3,0))</f>
        <v/>
      </c>
      <c r="K237" s="175">
        <f>IF(VLOOKUP(A237,'Aux - pivots1'!$A:$E,4,0)=0, "",VLOOKUP(A237,'Aux - pivots1'!$A:$E,4,0))</f>
        <v>45534</v>
      </c>
      <c r="L237" s="175">
        <f>IF(VLOOKUP(A237,'Aux - pivots1'!$A:$E,5,0)=0, "",VLOOKUP(A237,'Aux - pivots1'!$A:$E,5,0))</f>
        <v>45534</v>
      </c>
      <c r="M237" s="202"/>
    </row>
    <row r="238" spans="1:13" ht="16.2">
      <c r="A238" s="31" t="str">
        <f t="shared" si="5"/>
        <v>modesg_inp_km_medios_emss_vclsnome_pais</v>
      </c>
      <c r="B238" s="162" t="s">
        <v>28</v>
      </c>
      <c r="C238" s="157" t="s">
        <v>178</v>
      </c>
      <c r="D238" s="153" t="s">
        <v>40</v>
      </c>
      <c r="E238" s="154" t="s">
        <v>206</v>
      </c>
      <c r="F238" s="153" t="s">
        <v>214</v>
      </c>
      <c r="G238" s="155" t="str">
        <f>VLOOKUP(A238,Plano_V3!$A$27:$G$583,7,0)</f>
        <v>1. Concluído</v>
      </c>
      <c r="H238" s="155" t="s">
        <v>477</v>
      </c>
      <c r="I238" s="164"/>
      <c r="J238" s="175" t="str">
        <f>IF(VLOOKUP(A238,'Aux - pivots1'!$A:$E,3,0)=0, "",VLOOKUP(A238,'Aux - pivots1'!$A:$E,3,0))</f>
        <v/>
      </c>
      <c r="K238" s="175">
        <f>IF(VLOOKUP(A238,'Aux - pivots1'!$A:$E,4,0)=0, "",VLOOKUP(A238,'Aux - pivots1'!$A:$E,4,0))</f>
        <v>45534</v>
      </c>
      <c r="L238" s="175">
        <f>IF(VLOOKUP(A238,'Aux - pivots1'!$A:$E,5,0)=0, "",VLOOKUP(A238,'Aux - pivots1'!$A:$E,5,0))</f>
        <v>45534</v>
      </c>
      <c r="M238" s="202"/>
    </row>
    <row r="239" spans="1:13" ht="16.2">
      <c r="A239" s="31" t="str">
        <f t="shared" si="5"/>
        <v>modesg_inp_km_medios_emss_vclstipo_vcl</v>
      </c>
      <c r="B239" s="162" t="s">
        <v>28</v>
      </c>
      <c r="C239" s="157" t="s">
        <v>178</v>
      </c>
      <c r="D239" s="153" t="s">
        <v>40</v>
      </c>
      <c r="E239" s="154" t="s">
        <v>206</v>
      </c>
      <c r="F239" s="153" t="s">
        <v>228</v>
      </c>
      <c r="G239" s="155" t="str">
        <f>VLOOKUP(A239,Plano_V3!$A$27:$G$583,7,0)</f>
        <v>1. Concluído</v>
      </c>
      <c r="H239" s="155" t="s">
        <v>477</v>
      </c>
      <c r="I239" s="164"/>
      <c r="J239" s="175" t="str">
        <f>IF(VLOOKUP(A239,'Aux - pivots1'!$A:$E,3,0)=0, "",VLOOKUP(A239,'Aux - pivots1'!$A:$E,3,0))</f>
        <v/>
      </c>
      <c r="K239" s="175">
        <f>IF(VLOOKUP(A239,'Aux - pivots1'!$A:$E,4,0)=0, "",VLOOKUP(A239,'Aux - pivots1'!$A:$E,4,0))</f>
        <v>45534</v>
      </c>
      <c r="L239" s="175">
        <f>IF(VLOOKUP(A239,'Aux - pivots1'!$A:$E,5,0)=0, "",VLOOKUP(A239,'Aux - pivots1'!$A:$E,5,0))</f>
        <v>45534</v>
      </c>
      <c r="M239" s="202"/>
    </row>
    <row r="240" spans="1:13" ht="16.2">
      <c r="A240" s="31" t="str">
        <f t="shared" si="5"/>
        <v>modesg_inp_km_medios_emss_vclstipo_motor</v>
      </c>
      <c r="B240" s="162" t="s">
        <v>28</v>
      </c>
      <c r="C240" s="157" t="s">
        <v>178</v>
      </c>
      <c r="D240" s="153" t="s">
        <v>40</v>
      </c>
      <c r="E240" s="154" t="s">
        <v>206</v>
      </c>
      <c r="F240" s="153" t="s">
        <v>217</v>
      </c>
      <c r="G240" s="155" t="str">
        <f>VLOOKUP(A240,Plano_V3!$A$27:$G$583,7,0)</f>
        <v>1. Concluído</v>
      </c>
      <c r="H240" s="155" t="s">
        <v>477</v>
      </c>
      <c r="I240" s="164"/>
      <c r="J240" s="175" t="str">
        <f>IF(VLOOKUP(A240,'Aux - pivots1'!$A:$E,3,0)=0, "",VLOOKUP(A240,'Aux - pivots1'!$A:$E,3,0))</f>
        <v/>
      </c>
      <c r="K240" s="175">
        <f>IF(VLOOKUP(A240,'Aux - pivots1'!$A:$E,4,0)=0, "",VLOOKUP(A240,'Aux - pivots1'!$A:$E,4,0))</f>
        <v>45534</v>
      </c>
      <c r="L240" s="175">
        <f>IF(VLOOKUP(A240,'Aux - pivots1'!$A:$E,5,0)=0, "",VLOOKUP(A240,'Aux - pivots1'!$A:$E,5,0))</f>
        <v>45534</v>
      </c>
      <c r="M240" s="202"/>
    </row>
    <row r="241" spans="1:13" ht="16.2">
      <c r="A241" s="31" t="str">
        <f t="shared" si="5"/>
        <v>modesg_inp_km_medios_emss_vclssubgrupo</v>
      </c>
      <c r="B241" s="162" t="s">
        <v>28</v>
      </c>
      <c r="C241" s="157" t="s">
        <v>178</v>
      </c>
      <c r="D241" s="153" t="s">
        <v>40</v>
      </c>
      <c r="E241" s="154" t="s">
        <v>206</v>
      </c>
      <c r="F241" s="153" t="s">
        <v>1839</v>
      </c>
      <c r="G241" s="155" t="str">
        <f>VLOOKUP(A241,Plano_V3!$A$27:$G$583,7,0)</f>
        <v>1. Concluído</v>
      </c>
      <c r="H241" s="155" t="s">
        <v>477</v>
      </c>
      <c r="I241" s="165" t="s">
        <v>503</v>
      </c>
      <c r="J241" s="175" t="str">
        <f>IF(VLOOKUP(A241,'Aux - pivots1'!$A:$E,3,0)=0, "",VLOOKUP(A241,'Aux - pivots1'!$A:$E,3,0))</f>
        <v/>
      </c>
      <c r="K241" s="175">
        <f>IF(VLOOKUP(A241,'Aux - pivots1'!$A:$E,4,0)=0, "",VLOOKUP(A241,'Aux - pivots1'!$A:$E,4,0))</f>
        <v>45534</v>
      </c>
      <c r="L241" s="175">
        <f>IF(VLOOKUP(A241,'Aux - pivots1'!$A:$E,5,0)=0, "",VLOOKUP(A241,'Aux - pivots1'!$A:$E,5,0))</f>
        <v>45534</v>
      </c>
      <c r="M241" s="202"/>
    </row>
    <row r="242" spans="1:13" ht="16.2">
      <c r="A242" s="31" t="str">
        <f t="shared" si="5"/>
        <v>modesg_inp_km_medios_emss_vclsmedia_km</v>
      </c>
      <c r="B242" s="162" t="s">
        <v>28</v>
      </c>
      <c r="C242" s="157" t="s">
        <v>178</v>
      </c>
      <c r="D242" s="153" t="s">
        <v>40</v>
      </c>
      <c r="E242" s="154" t="s">
        <v>206</v>
      </c>
      <c r="F242" s="153" t="s">
        <v>229</v>
      </c>
      <c r="G242" s="155" t="str">
        <f>VLOOKUP(A242,Plano_V3!$A$27:$G$583,7,0)</f>
        <v>1. Concluído</v>
      </c>
      <c r="H242" s="155" t="s">
        <v>477</v>
      </c>
      <c r="I242" s="164"/>
      <c r="J242" s="175" t="str">
        <f>IF(VLOOKUP(A242,'Aux - pivots1'!$A:$E,3,0)=0, "",VLOOKUP(A242,'Aux - pivots1'!$A:$E,3,0))</f>
        <v/>
      </c>
      <c r="K242" s="175">
        <f>IF(VLOOKUP(A242,'Aux - pivots1'!$A:$E,4,0)=0, "",VLOOKUP(A242,'Aux - pivots1'!$A:$E,4,0))</f>
        <v>45534</v>
      </c>
      <c r="L242" s="175">
        <f>IF(VLOOKUP(A242,'Aux - pivots1'!$A:$E,5,0)=0, "",VLOOKUP(A242,'Aux - pivots1'!$A:$E,5,0))</f>
        <v>45534</v>
      </c>
      <c r="M242" s="202"/>
    </row>
    <row r="243" spans="1:13" ht="16.2">
      <c r="A243" s="31" t="str">
        <f t="shared" si="5"/>
        <v>modesg_inp_empr_excl_parisref_date</v>
      </c>
      <c r="B243" s="162" t="s">
        <v>28</v>
      </c>
      <c r="C243" s="157" t="s">
        <v>178</v>
      </c>
      <c r="D243" s="153" t="s">
        <v>40</v>
      </c>
      <c r="E243" s="154" t="s">
        <v>207</v>
      </c>
      <c r="F243" s="153" t="s">
        <v>73</v>
      </c>
      <c r="G243" s="155" t="str">
        <f>VLOOKUP(A243,Plano_V3!$A$27:$G$583,7,0)</f>
        <v>1. Concluído</v>
      </c>
      <c r="H243" s="155" t="s">
        <v>477</v>
      </c>
      <c r="I243" s="179"/>
      <c r="J243" s="175" t="str">
        <f>IF(VLOOKUP(A243,'Aux - pivots1'!$A:$E,3,0)=0, "",VLOOKUP(A243,'Aux - pivots1'!$A:$E,3,0))</f>
        <v/>
      </c>
      <c r="K243" s="175" t="str">
        <f>IF(VLOOKUP(A243,'Aux - pivots1'!$A:$E,4,0)=0, "",VLOOKUP(A243,'Aux - pivots1'!$A:$E,4,0))</f>
        <v/>
      </c>
      <c r="L243" s="175" t="str">
        <f>IF(VLOOKUP(A243,'Aux - pivots1'!$A:$E,5,0)=0, "",VLOOKUP(A243,'Aux - pivots1'!$A:$E,5,0))</f>
        <v/>
      </c>
      <c r="M243" s="202"/>
    </row>
    <row r="244" spans="1:13" ht="16.2">
      <c r="A244" s="31" t="str">
        <f t="shared" ref="A244:A273" si="6">E244&amp;F244</f>
        <v>modesg_inp_empr_excl_parisisin</v>
      </c>
      <c r="B244" s="162" t="s">
        <v>28</v>
      </c>
      <c r="C244" s="157" t="s">
        <v>178</v>
      </c>
      <c r="D244" s="153" t="s">
        <v>40</v>
      </c>
      <c r="E244" s="154" t="s">
        <v>207</v>
      </c>
      <c r="F244" s="153" t="s">
        <v>230</v>
      </c>
      <c r="G244" s="155" t="str">
        <f>VLOOKUP(A244,Plano_V3!$A$27:$G$583,7,0)</f>
        <v>1. Concluído</v>
      </c>
      <c r="H244" s="155" t="s">
        <v>477</v>
      </c>
      <c r="I244" s="179"/>
      <c r="J244" s="175" t="str">
        <f>IF(VLOOKUP(A244,'Aux - pivots1'!$A:$E,3,0)=0, "",VLOOKUP(A244,'Aux - pivots1'!$A:$E,3,0))</f>
        <v/>
      </c>
      <c r="K244" s="175" t="str">
        <f>IF(VLOOKUP(A244,'Aux - pivots1'!$A:$E,4,0)=0, "",VLOOKUP(A244,'Aux - pivots1'!$A:$E,4,0))</f>
        <v/>
      </c>
      <c r="L244" s="175" t="str">
        <f>IF(VLOOKUP(A244,'Aux - pivots1'!$A:$E,5,0)=0, "",VLOOKUP(A244,'Aux - pivots1'!$A:$E,5,0))</f>
        <v/>
      </c>
      <c r="M244" s="202"/>
    </row>
    <row r="245" spans="1:13" ht="16.2">
      <c r="A245" s="31" t="str">
        <f t="shared" si="6"/>
        <v>modesg_inp_empr_excl_parisclei</v>
      </c>
      <c r="B245" s="162" t="s">
        <v>28</v>
      </c>
      <c r="C245" s="157" t="s">
        <v>178</v>
      </c>
      <c r="D245" s="153" t="s">
        <v>40</v>
      </c>
      <c r="E245" s="154" t="s">
        <v>207</v>
      </c>
      <c r="F245" s="153" t="s">
        <v>231</v>
      </c>
      <c r="G245" s="155" t="str">
        <f>VLOOKUP(A245,Plano_V3!$A$27:$G$583,7,0)</f>
        <v>1. Concluído</v>
      </c>
      <c r="H245" s="155" t="s">
        <v>477</v>
      </c>
      <c r="I245" s="179"/>
      <c r="J245" s="175" t="str">
        <f>IF(VLOOKUP(A245,'Aux - pivots1'!$A:$E,3,0)=0, "",VLOOKUP(A245,'Aux - pivots1'!$A:$E,3,0))</f>
        <v/>
      </c>
      <c r="K245" s="175" t="str">
        <f>IF(VLOOKUP(A245,'Aux - pivots1'!$A:$E,4,0)=0, "",VLOOKUP(A245,'Aux - pivots1'!$A:$E,4,0))</f>
        <v/>
      </c>
      <c r="L245" s="175" t="str">
        <f>IF(VLOOKUP(A245,'Aux - pivots1'!$A:$E,5,0)=0, "",VLOOKUP(A245,'Aux - pivots1'!$A:$E,5,0))</f>
        <v/>
      </c>
      <c r="M245" s="202"/>
    </row>
    <row r="246" spans="1:13" ht="16.2">
      <c r="A246" s="31" t="str">
        <f t="shared" si="6"/>
        <v>modesg_inp_empr_excl_parisccli_kgl</v>
      </c>
      <c r="B246" s="162" t="s">
        <v>28</v>
      </c>
      <c r="C246" s="157" t="s">
        <v>178</v>
      </c>
      <c r="D246" s="153" t="s">
        <v>40</v>
      </c>
      <c r="E246" s="154" t="s">
        <v>207</v>
      </c>
      <c r="F246" s="153" t="s">
        <v>232</v>
      </c>
      <c r="G246" s="155" t="str">
        <f>VLOOKUP(A246,Plano_V3!$A$27:$G$583,7,0)</f>
        <v>1. Concluído</v>
      </c>
      <c r="H246" s="155" t="s">
        <v>477</v>
      </c>
      <c r="I246" s="179"/>
      <c r="J246" s="175" t="str">
        <f>IF(VLOOKUP(A246,'Aux - pivots1'!$A:$E,3,0)=0, "",VLOOKUP(A246,'Aux - pivots1'!$A:$E,3,0))</f>
        <v/>
      </c>
      <c r="K246" s="175" t="str">
        <f>IF(VLOOKUP(A246,'Aux - pivots1'!$A:$E,4,0)=0, "",VLOOKUP(A246,'Aux - pivots1'!$A:$E,4,0))</f>
        <v/>
      </c>
      <c r="L246" s="175" t="str">
        <f>IF(VLOOKUP(A246,'Aux - pivots1'!$A:$E,5,0)=0, "",VLOOKUP(A246,'Aux - pivots1'!$A:$E,5,0))</f>
        <v/>
      </c>
      <c r="M246" s="202"/>
    </row>
    <row r="247" spans="1:13" ht="16.2">
      <c r="A247" s="31" t="str">
        <f t="shared" si="6"/>
        <v>modesg_inp_empr_excl_parisnome_entidade</v>
      </c>
      <c r="B247" s="162" t="s">
        <v>28</v>
      </c>
      <c r="C247" s="157" t="s">
        <v>178</v>
      </c>
      <c r="D247" s="153" t="s">
        <v>40</v>
      </c>
      <c r="E247" s="154" t="s">
        <v>207</v>
      </c>
      <c r="F247" s="153" t="s">
        <v>233</v>
      </c>
      <c r="G247" s="155" t="str">
        <f>VLOOKUP(A247,Plano_V3!$A$27:$G$583,7,0)</f>
        <v>1. Concluído</v>
      </c>
      <c r="H247" s="155" t="s">
        <v>477</v>
      </c>
      <c r="I247" s="179"/>
      <c r="J247" s="175" t="str">
        <f>IF(VLOOKUP(A247,'Aux - pivots1'!$A:$E,3,0)=0, "",VLOOKUP(A247,'Aux - pivots1'!$A:$E,3,0))</f>
        <v/>
      </c>
      <c r="K247" s="175" t="str">
        <f>IF(VLOOKUP(A247,'Aux - pivots1'!$A:$E,4,0)=0, "",VLOOKUP(A247,'Aux - pivots1'!$A:$E,4,0))</f>
        <v/>
      </c>
      <c r="L247" s="175" t="str">
        <f>IF(VLOOKUP(A247,'Aux - pivots1'!$A:$E,5,0)=0, "",VLOOKUP(A247,'Aux - pivots1'!$A:$E,5,0))</f>
        <v/>
      </c>
      <c r="M247" s="202"/>
    </row>
    <row r="248" spans="1:13" ht="16.2">
      <c r="A248" s="31" t="str">
        <f t="shared" si="6"/>
        <v>modesg_inp_empr_excl_parisflg_scib</v>
      </c>
      <c r="B248" s="162" t="s">
        <v>28</v>
      </c>
      <c r="C248" s="157" t="s">
        <v>178</v>
      </c>
      <c r="D248" s="153" t="s">
        <v>40</v>
      </c>
      <c r="E248" s="154" t="s">
        <v>207</v>
      </c>
      <c r="F248" s="153" t="s">
        <v>234</v>
      </c>
      <c r="G248" s="155" t="str">
        <f>VLOOKUP(A248,Plano_V3!$A$27:$G$583,7,0)</f>
        <v>1. Concluído</v>
      </c>
      <c r="H248" s="155" t="s">
        <v>477</v>
      </c>
      <c r="I248" s="179"/>
      <c r="J248" s="175" t="str">
        <f>IF(VLOOKUP(A248,'Aux - pivots1'!$A:$E,3,0)=0, "",VLOOKUP(A248,'Aux - pivots1'!$A:$E,3,0))</f>
        <v/>
      </c>
      <c r="K248" s="175" t="str">
        <f>IF(VLOOKUP(A248,'Aux - pivots1'!$A:$E,4,0)=0, "",VLOOKUP(A248,'Aux - pivots1'!$A:$E,4,0))</f>
        <v/>
      </c>
      <c r="L248" s="175" t="str">
        <f>IF(VLOOKUP(A248,'Aux - pivots1'!$A:$E,5,0)=0, "",VLOOKUP(A248,'Aux - pivots1'!$A:$E,5,0))</f>
        <v/>
      </c>
      <c r="M248" s="202"/>
    </row>
    <row r="249" spans="1:13" ht="16.2">
      <c r="A249" s="31" t="str">
        <f t="shared" si="6"/>
        <v>modesg_inp_empr_excl_parisnome_pais</v>
      </c>
      <c r="B249" s="162" t="s">
        <v>28</v>
      </c>
      <c r="C249" s="157" t="s">
        <v>178</v>
      </c>
      <c r="D249" s="153" t="s">
        <v>40</v>
      </c>
      <c r="E249" s="154" t="s">
        <v>207</v>
      </c>
      <c r="F249" s="153" t="s">
        <v>214</v>
      </c>
      <c r="G249" s="155" t="str">
        <f>VLOOKUP(A249,Plano_V3!$A$27:$G$583,7,0)</f>
        <v>1. Concluído</v>
      </c>
      <c r="H249" s="155" t="s">
        <v>477</v>
      </c>
      <c r="I249" s="179"/>
      <c r="J249" s="175" t="str">
        <f>IF(VLOOKUP(A249,'Aux - pivots1'!$A:$E,3,0)=0, "",VLOOKUP(A249,'Aux - pivots1'!$A:$E,3,0))</f>
        <v/>
      </c>
      <c r="K249" s="175" t="str">
        <f>IF(VLOOKUP(A249,'Aux - pivots1'!$A:$E,4,0)=0, "",VLOOKUP(A249,'Aux - pivots1'!$A:$E,4,0))</f>
        <v/>
      </c>
      <c r="L249" s="175" t="str">
        <f>IF(VLOOKUP(A249,'Aux - pivots1'!$A:$E,5,0)=0, "",VLOOKUP(A249,'Aux - pivots1'!$A:$E,5,0))</f>
        <v/>
      </c>
      <c r="M249" s="202"/>
    </row>
    <row r="250" spans="1:13" ht="16.2">
      <c r="A250" s="31" t="str">
        <f t="shared" si="6"/>
        <v>modesg_inp_nfrd_alinhamento_taxref_date</v>
      </c>
      <c r="B250" s="162" t="s">
        <v>28</v>
      </c>
      <c r="C250" s="157" t="s">
        <v>178</v>
      </c>
      <c r="D250" s="153" t="s">
        <v>40</v>
      </c>
      <c r="E250" s="154" t="s">
        <v>208</v>
      </c>
      <c r="F250" s="153" t="s">
        <v>73</v>
      </c>
      <c r="G250" s="155" t="str">
        <f>VLOOKUP(A250,Plano_V3!$A$27:$G$583,7,0)</f>
        <v>1. Concluído</v>
      </c>
      <c r="H250" s="155" t="s">
        <v>477</v>
      </c>
      <c r="I250" s="164"/>
      <c r="J250" s="175" t="str">
        <f>IF(VLOOKUP(A250,'Aux - pivots1'!$A:$E,3,0)=0, "",VLOOKUP(A250,'Aux - pivots1'!$A:$E,3,0))</f>
        <v/>
      </c>
      <c r="K250" s="175">
        <f>IF(VLOOKUP(A250,'Aux - pivots1'!$A:$E,4,0)=0, "",VLOOKUP(A250,'Aux - pivots1'!$A:$E,4,0))</f>
        <v>45534</v>
      </c>
      <c r="L250" s="175">
        <f>IF(VLOOKUP(A250,'Aux - pivots1'!$A:$E,5,0)=0, "",VLOOKUP(A250,'Aux - pivots1'!$A:$E,5,0))</f>
        <v>45534</v>
      </c>
      <c r="M250" s="202"/>
    </row>
    <row r="251" spans="1:13" ht="16.2">
      <c r="A251" s="31" t="str">
        <f t="shared" si="6"/>
        <v>modesg_inp_nfrd_alinhamento_taxccli_kgl</v>
      </c>
      <c r="B251" s="162" t="s">
        <v>28</v>
      </c>
      <c r="C251" s="157" t="s">
        <v>178</v>
      </c>
      <c r="D251" s="153" t="s">
        <v>40</v>
      </c>
      <c r="E251" s="154" t="s">
        <v>208</v>
      </c>
      <c r="F251" s="153" t="s">
        <v>232</v>
      </c>
      <c r="G251" s="155" t="str">
        <f>VLOOKUP(A251,Plano_V3!$A$27:$G$583,7,0)</f>
        <v>1. Concluído</v>
      </c>
      <c r="H251" s="155" t="s">
        <v>477</v>
      </c>
      <c r="I251" s="164"/>
      <c r="J251" s="175" t="str">
        <f>IF(VLOOKUP(A251,'Aux - pivots1'!$A:$E,3,0)=0, "",VLOOKUP(A251,'Aux - pivots1'!$A:$E,3,0))</f>
        <v/>
      </c>
      <c r="K251" s="175">
        <f>IF(VLOOKUP(A251,'Aux - pivots1'!$A:$E,4,0)=0, "",VLOOKUP(A251,'Aux - pivots1'!$A:$E,4,0))</f>
        <v>45534</v>
      </c>
      <c r="L251" s="175">
        <f>IF(VLOOKUP(A251,'Aux - pivots1'!$A:$E,5,0)=0, "",VLOOKUP(A251,'Aux - pivots1'!$A:$E,5,0))</f>
        <v>45534</v>
      </c>
      <c r="M251" s="202"/>
    </row>
    <row r="252" spans="1:13" ht="16.2">
      <c r="A252" s="31" t="str">
        <f t="shared" si="6"/>
        <v>modesg_inp_nfrd_alinhamento_taxclei</v>
      </c>
      <c r="B252" s="162" t="s">
        <v>28</v>
      </c>
      <c r="C252" s="157" t="s">
        <v>178</v>
      </c>
      <c r="D252" s="153" t="s">
        <v>40</v>
      </c>
      <c r="E252" s="154" t="s">
        <v>208</v>
      </c>
      <c r="F252" s="153" t="s">
        <v>231</v>
      </c>
      <c r="G252" s="155" t="str">
        <f>VLOOKUP(A252,Plano_V3!$A$27:$G$583,7,0)</f>
        <v>1. Concluído</v>
      </c>
      <c r="H252" s="155" t="s">
        <v>477</v>
      </c>
      <c r="I252" s="164"/>
      <c r="J252" s="175" t="str">
        <f>IF(VLOOKUP(A252,'Aux - pivots1'!$A:$E,3,0)=0, "",VLOOKUP(A252,'Aux - pivots1'!$A:$E,3,0))</f>
        <v/>
      </c>
      <c r="K252" s="175">
        <f>IF(VLOOKUP(A252,'Aux - pivots1'!$A:$E,4,0)=0, "",VLOOKUP(A252,'Aux - pivots1'!$A:$E,4,0))</f>
        <v>45534</v>
      </c>
      <c r="L252" s="175">
        <f>IF(VLOOKUP(A252,'Aux - pivots1'!$A:$E,5,0)=0, "",VLOOKUP(A252,'Aux - pivots1'!$A:$E,5,0))</f>
        <v>45534</v>
      </c>
      <c r="M252" s="202"/>
    </row>
    <row r="253" spans="1:13" ht="16.2">
      <c r="A253" s="31" t="str">
        <f t="shared" si="6"/>
        <v>modesg_inp_nfrd_alinhamento_taxperm_id</v>
      </c>
      <c r="B253" s="162" t="s">
        <v>28</v>
      </c>
      <c r="C253" s="157" t="s">
        <v>178</v>
      </c>
      <c r="D253" s="153" t="s">
        <v>40</v>
      </c>
      <c r="E253" s="154" t="s">
        <v>208</v>
      </c>
      <c r="F253" s="153" t="s">
        <v>235</v>
      </c>
      <c r="G253" s="155" t="str">
        <f>VLOOKUP(A253,Plano_V3!$A$27:$G$583,7,0)</f>
        <v>1. Concluído</v>
      </c>
      <c r="H253" s="155" t="s">
        <v>477</v>
      </c>
      <c r="I253" s="164"/>
      <c r="J253" s="175" t="str">
        <f>IF(VLOOKUP(A253,'Aux - pivots1'!$A:$E,3,0)=0, "",VLOOKUP(A253,'Aux - pivots1'!$A:$E,3,0))</f>
        <v/>
      </c>
      <c r="K253" s="175">
        <f>IF(VLOOKUP(A253,'Aux - pivots1'!$A:$E,4,0)=0, "",VLOOKUP(A253,'Aux - pivots1'!$A:$E,4,0))</f>
        <v>45534</v>
      </c>
      <c r="L253" s="175">
        <f>IF(VLOOKUP(A253,'Aux - pivots1'!$A:$E,5,0)=0, "",VLOOKUP(A253,'Aux - pivots1'!$A:$E,5,0))</f>
        <v>45534</v>
      </c>
      <c r="M253" s="202"/>
    </row>
    <row r="254" spans="1:13" ht="16.2">
      <c r="A254" s="31" t="str">
        <f t="shared" si="6"/>
        <v>modesg_inp_nfrd_alinhamento_taxnome_entidade</v>
      </c>
      <c r="B254" s="162" t="s">
        <v>28</v>
      </c>
      <c r="C254" s="157" t="s">
        <v>178</v>
      </c>
      <c r="D254" s="153" t="s">
        <v>40</v>
      </c>
      <c r="E254" s="154" t="s">
        <v>208</v>
      </c>
      <c r="F254" s="153" t="s">
        <v>233</v>
      </c>
      <c r="G254" s="155" t="str">
        <f>VLOOKUP(A254,Plano_V3!$A$27:$G$583,7,0)</f>
        <v>1. Concluído</v>
      </c>
      <c r="H254" s="155" t="s">
        <v>477</v>
      </c>
      <c r="I254" s="164"/>
      <c r="J254" s="175" t="str">
        <f>IF(VLOOKUP(A254,'Aux - pivots1'!$A:$E,3,0)=0, "",VLOOKUP(A254,'Aux - pivots1'!$A:$E,3,0))</f>
        <v/>
      </c>
      <c r="K254" s="175">
        <f>IF(VLOOKUP(A254,'Aux - pivots1'!$A:$E,4,0)=0, "",VLOOKUP(A254,'Aux - pivots1'!$A:$E,4,0))</f>
        <v>45534</v>
      </c>
      <c r="L254" s="175">
        <f>IF(VLOOKUP(A254,'Aux - pivots1'!$A:$E,5,0)=0, "",VLOOKUP(A254,'Aux - pivots1'!$A:$E,5,0))</f>
        <v>45534</v>
      </c>
      <c r="M254" s="202"/>
    </row>
    <row r="255" spans="1:13" ht="16.2">
      <c r="A255" s="31" t="str">
        <f t="shared" si="6"/>
        <v>modesg_inp_nfrd_alinhamento_taxnome_pais</v>
      </c>
      <c r="B255" s="162" t="s">
        <v>28</v>
      </c>
      <c r="C255" s="157" t="s">
        <v>178</v>
      </c>
      <c r="D255" s="153" t="s">
        <v>40</v>
      </c>
      <c r="E255" s="154" t="s">
        <v>208</v>
      </c>
      <c r="F255" s="153" t="s">
        <v>214</v>
      </c>
      <c r="G255" s="155" t="str">
        <f>VLOOKUP(A255,Plano_V3!$A$27:$G$583,7,0)</f>
        <v>1. Concluído</v>
      </c>
      <c r="H255" s="155" t="s">
        <v>477</v>
      </c>
      <c r="I255" s="165" t="s">
        <v>503</v>
      </c>
      <c r="J255" s="175" t="str">
        <f>IF(VLOOKUP(A255,'Aux - pivots1'!$A:$E,3,0)=0, "",VLOOKUP(A255,'Aux - pivots1'!$A:$E,3,0))</f>
        <v/>
      </c>
      <c r="K255" s="175">
        <f>IF(VLOOKUP(A255,'Aux - pivots1'!$A:$E,4,0)=0, "",VLOOKUP(A255,'Aux - pivots1'!$A:$E,4,0))</f>
        <v>45534</v>
      </c>
      <c r="L255" s="175">
        <f>IF(VLOOKUP(A255,'Aux - pivots1'!$A:$E,5,0)=0, "",VLOOKUP(A255,'Aux - pivots1'!$A:$E,5,0))</f>
        <v>45534</v>
      </c>
      <c r="M255" s="202"/>
    </row>
    <row r="256" spans="1:13" ht="16.2">
      <c r="A256" s="31" t="str">
        <f t="shared" si="6"/>
        <v>modesg_inp_nfrd_alinhamento_taxflg_nfrd</v>
      </c>
      <c r="B256" s="162" t="s">
        <v>28</v>
      </c>
      <c r="C256" s="157" t="s">
        <v>178</v>
      </c>
      <c r="D256" s="153" t="s">
        <v>40</v>
      </c>
      <c r="E256" s="154" t="s">
        <v>208</v>
      </c>
      <c r="F256" s="153" t="s">
        <v>236</v>
      </c>
      <c r="G256" s="155" t="str">
        <f>VLOOKUP(A256,Plano_V3!$A$27:$G$583,7,0)</f>
        <v>1. Concluído</v>
      </c>
      <c r="H256" s="155" t="s">
        <v>477</v>
      </c>
      <c r="I256" s="164"/>
      <c r="J256" s="175" t="str">
        <f>IF(VLOOKUP(A256,'Aux - pivots1'!$A:$E,3,0)=0, "",VLOOKUP(A256,'Aux - pivots1'!$A:$E,3,0))</f>
        <v/>
      </c>
      <c r="K256" s="175">
        <f>IF(VLOOKUP(A256,'Aux - pivots1'!$A:$E,4,0)=0, "",VLOOKUP(A256,'Aux - pivots1'!$A:$E,4,0))</f>
        <v>45534</v>
      </c>
      <c r="L256" s="175">
        <f>IF(VLOOKUP(A256,'Aux - pivots1'!$A:$E,5,0)=0, "",VLOOKUP(A256,'Aux - pivots1'!$A:$E,5,0))</f>
        <v>45534</v>
      </c>
      <c r="M256" s="202"/>
    </row>
    <row r="257" spans="1:13" ht="16.2">
      <c r="A257" s="31" t="str">
        <f t="shared" si="6"/>
        <v>modesg_inp_nfrd_alinhamento_taxcca_trnvr_ttl_elgbl</v>
      </c>
      <c r="B257" s="162" t="s">
        <v>28</v>
      </c>
      <c r="C257" s="157" t="s">
        <v>178</v>
      </c>
      <c r="D257" s="153" t="s">
        <v>40</v>
      </c>
      <c r="E257" s="154" t="s">
        <v>208</v>
      </c>
      <c r="F257" s="153" t="s">
        <v>237</v>
      </c>
      <c r="G257" s="155" t="str">
        <f>VLOOKUP(A257,Plano_V3!$A$27:$G$583,7,0)</f>
        <v>1. Concluído</v>
      </c>
      <c r="H257" s="155" t="s">
        <v>477</v>
      </c>
      <c r="I257" s="164"/>
      <c r="J257" s="175" t="str">
        <f>IF(VLOOKUP(A257,'Aux - pivots1'!$A:$E,3,0)=0, "",VLOOKUP(A257,'Aux - pivots1'!$A:$E,3,0))</f>
        <v/>
      </c>
      <c r="K257" s="175">
        <f>IF(VLOOKUP(A257,'Aux - pivots1'!$A:$E,4,0)=0, "",VLOOKUP(A257,'Aux - pivots1'!$A:$E,4,0))</f>
        <v>45534</v>
      </c>
      <c r="L257" s="175">
        <f>IF(VLOOKUP(A257,'Aux - pivots1'!$A:$E,5,0)=0, "",VLOOKUP(A257,'Aux - pivots1'!$A:$E,5,0))</f>
        <v>45534</v>
      </c>
      <c r="M257" s="202"/>
    </row>
    <row r="258" spans="1:13" ht="16.2">
      <c r="A258" s="31" t="str">
        <f t="shared" si="6"/>
        <v>modesg_inp_nfrd_alinhamento_taxcca_trnvr_enblng_alignd</v>
      </c>
      <c r="B258" s="162" t="s">
        <v>28</v>
      </c>
      <c r="C258" s="157" t="s">
        <v>178</v>
      </c>
      <c r="D258" s="153" t="s">
        <v>40</v>
      </c>
      <c r="E258" s="154" t="s">
        <v>208</v>
      </c>
      <c r="F258" s="153" t="s">
        <v>238</v>
      </c>
      <c r="G258" s="155" t="str">
        <f>VLOOKUP(A258,Plano_V3!$A$27:$G$583,7,0)</f>
        <v>1. Concluído</v>
      </c>
      <c r="H258" s="155" t="s">
        <v>477</v>
      </c>
      <c r="I258" s="164"/>
      <c r="J258" s="175" t="str">
        <f>IF(VLOOKUP(A258,'Aux - pivots1'!$A:$E,3,0)=0, "",VLOOKUP(A258,'Aux - pivots1'!$A:$E,3,0))</f>
        <v/>
      </c>
      <c r="K258" s="175">
        <f>IF(VLOOKUP(A258,'Aux - pivots1'!$A:$E,4,0)=0, "",VLOOKUP(A258,'Aux - pivots1'!$A:$E,4,0))</f>
        <v>45534</v>
      </c>
      <c r="L258" s="175">
        <f>IF(VLOOKUP(A258,'Aux - pivots1'!$A:$E,5,0)=0, "",VLOOKUP(A258,'Aux - pivots1'!$A:$E,5,0))</f>
        <v>45534</v>
      </c>
      <c r="M258" s="202"/>
    </row>
    <row r="259" spans="1:13" ht="16.2">
      <c r="A259" s="31" t="str">
        <f t="shared" si="6"/>
        <v>modesg_inp_nfrd_alinhamento_taxcca_turnover_own_prfrmnce_algnd</v>
      </c>
      <c r="B259" s="162" t="s">
        <v>28</v>
      </c>
      <c r="C259" s="157" t="s">
        <v>178</v>
      </c>
      <c r="D259" s="153" t="s">
        <v>40</v>
      </c>
      <c r="E259" s="154" t="s">
        <v>208</v>
      </c>
      <c r="F259" s="153" t="s">
        <v>239</v>
      </c>
      <c r="G259" s="155" t="str">
        <f>VLOOKUP(A259,Plano_V3!$A$27:$G$583,7,0)</f>
        <v>1. Concluído</v>
      </c>
      <c r="H259" s="155" t="s">
        <v>477</v>
      </c>
      <c r="I259" s="164"/>
      <c r="J259" s="175" t="str">
        <f>IF(VLOOKUP(A259,'Aux - pivots1'!$A:$E,3,0)=0, "",VLOOKUP(A259,'Aux - pivots1'!$A:$E,3,0))</f>
        <v/>
      </c>
      <c r="K259" s="175">
        <f>IF(VLOOKUP(A259,'Aux - pivots1'!$A:$E,4,0)=0, "",VLOOKUP(A259,'Aux - pivots1'!$A:$E,4,0))</f>
        <v>45534</v>
      </c>
      <c r="L259" s="175">
        <f>IF(VLOOKUP(A259,'Aux - pivots1'!$A:$E,5,0)=0, "",VLOOKUP(A259,'Aux - pivots1'!$A:$E,5,0))</f>
        <v>45534</v>
      </c>
      <c r="M259" s="202"/>
    </row>
    <row r="260" spans="1:13" ht="16.2">
      <c r="A260" s="31" t="str">
        <f t="shared" si="6"/>
        <v>modesg_inp_nfrd_alinhamento_taxcca_capex_ttl_elgbl</v>
      </c>
      <c r="B260" s="162" t="s">
        <v>28</v>
      </c>
      <c r="C260" s="157" t="s">
        <v>178</v>
      </c>
      <c r="D260" s="153" t="s">
        <v>40</v>
      </c>
      <c r="E260" s="154" t="s">
        <v>208</v>
      </c>
      <c r="F260" s="153" t="s">
        <v>240</v>
      </c>
      <c r="G260" s="155" t="str">
        <f>VLOOKUP(A260,Plano_V3!$A$27:$G$583,7,0)</f>
        <v>1. Concluído</v>
      </c>
      <c r="H260" s="155" t="s">
        <v>477</v>
      </c>
      <c r="I260" s="164"/>
      <c r="J260" s="175" t="str">
        <f>IF(VLOOKUP(A260,'Aux - pivots1'!$A:$E,3,0)=0, "",VLOOKUP(A260,'Aux - pivots1'!$A:$E,3,0))</f>
        <v/>
      </c>
      <c r="K260" s="175">
        <f>IF(VLOOKUP(A260,'Aux - pivots1'!$A:$E,4,0)=0, "",VLOOKUP(A260,'Aux - pivots1'!$A:$E,4,0))</f>
        <v>45534</v>
      </c>
      <c r="L260" s="175">
        <f>IF(VLOOKUP(A260,'Aux - pivots1'!$A:$E,5,0)=0, "",VLOOKUP(A260,'Aux - pivots1'!$A:$E,5,0))</f>
        <v>45534</v>
      </c>
      <c r="M260" s="202"/>
    </row>
    <row r="261" spans="1:13" ht="16.2">
      <c r="A261" s="31" t="str">
        <f t="shared" si="6"/>
        <v>modesg_inp_nfrd_alinhamento_taxcca_capex_enblng_algnd</v>
      </c>
      <c r="B261" s="162" t="s">
        <v>28</v>
      </c>
      <c r="C261" s="157" t="s">
        <v>178</v>
      </c>
      <c r="D261" s="153" t="s">
        <v>40</v>
      </c>
      <c r="E261" s="154" t="s">
        <v>208</v>
      </c>
      <c r="F261" s="153" t="s">
        <v>241</v>
      </c>
      <c r="G261" s="155" t="str">
        <f>VLOOKUP(A261,Plano_V3!$A$27:$G$583,7,0)</f>
        <v>1. Concluído</v>
      </c>
      <c r="H261" s="155" t="s">
        <v>477</v>
      </c>
      <c r="I261" s="164"/>
      <c r="J261" s="175" t="str">
        <f>IF(VLOOKUP(A261,'Aux - pivots1'!$A:$E,3,0)=0, "",VLOOKUP(A261,'Aux - pivots1'!$A:$E,3,0))</f>
        <v/>
      </c>
      <c r="K261" s="175">
        <f>IF(VLOOKUP(A261,'Aux - pivots1'!$A:$E,4,0)=0, "",VLOOKUP(A261,'Aux - pivots1'!$A:$E,4,0))</f>
        <v>45534</v>
      </c>
      <c r="L261" s="175">
        <f>IF(VLOOKUP(A261,'Aux - pivots1'!$A:$E,5,0)=0, "",VLOOKUP(A261,'Aux - pivots1'!$A:$E,5,0))</f>
        <v>45534</v>
      </c>
      <c r="M261" s="202"/>
    </row>
    <row r="262" spans="1:13" ht="16.2">
      <c r="A262" s="31" t="str">
        <f t="shared" si="6"/>
        <v>modesg_inp_nfrd_alinhamento_taxcca_capex_own_prfrmnce_algnd</v>
      </c>
      <c r="B262" s="162" t="s">
        <v>28</v>
      </c>
      <c r="C262" s="157" t="s">
        <v>178</v>
      </c>
      <c r="D262" s="153" t="s">
        <v>40</v>
      </c>
      <c r="E262" s="154" t="s">
        <v>208</v>
      </c>
      <c r="F262" s="153" t="s">
        <v>242</v>
      </c>
      <c r="G262" s="155" t="str">
        <f>VLOOKUP(A262,Plano_V3!$A$27:$G$583,7,0)</f>
        <v>1. Concluído</v>
      </c>
      <c r="H262" s="155" t="s">
        <v>477</v>
      </c>
      <c r="I262" s="164"/>
      <c r="J262" s="175" t="str">
        <f>IF(VLOOKUP(A262,'Aux - pivots1'!$A:$E,3,0)=0, "",VLOOKUP(A262,'Aux - pivots1'!$A:$E,3,0))</f>
        <v/>
      </c>
      <c r="K262" s="175">
        <f>IF(VLOOKUP(A262,'Aux - pivots1'!$A:$E,4,0)=0, "",VLOOKUP(A262,'Aux - pivots1'!$A:$E,4,0))</f>
        <v>45534</v>
      </c>
      <c r="L262" s="175">
        <f>IF(VLOOKUP(A262,'Aux - pivots1'!$A:$E,5,0)=0, "",VLOOKUP(A262,'Aux - pivots1'!$A:$E,5,0))</f>
        <v>45534</v>
      </c>
      <c r="M262" s="202"/>
    </row>
    <row r="263" spans="1:13" ht="16.2">
      <c r="A263" s="31" t="str">
        <f t="shared" si="6"/>
        <v>modesg_inp_nfrd_alinhamento_taxccm_trnvr_ttl_elgbl</v>
      </c>
      <c r="B263" s="162" t="s">
        <v>28</v>
      </c>
      <c r="C263" s="157" t="s">
        <v>178</v>
      </c>
      <c r="D263" s="153" t="s">
        <v>40</v>
      </c>
      <c r="E263" s="154" t="s">
        <v>208</v>
      </c>
      <c r="F263" s="153" t="s">
        <v>243</v>
      </c>
      <c r="G263" s="155" t="str">
        <f>VLOOKUP(A263,Plano_V3!$A$27:$G$583,7,0)</f>
        <v>1. Concluído</v>
      </c>
      <c r="H263" s="155" t="s">
        <v>477</v>
      </c>
      <c r="I263" s="164"/>
      <c r="J263" s="175" t="str">
        <f>IF(VLOOKUP(A263,'Aux - pivots1'!$A:$E,3,0)=0, "",VLOOKUP(A263,'Aux - pivots1'!$A:$E,3,0))</f>
        <v/>
      </c>
      <c r="K263" s="175">
        <f>IF(VLOOKUP(A263,'Aux - pivots1'!$A:$E,4,0)=0, "",VLOOKUP(A263,'Aux - pivots1'!$A:$E,4,0))</f>
        <v>45534</v>
      </c>
      <c r="L263" s="175">
        <f>IF(VLOOKUP(A263,'Aux - pivots1'!$A:$E,5,0)=0, "",VLOOKUP(A263,'Aux - pivots1'!$A:$E,5,0))</f>
        <v>45534</v>
      </c>
      <c r="M263" s="202"/>
    </row>
    <row r="264" spans="1:13" ht="16.2">
      <c r="A264" s="31" t="str">
        <f t="shared" si="6"/>
        <v>modesg_inp_nfrd_alinhamento_taxccm_trnvr_enblng_algnd</v>
      </c>
      <c r="B264" s="162" t="s">
        <v>28</v>
      </c>
      <c r="C264" s="157" t="s">
        <v>178</v>
      </c>
      <c r="D264" s="153" t="s">
        <v>40</v>
      </c>
      <c r="E264" s="154" t="s">
        <v>208</v>
      </c>
      <c r="F264" s="153" t="s">
        <v>244</v>
      </c>
      <c r="G264" s="155" t="str">
        <f>VLOOKUP(A264,Plano_V3!$A$27:$G$583,7,0)</f>
        <v>1. Concluído</v>
      </c>
      <c r="H264" s="155" t="s">
        <v>477</v>
      </c>
      <c r="I264" s="164"/>
      <c r="J264" s="175" t="str">
        <f>IF(VLOOKUP(A264,'Aux - pivots1'!$A:$E,3,0)=0, "",VLOOKUP(A264,'Aux - pivots1'!$A:$E,3,0))</f>
        <v/>
      </c>
      <c r="K264" s="175">
        <f>IF(VLOOKUP(A264,'Aux - pivots1'!$A:$E,4,0)=0, "",VLOOKUP(A264,'Aux - pivots1'!$A:$E,4,0))</f>
        <v>45534</v>
      </c>
      <c r="L264" s="175">
        <f>IF(VLOOKUP(A264,'Aux - pivots1'!$A:$E,5,0)=0, "",VLOOKUP(A264,'Aux - pivots1'!$A:$E,5,0))</f>
        <v>45534</v>
      </c>
      <c r="M264" s="202"/>
    </row>
    <row r="265" spans="1:13" ht="16.2">
      <c r="A265" s="31" t="str">
        <f t="shared" si="6"/>
        <v>modesg_inp_nfrd_alinhamento_taxccm_trnvr_trnstn_alignd</v>
      </c>
      <c r="B265" s="162" t="s">
        <v>28</v>
      </c>
      <c r="C265" s="157" t="s">
        <v>178</v>
      </c>
      <c r="D265" s="153" t="s">
        <v>40</v>
      </c>
      <c r="E265" s="154" t="s">
        <v>208</v>
      </c>
      <c r="F265" s="153" t="s">
        <v>245</v>
      </c>
      <c r="G265" s="155" t="str">
        <f>VLOOKUP(A265,Plano_V3!$A$27:$G$583,7,0)</f>
        <v>1. Concluído</v>
      </c>
      <c r="H265" s="155" t="s">
        <v>477</v>
      </c>
      <c r="I265" s="164"/>
      <c r="J265" s="175" t="str">
        <f>IF(VLOOKUP(A265,'Aux - pivots1'!$A:$E,3,0)=0, "",VLOOKUP(A265,'Aux - pivots1'!$A:$E,3,0))</f>
        <v/>
      </c>
      <c r="K265" s="175">
        <f>IF(VLOOKUP(A265,'Aux - pivots1'!$A:$E,4,0)=0, "",VLOOKUP(A265,'Aux - pivots1'!$A:$E,4,0))</f>
        <v>45534</v>
      </c>
      <c r="L265" s="175">
        <f>IF(VLOOKUP(A265,'Aux - pivots1'!$A:$E,5,0)=0, "",VLOOKUP(A265,'Aux - pivots1'!$A:$E,5,0))</f>
        <v>45534</v>
      </c>
      <c r="M265" s="202"/>
    </row>
    <row r="266" spans="1:13" ht="16.2">
      <c r="A266" s="31" t="str">
        <f t="shared" si="6"/>
        <v>modesg_inp_nfrd_alinhamento_taxccm_trnvr_own_prfrmnce_algnd</v>
      </c>
      <c r="B266" s="162" t="s">
        <v>28</v>
      </c>
      <c r="C266" s="157" t="s">
        <v>178</v>
      </c>
      <c r="D266" s="153" t="s">
        <v>40</v>
      </c>
      <c r="E266" s="154" t="s">
        <v>208</v>
      </c>
      <c r="F266" s="153" t="s">
        <v>246</v>
      </c>
      <c r="G266" s="155" t="str">
        <f>VLOOKUP(A266,Plano_V3!$A$27:$G$583,7,0)</f>
        <v>1. Concluído</v>
      </c>
      <c r="H266" s="155" t="s">
        <v>477</v>
      </c>
      <c r="I266" s="164"/>
      <c r="J266" s="175" t="str">
        <f>IF(VLOOKUP(A266,'Aux - pivots1'!$A:$E,3,0)=0, "",VLOOKUP(A266,'Aux - pivots1'!$A:$E,3,0))</f>
        <v/>
      </c>
      <c r="K266" s="175">
        <f>IF(VLOOKUP(A266,'Aux - pivots1'!$A:$E,4,0)=0, "",VLOOKUP(A266,'Aux - pivots1'!$A:$E,4,0))</f>
        <v>45534</v>
      </c>
      <c r="L266" s="175">
        <f>IF(VLOOKUP(A266,'Aux - pivots1'!$A:$E,5,0)=0, "",VLOOKUP(A266,'Aux - pivots1'!$A:$E,5,0))</f>
        <v>45534</v>
      </c>
      <c r="M266" s="202"/>
    </row>
    <row r="267" spans="1:13" ht="16.2">
      <c r="A267" s="31" t="str">
        <f t="shared" si="6"/>
        <v>modesg_inp_nfrd_alinhamento_taxccm_capex_ttl_elgbl</v>
      </c>
      <c r="B267" s="162" t="s">
        <v>28</v>
      </c>
      <c r="C267" s="157" t="s">
        <v>178</v>
      </c>
      <c r="D267" s="153" t="s">
        <v>40</v>
      </c>
      <c r="E267" s="154" t="s">
        <v>208</v>
      </c>
      <c r="F267" s="153" t="s">
        <v>247</v>
      </c>
      <c r="G267" s="155" t="str">
        <f>VLOOKUP(A267,Plano_V3!$A$27:$G$583,7,0)</f>
        <v>1. Concluído</v>
      </c>
      <c r="H267" s="155" t="s">
        <v>477</v>
      </c>
      <c r="I267" s="164"/>
      <c r="J267" s="175" t="str">
        <f>IF(VLOOKUP(A267,'Aux - pivots1'!$A:$E,3,0)=0, "",VLOOKUP(A267,'Aux - pivots1'!$A:$E,3,0))</f>
        <v/>
      </c>
      <c r="K267" s="175">
        <f>IF(VLOOKUP(A267,'Aux - pivots1'!$A:$E,4,0)=0, "",VLOOKUP(A267,'Aux - pivots1'!$A:$E,4,0))</f>
        <v>45534</v>
      </c>
      <c r="L267" s="175">
        <f>IF(VLOOKUP(A267,'Aux - pivots1'!$A:$E,5,0)=0, "",VLOOKUP(A267,'Aux - pivots1'!$A:$E,5,0))</f>
        <v>45534</v>
      </c>
      <c r="M267" s="202"/>
    </row>
    <row r="268" spans="1:13" ht="16.2">
      <c r="A268" s="31" t="str">
        <f t="shared" si="6"/>
        <v>modesg_inp_nfrd_alinhamento_taxccm_capex_enblng_algnd</v>
      </c>
      <c r="B268" s="162" t="s">
        <v>28</v>
      </c>
      <c r="C268" s="157" t="s">
        <v>178</v>
      </c>
      <c r="D268" s="153" t="s">
        <v>40</v>
      </c>
      <c r="E268" s="154" t="s">
        <v>208</v>
      </c>
      <c r="F268" s="153" t="s">
        <v>248</v>
      </c>
      <c r="G268" s="155" t="str">
        <f>VLOOKUP(A268,Plano_V3!$A$27:$G$583,7,0)</f>
        <v>1. Concluído</v>
      </c>
      <c r="H268" s="155" t="s">
        <v>477</v>
      </c>
      <c r="I268" s="164"/>
      <c r="J268" s="175" t="str">
        <f>IF(VLOOKUP(A268,'Aux - pivots1'!$A:$E,3,0)=0, "",VLOOKUP(A268,'Aux - pivots1'!$A:$E,3,0))</f>
        <v/>
      </c>
      <c r="K268" s="175">
        <f>IF(VLOOKUP(A268,'Aux - pivots1'!$A:$E,4,0)=0, "",VLOOKUP(A268,'Aux - pivots1'!$A:$E,4,0))</f>
        <v>45534</v>
      </c>
      <c r="L268" s="175">
        <f>IF(VLOOKUP(A268,'Aux - pivots1'!$A:$E,5,0)=0, "",VLOOKUP(A268,'Aux - pivots1'!$A:$E,5,0))</f>
        <v>45534</v>
      </c>
      <c r="M268" s="202"/>
    </row>
    <row r="269" spans="1:13" ht="16.2">
      <c r="A269" s="31" t="str">
        <f t="shared" si="6"/>
        <v>modesg_inp_nfrd_alinhamento_taxccm_capex_trnstn_algnd</v>
      </c>
      <c r="B269" s="162" t="s">
        <v>28</v>
      </c>
      <c r="C269" s="157" t="s">
        <v>178</v>
      </c>
      <c r="D269" s="153" t="s">
        <v>40</v>
      </c>
      <c r="E269" s="154" t="s">
        <v>208</v>
      </c>
      <c r="F269" s="153" t="s">
        <v>249</v>
      </c>
      <c r="G269" s="155" t="str">
        <f>VLOOKUP(A269,Plano_V3!$A$27:$G$583,7,0)</f>
        <v>1. Concluído</v>
      </c>
      <c r="H269" s="155" t="s">
        <v>477</v>
      </c>
      <c r="I269" s="164"/>
      <c r="J269" s="175" t="str">
        <f>IF(VLOOKUP(A269,'Aux - pivots1'!$A:$E,3,0)=0, "",VLOOKUP(A269,'Aux - pivots1'!$A:$E,3,0))</f>
        <v/>
      </c>
      <c r="K269" s="175">
        <f>IF(VLOOKUP(A269,'Aux - pivots1'!$A:$E,4,0)=0, "",VLOOKUP(A269,'Aux - pivots1'!$A:$E,4,0))</f>
        <v>45534</v>
      </c>
      <c r="L269" s="175">
        <f>IF(VLOOKUP(A269,'Aux - pivots1'!$A:$E,5,0)=0, "",VLOOKUP(A269,'Aux - pivots1'!$A:$E,5,0))</f>
        <v>45534</v>
      </c>
      <c r="M269" s="202"/>
    </row>
    <row r="270" spans="1:13" ht="16.2">
      <c r="A270" s="31" t="str">
        <f t="shared" si="6"/>
        <v>modesg_inp_nfrd_alinhamento_taxccm_capex_own_prfrmnce_algnd</v>
      </c>
      <c r="B270" s="162" t="s">
        <v>28</v>
      </c>
      <c r="C270" s="157" t="s">
        <v>178</v>
      </c>
      <c r="D270" s="153" t="s">
        <v>40</v>
      </c>
      <c r="E270" s="154" t="s">
        <v>208</v>
      </c>
      <c r="F270" s="153" t="s">
        <v>250</v>
      </c>
      <c r="G270" s="155" t="str">
        <f>VLOOKUP(A270,Plano_V3!$A$27:$G$583,7,0)</f>
        <v>1. Concluído</v>
      </c>
      <c r="H270" s="155" t="s">
        <v>477</v>
      </c>
      <c r="I270" s="164"/>
      <c r="J270" s="175" t="str">
        <f>IF(VLOOKUP(A270,'Aux - pivots1'!$A:$E,3,0)=0, "",VLOOKUP(A270,'Aux - pivots1'!$A:$E,3,0))</f>
        <v/>
      </c>
      <c r="K270" s="175">
        <f>IF(VLOOKUP(A270,'Aux - pivots1'!$A:$E,4,0)=0, "",VLOOKUP(A270,'Aux - pivots1'!$A:$E,4,0))</f>
        <v>45534</v>
      </c>
      <c r="L270" s="175">
        <f>IF(VLOOKUP(A270,'Aux - pivots1'!$A:$E,5,0)=0, "",VLOOKUP(A270,'Aux - pivots1'!$A:$E,5,0))</f>
        <v>45534</v>
      </c>
      <c r="M270" s="202"/>
    </row>
    <row r="271" spans="1:13" ht="16.2">
      <c r="A271" s="31" t="str">
        <f t="shared" si="6"/>
        <v>modesg_inp_nfrd_alinhamento_taxppc_trnvr_ttl_elgbl</v>
      </c>
      <c r="B271" s="162" t="s">
        <v>28</v>
      </c>
      <c r="C271" s="157" t="s">
        <v>178</v>
      </c>
      <c r="D271" s="153" t="s">
        <v>40</v>
      </c>
      <c r="E271" s="154" t="s">
        <v>208</v>
      </c>
      <c r="F271" s="153" t="s">
        <v>251</v>
      </c>
      <c r="G271" s="155" t="str">
        <f>VLOOKUP(A271,Plano_V3!$A$27:$G$583,7,0)</f>
        <v>1. Concluído</v>
      </c>
      <c r="H271" s="155" t="s">
        <v>477</v>
      </c>
      <c r="I271" s="165" t="s">
        <v>503</v>
      </c>
      <c r="J271" s="175" t="str">
        <f>IF(VLOOKUP(A271,'Aux - pivots1'!$A:$E,3,0)=0, "",VLOOKUP(A271,'Aux - pivots1'!$A:$E,3,0))</f>
        <v/>
      </c>
      <c r="K271" s="175">
        <f>IF(VLOOKUP(A271,'Aux - pivots1'!$A:$E,4,0)=0, "",VLOOKUP(A271,'Aux - pivots1'!$A:$E,4,0))</f>
        <v>45534</v>
      </c>
      <c r="L271" s="175">
        <f>IF(VLOOKUP(A271,'Aux - pivots1'!$A:$E,5,0)=0, "",VLOOKUP(A271,'Aux - pivots1'!$A:$E,5,0))</f>
        <v>45534</v>
      </c>
      <c r="M271" s="202"/>
    </row>
    <row r="272" spans="1:13" ht="16.2">
      <c r="A272" s="31" t="str">
        <f t="shared" si="6"/>
        <v>modesg_inp_nfrd_alinhamento_taxppc_turnover_own_prfrmnce_algnd</v>
      </c>
      <c r="B272" s="162" t="s">
        <v>28</v>
      </c>
      <c r="C272" s="157" t="s">
        <v>178</v>
      </c>
      <c r="D272" s="153" t="s">
        <v>40</v>
      </c>
      <c r="E272" s="154" t="s">
        <v>208</v>
      </c>
      <c r="F272" s="153" t="s">
        <v>252</v>
      </c>
      <c r="G272" s="155" t="str">
        <f>VLOOKUP(A272,Plano_V3!$A$27:$G$583,7,0)</f>
        <v>1. Concluído</v>
      </c>
      <c r="H272" s="155" t="s">
        <v>477</v>
      </c>
      <c r="I272" s="165" t="s">
        <v>503</v>
      </c>
      <c r="J272" s="175" t="str">
        <f>IF(VLOOKUP(A272,'Aux - pivots1'!$A:$E,3,0)=0, "",VLOOKUP(A272,'Aux - pivots1'!$A:$E,3,0))</f>
        <v/>
      </c>
      <c r="K272" s="175">
        <f>IF(VLOOKUP(A272,'Aux - pivots1'!$A:$E,4,0)=0, "",VLOOKUP(A272,'Aux - pivots1'!$A:$E,4,0))</f>
        <v>45534</v>
      </c>
      <c r="L272" s="175">
        <f>IF(VLOOKUP(A272,'Aux - pivots1'!$A:$E,5,0)=0, "",VLOOKUP(A272,'Aux - pivots1'!$A:$E,5,0))</f>
        <v>45534</v>
      </c>
      <c r="M272" s="202"/>
    </row>
    <row r="273" spans="1:13" ht="16.2">
      <c r="A273" s="31" t="str">
        <f t="shared" si="6"/>
        <v>modesg_inp_nfrd_alinhamento_taxppc_capex_ttl_elgbl</v>
      </c>
      <c r="B273" s="162" t="s">
        <v>28</v>
      </c>
      <c r="C273" s="157" t="s">
        <v>178</v>
      </c>
      <c r="D273" s="153" t="s">
        <v>40</v>
      </c>
      <c r="E273" s="154" t="s">
        <v>208</v>
      </c>
      <c r="F273" s="153" t="s">
        <v>253</v>
      </c>
      <c r="G273" s="155" t="str">
        <f>VLOOKUP(A273,Plano_V3!$A$27:$G$583,7,0)</f>
        <v>1. Concluído</v>
      </c>
      <c r="H273" s="155" t="s">
        <v>477</v>
      </c>
      <c r="I273" s="165" t="s">
        <v>503</v>
      </c>
      <c r="J273" s="175" t="str">
        <f>IF(VLOOKUP(A273,'Aux - pivots1'!$A:$E,3,0)=0, "",VLOOKUP(A273,'Aux - pivots1'!$A:$E,3,0))</f>
        <v/>
      </c>
      <c r="K273" s="175">
        <f>IF(VLOOKUP(A273,'Aux - pivots1'!$A:$E,4,0)=0, "",VLOOKUP(A273,'Aux - pivots1'!$A:$E,4,0))</f>
        <v>45534</v>
      </c>
      <c r="L273" s="175">
        <f>IF(VLOOKUP(A273,'Aux - pivots1'!$A:$E,5,0)=0, "",VLOOKUP(A273,'Aux - pivots1'!$A:$E,5,0))</f>
        <v>45534</v>
      </c>
      <c r="M273" s="202"/>
    </row>
    <row r="274" spans="1:13" ht="16.2">
      <c r="A274" s="31" t="str">
        <f t="shared" ref="A274:A337" si="7">E274&amp;F274</f>
        <v>modesg_inp_nfrd_alinhamento_taxppc_capex_own_prfrmnce_algnd</v>
      </c>
      <c r="B274" s="162" t="s">
        <v>28</v>
      </c>
      <c r="C274" s="157" t="s">
        <v>178</v>
      </c>
      <c r="D274" s="153" t="s">
        <v>40</v>
      </c>
      <c r="E274" s="154" t="s">
        <v>208</v>
      </c>
      <c r="F274" s="153" t="s">
        <v>254</v>
      </c>
      <c r="G274" s="155" t="str">
        <f>VLOOKUP(A274,Plano_V3!$A$27:$G$583,7,0)</f>
        <v>1. Concluído</v>
      </c>
      <c r="H274" s="155" t="s">
        <v>477</v>
      </c>
      <c r="I274" s="165" t="s">
        <v>503</v>
      </c>
      <c r="J274" s="175" t="str">
        <f>IF(VLOOKUP(A274,'Aux - pivots1'!$A:$E,3,0)=0, "",VLOOKUP(A274,'Aux - pivots1'!$A:$E,3,0))</f>
        <v/>
      </c>
      <c r="K274" s="175">
        <f>IF(VLOOKUP(A274,'Aux - pivots1'!$A:$E,4,0)=0, "",VLOOKUP(A274,'Aux - pivots1'!$A:$E,4,0))</f>
        <v>45534</v>
      </c>
      <c r="L274" s="175">
        <f>IF(VLOOKUP(A274,'Aux - pivots1'!$A:$E,5,0)=0, "",VLOOKUP(A274,'Aux - pivots1'!$A:$E,5,0))</f>
        <v>45534</v>
      </c>
      <c r="M274" s="202"/>
    </row>
    <row r="275" spans="1:13" ht="16.2">
      <c r="A275" s="31" t="str">
        <f t="shared" si="7"/>
        <v>modesg_inp_nfrd_alinhamento_taxbio_trnvr_ttl_elgbl</v>
      </c>
      <c r="B275" s="162" t="s">
        <v>28</v>
      </c>
      <c r="C275" s="157" t="s">
        <v>178</v>
      </c>
      <c r="D275" s="153" t="s">
        <v>40</v>
      </c>
      <c r="E275" s="154" t="s">
        <v>208</v>
      </c>
      <c r="F275" s="153" t="s">
        <v>255</v>
      </c>
      <c r="G275" s="155" t="str">
        <f>VLOOKUP(A275,Plano_V3!$A$27:$G$583,7,0)</f>
        <v>1. Concluído</v>
      </c>
      <c r="H275" s="155" t="s">
        <v>477</v>
      </c>
      <c r="I275" s="165" t="s">
        <v>503</v>
      </c>
      <c r="J275" s="175" t="str">
        <f>IF(VLOOKUP(A275,'Aux - pivots1'!$A:$E,3,0)=0, "",VLOOKUP(A275,'Aux - pivots1'!$A:$E,3,0))</f>
        <v/>
      </c>
      <c r="K275" s="175">
        <f>IF(VLOOKUP(A275,'Aux - pivots1'!$A:$E,4,0)=0, "",VLOOKUP(A275,'Aux - pivots1'!$A:$E,4,0))</f>
        <v>45534</v>
      </c>
      <c r="L275" s="175">
        <f>IF(VLOOKUP(A275,'Aux - pivots1'!$A:$E,5,0)=0, "",VLOOKUP(A275,'Aux - pivots1'!$A:$E,5,0))</f>
        <v>45534</v>
      </c>
      <c r="M275" s="202"/>
    </row>
    <row r="276" spans="1:13" ht="16.2">
      <c r="A276" s="31" t="str">
        <f t="shared" si="7"/>
        <v>modesg_inp_nfrd_alinhamento_taxbio_turnover_own_prfrmnce_algnd</v>
      </c>
      <c r="B276" s="162" t="s">
        <v>28</v>
      </c>
      <c r="C276" s="157" t="s">
        <v>178</v>
      </c>
      <c r="D276" s="153" t="s">
        <v>40</v>
      </c>
      <c r="E276" s="154" t="s">
        <v>208</v>
      </c>
      <c r="F276" s="153" t="s">
        <v>256</v>
      </c>
      <c r="G276" s="155" t="str">
        <f>VLOOKUP(A276,Plano_V3!$A$27:$G$583,7,0)</f>
        <v>1. Concluído</v>
      </c>
      <c r="H276" s="155" t="s">
        <v>477</v>
      </c>
      <c r="I276" s="165" t="s">
        <v>503</v>
      </c>
      <c r="J276" s="175" t="str">
        <f>IF(VLOOKUP(A276,'Aux - pivots1'!$A:$E,3,0)=0, "",VLOOKUP(A276,'Aux - pivots1'!$A:$E,3,0))</f>
        <v/>
      </c>
      <c r="K276" s="175">
        <f>IF(VLOOKUP(A276,'Aux - pivots1'!$A:$E,4,0)=0, "",VLOOKUP(A276,'Aux - pivots1'!$A:$E,4,0))</f>
        <v>45534</v>
      </c>
      <c r="L276" s="175">
        <f>IF(VLOOKUP(A276,'Aux - pivots1'!$A:$E,5,0)=0, "",VLOOKUP(A276,'Aux - pivots1'!$A:$E,5,0))</f>
        <v>45534</v>
      </c>
      <c r="M276" s="202"/>
    </row>
    <row r="277" spans="1:13" ht="16.2">
      <c r="A277" s="31" t="str">
        <f t="shared" si="7"/>
        <v>modesg_inp_nfrd_alinhamento_taxbio_capex_ttl_elgbl</v>
      </c>
      <c r="B277" s="162" t="s">
        <v>28</v>
      </c>
      <c r="C277" s="157" t="s">
        <v>178</v>
      </c>
      <c r="D277" s="153" t="s">
        <v>40</v>
      </c>
      <c r="E277" s="154" t="s">
        <v>208</v>
      </c>
      <c r="F277" s="153" t="s">
        <v>257</v>
      </c>
      <c r="G277" s="155" t="str">
        <f>VLOOKUP(A277,Plano_V3!$A$27:$G$583,7,0)</f>
        <v>1. Concluído</v>
      </c>
      <c r="H277" s="155" t="s">
        <v>477</v>
      </c>
      <c r="I277" s="165" t="s">
        <v>503</v>
      </c>
      <c r="J277" s="175" t="str">
        <f>IF(VLOOKUP(A277,'Aux - pivots1'!$A:$E,3,0)=0, "",VLOOKUP(A277,'Aux - pivots1'!$A:$E,3,0))</f>
        <v/>
      </c>
      <c r="K277" s="175">
        <f>IF(VLOOKUP(A277,'Aux - pivots1'!$A:$E,4,0)=0, "",VLOOKUP(A277,'Aux - pivots1'!$A:$E,4,0))</f>
        <v>45534</v>
      </c>
      <c r="L277" s="175">
        <f>IF(VLOOKUP(A277,'Aux - pivots1'!$A:$E,5,0)=0, "",VLOOKUP(A277,'Aux - pivots1'!$A:$E,5,0))</f>
        <v>45534</v>
      </c>
      <c r="M277" s="202"/>
    </row>
    <row r="278" spans="1:13" ht="16.2">
      <c r="A278" s="31" t="str">
        <f t="shared" si="7"/>
        <v>modesg_inp_nfrd_alinhamento_taxbio_capex_own_prfrmnce_algnd</v>
      </c>
      <c r="B278" s="162" t="s">
        <v>28</v>
      </c>
      <c r="C278" s="157" t="s">
        <v>178</v>
      </c>
      <c r="D278" s="153" t="s">
        <v>40</v>
      </c>
      <c r="E278" s="154" t="s">
        <v>208</v>
      </c>
      <c r="F278" s="153" t="s">
        <v>258</v>
      </c>
      <c r="G278" s="155" t="str">
        <f>VLOOKUP(A278,Plano_V3!$A$27:$G$583,7,0)</f>
        <v>1. Concluído</v>
      </c>
      <c r="H278" s="155" t="s">
        <v>477</v>
      </c>
      <c r="I278" s="165" t="s">
        <v>503</v>
      </c>
      <c r="J278" s="175" t="str">
        <f>IF(VLOOKUP(A278,'Aux - pivots1'!$A:$E,3,0)=0, "",VLOOKUP(A278,'Aux - pivots1'!$A:$E,3,0))</f>
        <v/>
      </c>
      <c r="K278" s="175">
        <f>IF(VLOOKUP(A278,'Aux - pivots1'!$A:$E,4,0)=0, "",VLOOKUP(A278,'Aux - pivots1'!$A:$E,4,0))</f>
        <v>45534</v>
      </c>
      <c r="L278" s="175">
        <f>IF(VLOOKUP(A278,'Aux - pivots1'!$A:$E,5,0)=0, "",VLOOKUP(A278,'Aux - pivots1'!$A:$E,5,0))</f>
        <v>45534</v>
      </c>
      <c r="M278" s="202"/>
    </row>
    <row r="279" spans="1:13" ht="16.2">
      <c r="A279" s="31" t="str">
        <f t="shared" si="7"/>
        <v>modesg_inp_nfrd_alinhamento_taxwtr_trnvr_ttl_elgbl</v>
      </c>
      <c r="B279" s="162" t="s">
        <v>28</v>
      </c>
      <c r="C279" s="157" t="s">
        <v>178</v>
      </c>
      <c r="D279" s="153" t="s">
        <v>40</v>
      </c>
      <c r="E279" s="154" t="s">
        <v>208</v>
      </c>
      <c r="F279" s="153" t="s">
        <v>259</v>
      </c>
      <c r="G279" s="155" t="str">
        <f>VLOOKUP(A279,Plano_V3!$A$27:$G$583,7,0)</f>
        <v>1. Concluído</v>
      </c>
      <c r="H279" s="155" t="s">
        <v>477</v>
      </c>
      <c r="I279" s="165" t="s">
        <v>503</v>
      </c>
      <c r="J279" s="175" t="str">
        <f>IF(VLOOKUP(A279,'Aux - pivots1'!$A:$E,3,0)=0, "",VLOOKUP(A279,'Aux - pivots1'!$A:$E,3,0))</f>
        <v/>
      </c>
      <c r="K279" s="175">
        <f>IF(VLOOKUP(A279,'Aux - pivots1'!$A:$E,4,0)=0, "",VLOOKUP(A279,'Aux - pivots1'!$A:$E,4,0))</f>
        <v>45534</v>
      </c>
      <c r="L279" s="175">
        <f>IF(VLOOKUP(A279,'Aux - pivots1'!$A:$E,5,0)=0, "",VLOOKUP(A279,'Aux - pivots1'!$A:$E,5,0))</f>
        <v>45534</v>
      </c>
      <c r="M279" s="202"/>
    </row>
    <row r="280" spans="1:13" ht="16.2">
      <c r="A280" s="31" t="str">
        <f t="shared" si="7"/>
        <v>modesg_inp_nfrd_alinhamento_taxwtr_trnvr_enblng_alignd</v>
      </c>
      <c r="B280" s="162" t="s">
        <v>28</v>
      </c>
      <c r="C280" s="157" t="s">
        <v>178</v>
      </c>
      <c r="D280" s="153" t="s">
        <v>40</v>
      </c>
      <c r="E280" s="154" t="s">
        <v>208</v>
      </c>
      <c r="F280" s="153" t="s">
        <v>260</v>
      </c>
      <c r="G280" s="155" t="str">
        <f>VLOOKUP(A280,Plano_V3!$A$27:$G$583,7,0)</f>
        <v>1. Concluído</v>
      </c>
      <c r="H280" s="155" t="s">
        <v>477</v>
      </c>
      <c r="I280" s="165" t="s">
        <v>503</v>
      </c>
      <c r="J280" s="175" t="str">
        <f>IF(VLOOKUP(A280,'Aux - pivots1'!$A:$E,3,0)=0, "",VLOOKUP(A280,'Aux - pivots1'!$A:$E,3,0))</f>
        <v/>
      </c>
      <c r="K280" s="175">
        <f>IF(VLOOKUP(A280,'Aux - pivots1'!$A:$E,4,0)=0, "",VLOOKUP(A280,'Aux - pivots1'!$A:$E,4,0))</f>
        <v>45534</v>
      </c>
      <c r="L280" s="175">
        <f>IF(VLOOKUP(A280,'Aux - pivots1'!$A:$E,5,0)=0, "",VLOOKUP(A280,'Aux - pivots1'!$A:$E,5,0))</f>
        <v>45534</v>
      </c>
      <c r="M280" s="202"/>
    </row>
    <row r="281" spans="1:13" ht="16.2">
      <c r="A281" s="31" t="str">
        <f t="shared" si="7"/>
        <v>modesg_inp_nfrd_alinhamento_taxwtr_turnover_own_prfrmnce_algnd</v>
      </c>
      <c r="B281" s="162" t="s">
        <v>28</v>
      </c>
      <c r="C281" s="157" t="s">
        <v>178</v>
      </c>
      <c r="D281" s="153" t="s">
        <v>40</v>
      </c>
      <c r="E281" s="154" t="s">
        <v>208</v>
      </c>
      <c r="F281" s="153" t="s">
        <v>261</v>
      </c>
      <c r="G281" s="155" t="str">
        <f>VLOOKUP(A281,Plano_V3!$A$27:$G$583,7,0)</f>
        <v>1. Concluído</v>
      </c>
      <c r="H281" s="155" t="s">
        <v>477</v>
      </c>
      <c r="I281" s="165" t="s">
        <v>503</v>
      </c>
      <c r="J281" s="175" t="str">
        <f>IF(VLOOKUP(A281,'Aux - pivots1'!$A:$E,3,0)=0, "",VLOOKUP(A281,'Aux - pivots1'!$A:$E,3,0))</f>
        <v/>
      </c>
      <c r="K281" s="175">
        <f>IF(VLOOKUP(A281,'Aux - pivots1'!$A:$E,4,0)=0, "",VLOOKUP(A281,'Aux - pivots1'!$A:$E,4,0))</f>
        <v>45534</v>
      </c>
      <c r="L281" s="175">
        <f>IF(VLOOKUP(A281,'Aux - pivots1'!$A:$E,5,0)=0, "",VLOOKUP(A281,'Aux - pivots1'!$A:$E,5,0))</f>
        <v>45534</v>
      </c>
      <c r="M281" s="202"/>
    </row>
    <row r="282" spans="1:13" ht="16.2">
      <c r="A282" s="31" t="str">
        <f t="shared" si="7"/>
        <v>modesg_inp_nfrd_alinhamento_taxwtr_capex_ttl_elgbl</v>
      </c>
      <c r="B282" s="162" t="s">
        <v>28</v>
      </c>
      <c r="C282" s="157" t="s">
        <v>178</v>
      </c>
      <c r="D282" s="153" t="s">
        <v>40</v>
      </c>
      <c r="E282" s="154" t="s">
        <v>208</v>
      </c>
      <c r="F282" s="153" t="s">
        <v>262</v>
      </c>
      <c r="G282" s="155" t="str">
        <f>VLOOKUP(A282,Plano_V3!$A$27:$G$583,7,0)</f>
        <v>1. Concluído</v>
      </c>
      <c r="H282" s="155" t="s">
        <v>477</v>
      </c>
      <c r="I282" s="165" t="s">
        <v>503</v>
      </c>
      <c r="J282" s="175" t="str">
        <f>IF(VLOOKUP(A282,'Aux - pivots1'!$A:$E,3,0)=0, "",VLOOKUP(A282,'Aux - pivots1'!$A:$E,3,0))</f>
        <v/>
      </c>
      <c r="K282" s="175">
        <f>IF(VLOOKUP(A282,'Aux - pivots1'!$A:$E,4,0)=0, "",VLOOKUP(A282,'Aux - pivots1'!$A:$E,4,0))</f>
        <v>45534</v>
      </c>
      <c r="L282" s="175">
        <f>IF(VLOOKUP(A282,'Aux - pivots1'!$A:$E,5,0)=0, "",VLOOKUP(A282,'Aux - pivots1'!$A:$E,5,0))</f>
        <v>45534</v>
      </c>
      <c r="M282" s="202"/>
    </row>
    <row r="283" spans="1:13" ht="16.2">
      <c r="A283" s="31" t="str">
        <f t="shared" si="7"/>
        <v>modesg_inp_nfrd_alinhamento_taxwtr_capex_enblng_algnd</v>
      </c>
      <c r="B283" s="162" t="s">
        <v>28</v>
      </c>
      <c r="C283" s="157" t="s">
        <v>178</v>
      </c>
      <c r="D283" s="153" t="s">
        <v>40</v>
      </c>
      <c r="E283" s="154" t="s">
        <v>208</v>
      </c>
      <c r="F283" s="153" t="s">
        <v>263</v>
      </c>
      <c r="G283" s="155" t="str">
        <f>VLOOKUP(A283,Plano_V3!$A$27:$G$583,7,0)</f>
        <v>1. Concluído</v>
      </c>
      <c r="H283" s="155" t="s">
        <v>477</v>
      </c>
      <c r="I283" s="165" t="s">
        <v>503</v>
      </c>
      <c r="J283" s="175" t="str">
        <f>IF(VLOOKUP(A283,'Aux - pivots1'!$A:$E,3,0)=0, "",VLOOKUP(A283,'Aux - pivots1'!$A:$E,3,0))</f>
        <v/>
      </c>
      <c r="K283" s="175">
        <f>IF(VLOOKUP(A283,'Aux - pivots1'!$A:$E,4,0)=0, "",VLOOKUP(A283,'Aux - pivots1'!$A:$E,4,0))</f>
        <v>45534</v>
      </c>
      <c r="L283" s="175">
        <f>IF(VLOOKUP(A283,'Aux - pivots1'!$A:$E,5,0)=0, "",VLOOKUP(A283,'Aux - pivots1'!$A:$E,5,0))</f>
        <v>45534</v>
      </c>
      <c r="M283" s="202"/>
    </row>
    <row r="284" spans="1:13" ht="16.2">
      <c r="A284" s="31" t="str">
        <f t="shared" si="7"/>
        <v>modesg_inp_nfrd_alinhamento_taxwtr_capex_own_prfrmnce_algnd</v>
      </c>
      <c r="B284" s="162" t="s">
        <v>28</v>
      </c>
      <c r="C284" s="157" t="s">
        <v>178</v>
      </c>
      <c r="D284" s="153" t="s">
        <v>40</v>
      </c>
      <c r="E284" s="154" t="s">
        <v>208</v>
      </c>
      <c r="F284" s="153" t="s">
        <v>264</v>
      </c>
      <c r="G284" s="155" t="str">
        <f>VLOOKUP(A284,Plano_V3!$A$27:$G$583,7,0)</f>
        <v>1. Concluído</v>
      </c>
      <c r="H284" s="155" t="s">
        <v>477</v>
      </c>
      <c r="I284" s="165" t="s">
        <v>503</v>
      </c>
      <c r="J284" s="175" t="str">
        <f>IF(VLOOKUP(A284,'Aux - pivots1'!$A:$E,3,0)=0, "",VLOOKUP(A284,'Aux - pivots1'!$A:$E,3,0))</f>
        <v/>
      </c>
      <c r="K284" s="175">
        <f>IF(VLOOKUP(A284,'Aux - pivots1'!$A:$E,4,0)=0, "",VLOOKUP(A284,'Aux - pivots1'!$A:$E,4,0))</f>
        <v>45534</v>
      </c>
      <c r="L284" s="175">
        <f>IF(VLOOKUP(A284,'Aux - pivots1'!$A:$E,5,0)=0, "",VLOOKUP(A284,'Aux - pivots1'!$A:$E,5,0))</f>
        <v>45534</v>
      </c>
      <c r="M284" s="202"/>
    </row>
    <row r="285" spans="1:13" ht="16.2">
      <c r="A285" s="31" t="str">
        <f t="shared" si="7"/>
        <v>modesg_inp_nfrd_alinhamento_taxce_trnvr_ttl_elgbl</v>
      </c>
      <c r="B285" s="162" t="s">
        <v>28</v>
      </c>
      <c r="C285" s="157" t="s">
        <v>178</v>
      </c>
      <c r="D285" s="153" t="s">
        <v>40</v>
      </c>
      <c r="E285" s="154" t="s">
        <v>208</v>
      </c>
      <c r="F285" s="153" t="s">
        <v>265</v>
      </c>
      <c r="G285" s="155" t="str">
        <f>VLOOKUP(A285,Plano_V3!$A$27:$G$583,7,0)</f>
        <v>1. Concluído</v>
      </c>
      <c r="H285" s="155" t="s">
        <v>477</v>
      </c>
      <c r="I285" s="165" t="s">
        <v>503</v>
      </c>
      <c r="J285" s="175" t="str">
        <f>IF(VLOOKUP(A285,'Aux - pivots1'!$A:$E,3,0)=0, "",VLOOKUP(A285,'Aux - pivots1'!$A:$E,3,0))</f>
        <v/>
      </c>
      <c r="K285" s="175">
        <f>IF(VLOOKUP(A285,'Aux - pivots1'!$A:$E,4,0)=0, "",VLOOKUP(A285,'Aux - pivots1'!$A:$E,4,0))</f>
        <v>45534</v>
      </c>
      <c r="L285" s="175">
        <f>IF(VLOOKUP(A285,'Aux - pivots1'!$A:$E,5,0)=0, "",VLOOKUP(A285,'Aux - pivots1'!$A:$E,5,0))</f>
        <v>45534</v>
      </c>
      <c r="M285" s="202"/>
    </row>
    <row r="286" spans="1:13" ht="16.2">
      <c r="A286" s="31" t="str">
        <f t="shared" si="7"/>
        <v>modesg_inp_nfrd_alinhamento_taxce_trnvr_enblng_alignd</v>
      </c>
      <c r="B286" s="162" t="s">
        <v>28</v>
      </c>
      <c r="C286" s="157" t="s">
        <v>178</v>
      </c>
      <c r="D286" s="153" t="s">
        <v>40</v>
      </c>
      <c r="E286" s="154" t="s">
        <v>208</v>
      </c>
      <c r="F286" s="153" t="s">
        <v>266</v>
      </c>
      <c r="G286" s="155" t="str">
        <f>VLOOKUP(A286,Plano_V3!$A$27:$G$583,7,0)</f>
        <v>1. Concluído</v>
      </c>
      <c r="H286" s="155" t="s">
        <v>477</v>
      </c>
      <c r="I286" s="165" t="s">
        <v>503</v>
      </c>
      <c r="J286" s="175" t="str">
        <f>IF(VLOOKUP(A286,'Aux - pivots1'!$A:$E,3,0)=0, "",VLOOKUP(A286,'Aux - pivots1'!$A:$E,3,0))</f>
        <v/>
      </c>
      <c r="K286" s="175">
        <f>IF(VLOOKUP(A286,'Aux - pivots1'!$A:$E,4,0)=0, "",VLOOKUP(A286,'Aux - pivots1'!$A:$E,4,0))</f>
        <v>45534</v>
      </c>
      <c r="L286" s="175">
        <f>IF(VLOOKUP(A286,'Aux - pivots1'!$A:$E,5,0)=0, "",VLOOKUP(A286,'Aux - pivots1'!$A:$E,5,0))</f>
        <v>45534</v>
      </c>
      <c r="M286" s="202"/>
    </row>
    <row r="287" spans="1:13" ht="16.2">
      <c r="A287" s="31" t="str">
        <f t="shared" si="7"/>
        <v>modesg_inp_nfrd_alinhamento_taxce_turnover_own_prfrmnce_algnd</v>
      </c>
      <c r="B287" s="162" t="s">
        <v>28</v>
      </c>
      <c r="C287" s="157" t="s">
        <v>178</v>
      </c>
      <c r="D287" s="153" t="s">
        <v>40</v>
      </c>
      <c r="E287" s="154" t="s">
        <v>208</v>
      </c>
      <c r="F287" s="153" t="s">
        <v>267</v>
      </c>
      <c r="G287" s="155" t="str">
        <f>VLOOKUP(A287,Plano_V3!$A$27:$G$583,7,0)</f>
        <v>1. Concluído</v>
      </c>
      <c r="H287" s="155" t="s">
        <v>477</v>
      </c>
      <c r="I287" s="165" t="s">
        <v>503</v>
      </c>
      <c r="J287" s="175" t="str">
        <f>IF(VLOOKUP(A287,'Aux - pivots1'!$A:$E,3,0)=0, "",VLOOKUP(A287,'Aux - pivots1'!$A:$E,3,0))</f>
        <v/>
      </c>
      <c r="K287" s="175">
        <f>IF(VLOOKUP(A287,'Aux - pivots1'!$A:$E,4,0)=0, "",VLOOKUP(A287,'Aux - pivots1'!$A:$E,4,0))</f>
        <v>45534</v>
      </c>
      <c r="L287" s="175">
        <f>IF(VLOOKUP(A287,'Aux - pivots1'!$A:$E,5,0)=0, "",VLOOKUP(A287,'Aux - pivots1'!$A:$E,5,0))</f>
        <v>45534</v>
      </c>
      <c r="M287" s="202"/>
    </row>
    <row r="288" spans="1:13" ht="16.2">
      <c r="A288" s="31" t="str">
        <f t="shared" si="7"/>
        <v>modesg_inp_nfrd_alinhamento_taxce_capex_ttl_elgbl</v>
      </c>
      <c r="B288" s="162" t="s">
        <v>28</v>
      </c>
      <c r="C288" s="157" t="s">
        <v>178</v>
      </c>
      <c r="D288" s="153" t="s">
        <v>40</v>
      </c>
      <c r="E288" s="154" t="s">
        <v>208</v>
      </c>
      <c r="F288" s="153" t="s">
        <v>268</v>
      </c>
      <c r="G288" s="155" t="str">
        <f>VLOOKUP(A288,Plano_V3!$A$27:$G$583,7,0)</f>
        <v>1. Concluído</v>
      </c>
      <c r="H288" s="155" t="s">
        <v>477</v>
      </c>
      <c r="I288" s="165" t="s">
        <v>503</v>
      </c>
      <c r="J288" s="175" t="str">
        <f>IF(VLOOKUP(A288,'Aux - pivots1'!$A:$E,3,0)=0, "",VLOOKUP(A288,'Aux - pivots1'!$A:$E,3,0))</f>
        <v/>
      </c>
      <c r="K288" s="175">
        <f>IF(VLOOKUP(A288,'Aux - pivots1'!$A:$E,4,0)=0, "",VLOOKUP(A288,'Aux - pivots1'!$A:$E,4,0))</f>
        <v>45534</v>
      </c>
      <c r="L288" s="175">
        <f>IF(VLOOKUP(A288,'Aux - pivots1'!$A:$E,5,0)=0, "",VLOOKUP(A288,'Aux - pivots1'!$A:$E,5,0))</f>
        <v>45534</v>
      </c>
      <c r="M288" s="202"/>
    </row>
    <row r="289" spans="1:13" ht="16.2">
      <c r="A289" s="31" t="str">
        <f t="shared" si="7"/>
        <v>modesg_inp_nfrd_alinhamento_taxce_capex_enblng_algnd</v>
      </c>
      <c r="B289" s="162" t="s">
        <v>28</v>
      </c>
      <c r="C289" s="157" t="s">
        <v>178</v>
      </c>
      <c r="D289" s="153" t="s">
        <v>40</v>
      </c>
      <c r="E289" s="154" t="s">
        <v>208</v>
      </c>
      <c r="F289" s="153" t="s">
        <v>269</v>
      </c>
      <c r="G289" s="155" t="str">
        <f>VLOOKUP(A289,Plano_V3!$A$27:$G$583,7,0)</f>
        <v>1. Concluído</v>
      </c>
      <c r="H289" s="155" t="s">
        <v>477</v>
      </c>
      <c r="I289" s="165" t="s">
        <v>503</v>
      </c>
      <c r="J289" s="175" t="str">
        <f>IF(VLOOKUP(A289,'Aux - pivots1'!$A:$E,3,0)=0, "",VLOOKUP(A289,'Aux - pivots1'!$A:$E,3,0))</f>
        <v/>
      </c>
      <c r="K289" s="175">
        <f>IF(VLOOKUP(A289,'Aux - pivots1'!$A:$E,4,0)=0, "",VLOOKUP(A289,'Aux - pivots1'!$A:$E,4,0))</f>
        <v>45534</v>
      </c>
      <c r="L289" s="175">
        <f>IF(VLOOKUP(A289,'Aux - pivots1'!$A:$E,5,0)=0, "",VLOOKUP(A289,'Aux - pivots1'!$A:$E,5,0))</f>
        <v>45534</v>
      </c>
      <c r="M289" s="202"/>
    </row>
    <row r="290" spans="1:13" ht="16.2">
      <c r="A290" s="31" t="str">
        <f t="shared" si="7"/>
        <v>modesg_inp_nfrd_alinhamento_taxce_capex_own_prfrmnce_algnd</v>
      </c>
      <c r="B290" s="162" t="s">
        <v>28</v>
      </c>
      <c r="C290" s="157" t="s">
        <v>178</v>
      </c>
      <c r="D290" s="153" t="s">
        <v>40</v>
      </c>
      <c r="E290" s="154" t="s">
        <v>208</v>
      </c>
      <c r="F290" s="153" t="s">
        <v>270</v>
      </c>
      <c r="G290" s="155" t="str">
        <f>VLOOKUP(A290,Plano_V3!$A$27:$G$583,7,0)</f>
        <v>1. Concluído</v>
      </c>
      <c r="H290" s="155" t="s">
        <v>477</v>
      </c>
      <c r="I290" s="165" t="s">
        <v>503</v>
      </c>
      <c r="J290" s="175" t="str">
        <f>IF(VLOOKUP(A290,'Aux - pivots1'!$A:$E,3,0)=0, "",VLOOKUP(A290,'Aux - pivots1'!$A:$E,3,0))</f>
        <v/>
      </c>
      <c r="K290" s="175">
        <f>IF(VLOOKUP(A290,'Aux - pivots1'!$A:$E,4,0)=0, "",VLOOKUP(A290,'Aux - pivots1'!$A:$E,4,0))</f>
        <v>45534</v>
      </c>
      <c r="L290" s="175">
        <f>IF(VLOOKUP(A290,'Aux - pivots1'!$A:$E,5,0)=0, "",VLOOKUP(A290,'Aux - pivots1'!$A:$E,5,0))</f>
        <v>45534</v>
      </c>
      <c r="M290" s="202"/>
    </row>
    <row r="291" spans="1:13" ht="16.2">
      <c r="A291" s="31" t="str">
        <f t="shared" si="7"/>
        <v>modesg_inp_risco_fisicoref_date</v>
      </c>
      <c r="B291" s="162" t="s">
        <v>28</v>
      </c>
      <c r="C291" s="157" t="s">
        <v>178</v>
      </c>
      <c r="D291" s="153" t="s">
        <v>40</v>
      </c>
      <c r="E291" s="154" t="s">
        <v>209</v>
      </c>
      <c r="F291" s="153" t="s">
        <v>73</v>
      </c>
      <c r="G291" s="155" t="str">
        <f>VLOOKUP(A291,Plano_V3!$A$27:$G$583,7,0)</f>
        <v>1. Concluído</v>
      </c>
      <c r="H291" s="155" t="s">
        <v>477</v>
      </c>
      <c r="I291" s="179"/>
      <c r="J291" s="175" t="str">
        <f>IF(VLOOKUP(A291,'Aux - pivots1'!$A:$E,3,0)=0, "",VLOOKUP(A291,'Aux - pivots1'!$A:$E,3,0))</f>
        <v/>
      </c>
      <c r="K291" s="175" t="str">
        <f>IF(VLOOKUP(A291,'Aux - pivots1'!$A:$E,4,0)=0, "",VLOOKUP(A291,'Aux - pivots1'!$A:$E,4,0))</f>
        <v/>
      </c>
      <c r="L291" s="175" t="str">
        <f>IF(VLOOKUP(A291,'Aux - pivots1'!$A:$E,5,0)=0, "",VLOOKUP(A291,'Aux - pivots1'!$A:$E,5,0))</f>
        <v/>
      </c>
      <c r="M291" s="202"/>
    </row>
    <row r="292" spans="1:13" ht="16.2">
      <c r="A292" s="31" t="str">
        <f t="shared" si="7"/>
        <v>modesg_inp_risco_fisicocod_pais</v>
      </c>
      <c r="B292" s="162" t="s">
        <v>28</v>
      </c>
      <c r="C292" s="157" t="s">
        <v>178</v>
      </c>
      <c r="D292" s="153" t="s">
        <v>40</v>
      </c>
      <c r="E292" s="154" t="s">
        <v>209</v>
      </c>
      <c r="F292" s="153" t="s">
        <v>103</v>
      </c>
      <c r="G292" s="155" t="str">
        <f>VLOOKUP(A292,Plano_V3!$A$27:$G$583,7,0)</f>
        <v>1. Concluído</v>
      </c>
      <c r="H292" s="155" t="s">
        <v>477</v>
      </c>
      <c r="I292" s="179"/>
      <c r="J292" s="175" t="str">
        <f>IF(VLOOKUP(A292,'Aux - pivots1'!$A:$E,3,0)=0, "",VLOOKUP(A292,'Aux - pivots1'!$A:$E,3,0))</f>
        <v/>
      </c>
      <c r="K292" s="175" t="str">
        <f>IF(VLOOKUP(A292,'Aux - pivots1'!$A:$E,4,0)=0, "",VLOOKUP(A292,'Aux - pivots1'!$A:$E,4,0))</f>
        <v/>
      </c>
      <c r="L292" s="175" t="str">
        <f>IF(VLOOKUP(A292,'Aux - pivots1'!$A:$E,5,0)=0, "",VLOOKUP(A292,'Aux - pivots1'!$A:$E,5,0))</f>
        <v/>
      </c>
      <c r="M292" s="202"/>
    </row>
    <row r="293" spans="1:13" ht="16.2">
      <c r="A293" s="31" t="str">
        <f t="shared" si="7"/>
        <v>modesg_inp_risco_fisicocod_nutiii</v>
      </c>
      <c r="B293" s="162" t="s">
        <v>28</v>
      </c>
      <c r="C293" s="157" t="s">
        <v>178</v>
      </c>
      <c r="D293" s="153" t="s">
        <v>40</v>
      </c>
      <c r="E293" s="154" t="s">
        <v>209</v>
      </c>
      <c r="F293" s="153" t="s">
        <v>271</v>
      </c>
      <c r="G293" s="155" t="str">
        <f>VLOOKUP(A293,Plano_V3!$A$27:$G$583,7,0)</f>
        <v>1. Concluído</v>
      </c>
      <c r="H293" s="155" t="s">
        <v>477</v>
      </c>
      <c r="I293" s="179"/>
      <c r="J293" s="175" t="str">
        <f>IF(VLOOKUP(A293,'Aux - pivots1'!$A:$E,3,0)=0, "",VLOOKUP(A293,'Aux - pivots1'!$A:$E,3,0))</f>
        <v/>
      </c>
      <c r="K293" s="175" t="str">
        <f>IF(VLOOKUP(A293,'Aux - pivots1'!$A:$E,4,0)=0, "",VLOOKUP(A293,'Aux - pivots1'!$A:$E,4,0))</f>
        <v/>
      </c>
      <c r="L293" s="175" t="str">
        <f>IF(VLOOKUP(A293,'Aux - pivots1'!$A:$E,5,0)=0, "",VLOOKUP(A293,'Aux - pivots1'!$A:$E,5,0))</f>
        <v/>
      </c>
      <c r="M293" s="202"/>
    </row>
    <row r="294" spans="1:13" ht="16.2">
      <c r="A294" s="31" t="str">
        <f t="shared" si="7"/>
        <v>modesg_inp_risco_fisicocod_nace_esg</v>
      </c>
      <c r="B294" s="162" t="s">
        <v>28</v>
      </c>
      <c r="C294" s="157" t="s">
        <v>178</v>
      </c>
      <c r="D294" s="153" t="s">
        <v>40</v>
      </c>
      <c r="E294" s="154" t="s">
        <v>209</v>
      </c>
      <c r="F294" s="153" t="s">
        <v>272</v>
      </c>
      <c r="G294" s="155" t="str">
        <f>VLOOKUP(A294,Plano_V3!$A$27:$G$583,7,0)</f>
        <v>4. Validação EF</v>
      </c>
      <c r="H294" s="155" t="s">
        <v>479</v>
      </c>
      <c r="I294" s="179"/>
      <c r="J294" s="175" t="str">
        <f>IF(VLOOKUP(A294,'Aux - pivots1'!$A:$E,3,0)=0, "",VLOOKUP(A294,'Aux - pivots1'!$A:$E,3,0))</f>
        <v/>
      </c>
      <c r="K294" s="175" t="str">
        <f>IF(VLOOKUP(A294,'Aux - pivots1'!$A:$E,4,0)=0, "",VLOOKUP(A294,'Aux - pivots1'!$A:$E,4,0))</f>
        <v/>
      </c>
      <c r="L294" s="175" t="str">
        <f>IF(VLOOKUP(A294,'Aux - pivots1'!$A:$E,5,0)=0, "",VLOOKUP(A294,'Aux - pivots1'!$A:$E,5,0))</f>
        <v/>
      </c>
      <c r="M294" s="202"/>
    </row>
    <row r="295" spans="1:13" ht="16.2">
      <c r="A295" s="31" t="str">
        <f t="shared" si="7"/>
        <v>modesg_inp_risco_fisicoflg_rsc_fsc_agd</v>
      </c>
      <c r="B295" s="162" t="s">
        <v>28</v>
      </c>
      <c r="C295" s="157" t="s">
        <v>178</v>
      </c>
      <c r="D295" s="153" t="s">
        <v>40</v>
      </c>
      <c r="E295" s="154" t="s">
        <v>209</v>
      </c>
      <c r="F295" s="153" t="s">
        <v>273</v>
      </c>
      <c r="G295" s="155" t="str">
        <f>VLOOKUP(A295,Plano_V3!$A$27:$G$583,7,0)</f>
        <v>1. Concluído</v>
      </c>
      <c r="H295" s="155" t="s">
        <v>477</v>
      </c>
      <c r="I295" s="179"/>
      <c r="J295" s="175" t="str">
        <f>IF(VLOOKUP(A295,'Aux - pivots1'!$A:$E,3,0)=0, "",VLOOKUP(A295,'Aux - pivots1'!$A:$E,3,0))</f>
        <v/>
      </c>
      <c r="K295" s="175" t="str">
        <f>IF(VLOOKUP(A295,'Aux - pivots1'!$A:$E,4,0)=0, "",VLOOKUP(A295,'Aux - pivots1'!$A:$E,4,0))</f>
        <v/>
      </c>
      <c r="L295" s="175" t="str">
        <f>IF(VLOOKUP(A295,'Aux - pivots1'!$A:$E,5,0)=0, "",VLOOKUP(A295,'Aux - pivots1'!$A:$E,5,0))</f>
        <v/>
      </c>
      <c r="M295" s="202"/>
    </row>
    <row r="296" spans="1:13" ht="16.2">
      <c r="A296" s="31" t="str">
        <f t="shared" si="7"/>
        <v>modesg_inp_risco_fisicoflg_rsc_fsc_crnc</v>
      </c>
      <c r="B296" s="162" t="s">
        <v>28</v>
      </c>
      <c r="C296" s="157" t="s">
        <v>178</v>
      </c>
      <c r="D296" s="153" t="s">
        <v>40</v>
      </c>
      <c r="E296" s="154" t="s">
        <v>209</v>
      </c>
      <c r="F296" s="153" t="s">
        <v>274</v>
      </c>
      <c r="G296" s="155" t="str">
        <f>VLOOKUP(A296,Plano_V3!$A$27:$G$583,7,0)</f>
        <v>1. Concluído</v>
      </c>
      <c r="H296" s="155" t="s">
        <v>477</v>
      </c>
      <c r="I296" s="179"/>
      <c r="J296" s="175" t="str">
        <f>IF(VLOOKUP(A296,'Aux - pivots1'!$A:$E,3,0)=0, "",VLOOKUP(A296,'Aux - pivots1'!$A:$E,3,0))</f>
        <v/>
      </c>
      <c r="K296" s="175" t="str">
        <f>IF(VLOOKUP(A296,'Aux - pivots1'!$A:$E,4,0)=0, "",VLOOKUP(A296,'Aux - pivots1'!$A:$E,4,0))</f>
        <v/>
      </c>
      <c r="L296" s="175" t="str">
        <f>IF(VLOOKUP(A296,'Aux - pivots1'!$A:$E,5,0)=0, "",VLOOKUP(A296,'Aux - pivots1'!$A:$E,5,0))</f>
        <v/>
      </c>
      <c r="M296" s="202"/>
    </row>
    <row r="297" spans="1:13" ht="16.2">
      <c r="A297" s="31" t="str">
        <f t="shared" si="7"/>
        <v>modesg_inp_emss_scibref_date</v>
      </c>
      <c r="B297" s="162" t="s">
        <v>28</v>
      </c>
      <c r="C297" s="157" t="s">
        <v>178</v>
      </c>
      <c r="D297" s="153" t="s">
        <v>40</v>
      </c>
      <c r="E297" s="154" t="s">
        <v>210</v>
      </c>
      <c r="F297" s="153" t="s">
        <v>73</v>
      </c>
      <c r="G297" s="155" t="str">
        <f>VLOOKUP(A297,Plano_V3!$A$27:$G$583,7,0)</f>
        <v>1. Concluído</v>
      </c>
      <c r="H297" s="155" t="s">
        <v>477</v>
      </c>
      <c r="I297" s="179"/>
      <c r="J297" s="175" t="str">
        <f>IF(VLOOKUP(A297,'Aux - pivots1'!$A:$E,3,0)=0, "",VLOOKUP(A297,'Aux - pivots1'!$A:$E,3,0))</f>
        <v/>
      </c>
      <c r="K297" s="175" t="str">
        <f>IF(VLOOKUP(A297,'Aux - pivots1'!$A:$E,4,0)=0, "",VLOOKUP(A297,'Aux - pivots1'!$A:$E,4,0))</f>
        <v/>
      </c>
      <c r="L297" s="175" t="str">
        <f>IF(VLOOKUP(A297,'Aux - pivots1'!$A:$E,5,0)=0, "",VLOOKUP(A297,'Aux - pivots1'!$A:$E,5,0))</f>
        <v/>
      </c>
      <c r="M297" s="202"/>
    </row>
    <row r="298" spans="1:13" ht="16.2">
      <c r="A298" s="31" t="str">
        <f t="shared" si="7"/>
        <v>modesg_inp_emss_scibccli_kgl</v>
      </c>
      <c r="B298" s="162" t="s">
        <v>28</v>
      </c>
      <c r="C298" s="157" t="s">
        <v>178</v>
      </c>
      <c r="D298" s="153" t="s">
        <v>40</v>
      </c>
      <c r="E298" s="154" t="s">
        <v>210</v>
      </c>
      <c r="F298" s="153" t="s">
        <v>232</v>
      </c>
      <c r="G298" s="155" t="str">
        <f>VLOOKUP(A298,Plano_V3!$A$27:$G$583,7,0)</f>
        <v>1. Concluído</v>
      </c>
      <c r="H298" s="155" t="s">
        <v>477</v>
      </c>
      <c r="I298" s="179"/>
      <c r="J298" s="175" t="str">
        <f>IF(VLOOKUP(A298,'Aux - pivots1'!$A:$E,3,0)=0, "",VLOOKUP(A298,'Aux - pivots1'!$A:$E,3,0))</f>
        <v/>
      </c>
      <c r="K298" s="175" t="str">
        <f>IF(VLOOKUP(A298,'Aux - pivots1'!$A:$E,4,0)=0, "",VLOOKUP(A298,'Aux - pivots1'!$A:$E,4,0))</f>
        <v/>
      </c>
      <c r="L298" s="175" t="str">
        <f>IF(VLOOKUP(A298,'Aux - pivots1'!$A:$E,5,0)=0, "",VLOOKUP(A298,'Aux - pivots1'!$A:$E,5,0))</f>
        <v/>
      </c>
      <c r="M298" s="202"/>
    </row>
    <row r="299" spans="1:13" ht="16.2">
      <c r="A299" s="31" t="str">
        <f t="shared" si="7"/>
        <v>modesg_inp_emss_scibnome_grupo</v>
      </c>
      <c r="B299" s="162" t="s">
        <v>28</v>
      </c>
      <c r="C299" s="157" t="s">
        <v>178</v>
      </c>
      <c r="D299" s="153" t="s">
        <v>40</v>
      </c>
      <c r="E299" s="154" t="s">
        <v>210</v>
      </c>
      <c r="F299" s="153" t="s">
        <v>275</v>
      </c>
      <c r="G299" s="155" t="str">
        <f>VLOOKUP(A299,Plano_V3!$A$27:$G$583,7,0)</f>
        <v>1. Concluído</v>
      </c>
      <c r="H299" s="155" t="s">
        <v>477</v>
      </c>
      <c r="I299" s="179"/>
      <c r="J299" s="175" t="str">
        <f>IF(VLOOKUP(A299,'Aux - pivots1'!$A:$E,3,0)=0, "",VLOOKUP(A299,'Aux - pivots1'!$A:$E,3,0))</f>
        <v/>
      </c>
      <c r="K299" s="175" t="str">
        <f>IF(VLOOKUP(A299,'Aux - pivots1'!$A:$E,4,0)=0, "",VLOOKUP(A299,'Aux - pivots1'!$A:$E,4,0))</f>
        <v/>
      </c>
      <c r="L299" s="175" t="str">
        <f>IF(VLOOKUP(A299,'Aux - pivots1'!$A:$E,5,0)=0, "",VLOOKUP(A299,'Aux - pivots1'!$A:$E,5,0))</f>
        <v/>
      </c>
      <c r="M299" s="202"/>
    </row>
    <row r="300" spans="1:13" ht="16.2">
      <c r="A300" s="31" t="str">
        <f t="shared" si="7"/>
        <v>modesg_inp_emss_scibisin</v>
      </c>
      <c r="B300" s="162" t="s">
        <v>28</v>
      </c>
      <c r="C300" s="157" t="s">
        <v>178</v>
      </c>
      <c r="D300" s="153" t="s">
        <v>40</v>
      </c>
      <c r="E300" s="154" t="s">
        <v>210</v>
      </c>
      <c r="F300" s="153" t="s">
        <v>230</v>
      </c>
      <c r="G300" s="155" t="str">
        <f>VLOOKUP(A300,Plano_V3!$A$27:$G$583,7,0)</f>
        <v>1. Concluído</v>
      </c>
      <c r="H300" s="155" t="s">
        <v>477</v>
      </c>
      <c r="I300" s="179"/>
      <c r="J300" s="175" t="str">
        <f>IF(VLOOKUP(A300,'Aux - pivots1'!$A:$E,3,0)=0, "",VLOOKUP(A300,'Aux - pivots1'!$A:$E,3,0))</f>
        <v/>
      </c>
      <c r="K300" s="175" t="str">
        <f>IF(VLOOKUP(A300,'Aux - pivots1'!$A:$E,4,0)=0, "",VLOOKUP(A300,'Aux - pivots1'!$A:$E,4,0))</f>
        <v/>
      </c>
      <c r="L300" s="175" t="str">
        <f>IF(VLOOKUP(A300,'Aux - pivots1'!$A:$E,5,0)=0, "",VLOOKUP(A300,'Aux - pivots1'!$A:$E,5,0))</f>
        <v/>
      </c>
      <c r="M300" s="202"/>
    </row>
    <row r="301" spans="1:13" ht="16.2">
      <c r="A301" s="31" t="str">
        <f t="shared" si="7"/>
        <v>modesg_inp_emss_scibclei</v>
      </c>
      <c r="B301" s="162" t="s">
        <v>28</v>
      </c>
      <c r="C301" s="157" t="s">
        <v>178</v>
      </c>
      <c r="D301" s="153" t="s">
        <v>40</v>
      </c>
      <c r="E301" s="154" t="s">
        <v>210</v>
      </c>
      <c r="F301" s="153" t="s">
        <v>231</v>
      </c>
      <c r="G301" s="155" t="str">
        <f>VLOOKUP(A301,Plano_V3!$A$27:$G$583,7,0)</f>
        <v>1. Concluído</v>
      </c>
      <c r="H301" s="155" t="s">
        <v>477</v>
      </c>
      <c r="I301" s="179"/>
      <c r="J301" s="175" t="str">
        <f>IF(VLOOKUP(A301,'Aux - pivots1'!$A:$E,3,0)=0, "",VLOOKUP(A301,'Aux - pivots1'!$A:$E,3,0))</f>
        <v/>
      </c>
      <c r="K301" s="175" t="str">
        <f>IF(VLOOKUP(A301,'Aux - pivots1'!$A:$E,4,0)=0, "",VLOOKUP(A301,'Aux - pivots1'!$A:$E,4,0))</f>
        <v/>
      </c>
      <c r="L301" s="175" t="str">
        <f>IF(VLOOKUP(A301,'Aux - pivots1'!$A:$E,5,0)=0, "",VLOOKUP(A301,'Aux - pivots1'!$A:$E,5,0))</f>
        <v/>
      </c>
      <c r="M301" s="202"/>
    </row>
    <row r="302" spans="1:13" ht="16.2">
      <c r="A302" s="31" t="str">
        <f t="shared" si="7"/>
        <v>modesg_inp_emss_scibscp1_emss</v>
      </c>
      <c r="B302" s="162" t="s">
        <v>28</v>
      </c>
      <c r="C302" s="157" t="s">
        <v>178</v>
      </c>
      <c r="D302" s="153" t="s">
        <v>40</v>
      </c>
      <c r="E302" s="154" t="s">
        <v>210</v>
      </c>
      <c r="F302" s="153" t="s">
        <v>276</v>
      </c>
      <c r="G302" s="155" t="str">
        <f>VLOOKUP(A302,Plano_V3!$A$27:$G$583,7,0)</f>
        <v>1. Concluído</v>
      </c>
      <c r="H302" s="155" t="s">
        <v>477</v>
      </c>
      <c r="I302" s="164" t="s">
        <v>1863</v>
      </c>
      <c r="J302" s="175">
        <f>IF(VLOOKUP(A302,'Aux - pivots1'!$A:$E,3,0)=0, "",VLOOKUP(A302,'Aux - pivots1'!$A:$E,3,0))</f>
        <v>45491</v>
      </c>
      <c r="K302" s="175" t="str">
        <f>IF(VLOOKUP(A302,'Aux - pivots1'!$A:$E,4,0)=0, "",VLOOKUP(A302,'Aux - pivots1'!$A:$E,4,0))</f>
        <v/>
      </c>
      <c r="L302" s="175">
        <f>IF(VLOOKUP(A302,'Aux - pivots1'!$A:$E,5,0)=0, "",VLOOKUP(A302,'Aux - pivots1'!$A:$E,5,0))</f>
        <v>45499</v>
      </c>
      <c r="M302" s="202"/>
    </row>
    <row r="303" spans="1:13" ht="16.2">
      <c r="A303" s="31" t="str">
        <f t="shared" si="7"/>
        <v>modesg_inp_emss_scibscp2_emss</v>
      </c>
      <c r="B303" s="162" t="s">
        <v>28</v>
      </c>
      <c r="C303" s="157" t="s">
        <v>178</v>
      </c>
      <c r="D303" s="153" t="s">
        <v>40</v>
      </c>
      <c r="E303" s="154" t="s">
        <v>210</v>
      </c>
      <c r="F303" s="153" t="s">
        <v>277</v>
      </c>
      <c r="G303" s="155" t="str">
        <f>VLOOKUP(A303,Plano_V3!$A$27:$G$583,7,0)</f>
        <v>1. Concluído</v>
      </c>
      <c r="H303" s="155" t="s">
        <v>477</v>
      </c>
      <c r="I303" s="164" t="s">
        <v>1863</v>
      </c>
      <c r="J303" s="175">
        <f>IF(VLOOKUP(A303,'Aux - pivots1'!$A:$E,3,0)=0, "",VLOOKUP(A303,'Aux - pivots1'!$A:$E,3,0))</f>
        <v>45491</v>
      </c>
      <c r="K303" s="175" t="str">
        <f>IF(VLOOKUP(A303,'Aux - pivots1'!$A:$E,4,0)=0, "",VLOOKUP(A303,'Aux - pivots1'!$A:$E,4,0))</f>
        <v/>
      </c>
      <c r="L303" s="175">
        <f>IF(VLOOKUP(A303,'Aux - pivots1'!$A:$E,5,0)=0, "",VLOOKUP(A303,'Aux - pivots1'!$A:$E,5,0))</f>
        <v>45499</v>
      </c>
      <c r="M303" s="202"/>
    </row>
    <row r="304" spans="1:13" ht="16.2">
      <c r="A304" s="31" t="str">
        <f t="shared" si="7"/>
        <v>modesg_inp_emss_scibscp3_emss</v>
      </c>
      <c r="B304" s="162" t="s">
        <v>28</v>
      </c>
      <c r="C304" s="157" t="s">
        <v>178</v>
      </c>
      <c r="D304" s="153" t="s">
        <v>40</v>
      </c>
      <c r="E304" s="154" t="s">
        <v>210</v>
      </c>
      <c r="F304" s="153" t="s">
        <v>278</v>
      </c>
      <c r="G304" s="155" t="str">
        <f>VLOOKUP(A304,Plano_V3!$A$27:$G$583,7,0)</f>
        <v>1. Concluído</v>
      </c>
      <c r="H304" s="155" t="s">
        <v>477</v>
      </c>
      <c r="I304" s="179"/>
      <c r="J304" s="175" t="str">
        <f>IF(VLOOKUP(A304,'Aux - pivots1'!$A:$E,3,0)=0, "",VLOOKUP(A304,'Aux - pivots1'!$A:$E,3,0))</f>
        <v/>
      </c>
      <c r="K304" s="175" t="str">
        <f>IF(VLOOKUP(A304,'Aux - pivots1'!$A:$E,4,0)=0, "",VLOOKUP(A304,'Aux - pivots1'!$A:$E,4,0))</f>
        <v/>
      </c>
      <c r="L304" s="175" t="str">
        <f>IF(VLOOKUP(A304,'Aux - pivots1'!$A:$E,5,0)=0, "",VLOOKUP(A304,'Aux - pivots1'!$A:$E,5,0))</f>
        <v/>
      </c>
      <c r="M304" s="202"/>
    </row>
    <row r="305" spans="1:13" ht="16.2">
      <c r="A305" s="31" t="str">
        <f t="shared" si="7"/>
        <v>modesg_inp_emss_scibscore_scp1</v>
      </c>
      <c r="B305" s="162" t="s">
        <v>28</v>
      </c>
      <c r="C305" s="157" t="s">
        <v>178</v>
      </c>
      <c r="D305" s="153" t="s">
        <v>40</v>
      </c>
      <c r="E305" s="154" t="s">
        <v>210</v>
      </c>
      <c r="F305" s="153" t="s">
        <v>279</v>
      </c>
      <c r="G305" s="155" t="str">
        <f>VLOOKUP(A305,Plano_V3!$A$27:$G$583,7,0)</f>
        <v>1. Concluído</v>
      </c>
      <c r="H305" s="155" t="s">
        <v>477</v>
      </c>
      <c r="I305" s="179"/>
      <c r="J305" s="175" t="str">
        <f>IF(VLOOKUP(A305,'Aux - pivots1'!$A:$E,3,0)=0, "",VLOOKUP(A305,'Aux - pivots1'!$A:$E,3,0))</f>
        <v/>
      </c>
      <c r="K305" s="175" t="str">
        <f>IF(VLOOKUP(A305,'Aux - pivots1'!$A:$E,4,0)=0, "",VLOOKUP(A305,'Aux - pivots1'!$A:$E,4,0))</f>
        <v/>
      </c>
      <c r="L305" s="175" t="str">
        <f>IF(VLOOKUP(A305,'Aux - pivots1'!$A:$E,5,0)=0, "",VLOOKUP(A305,'Aux - pivots1'!$A:$E,5,0))</f>
        <v/>
      </c>
      <c r="M305" s="202"/>
    </row>
    <row r="306" spans="1:13" ht="16.2">
      <c r="A306" s="31" t="str">
        <f t="shared" si="7"/>
        <v>modesg_inp_emss_scibscore_scp2</v>
      </c>
      <c r="B306" s="162" t="s">
        <v>28</v>
      </c>
      <c r="C306" s="157" t="s">
        <v>178</v>
      </c>
      <c r="D306" s="153" t="s">
        <v>40</v>
      </c>
      <c r="E306" s="154" t="s">
        <v>210</v>
      </c>
      <c r="F306" s="153" t="s">
        <v>280</v>
      </c>
      <c r="G306" s="155" t="str">
        <f>VLOOKUP(A306,Plano_V3!$A$27:$G$583,7,0)</f>
        <v>1. Concluído</v>
      </c>
      <c r="H306" s="155" t="s">
        <v>477</v>
      </c>
      <c r="I306" s="179"/>
      <c r="J306" s="175" t="str">
        <f>IF(VLOOKUP(A306,'Aux - pivots1'!$A:$E,3,0)=0, "",VLOOKUP(A306,'Aux - pivots1'!$A:$E,3,0))</f>
        <v/>
      </c>
      <c r="K306" s="175" t="str">
        <f>IF(VLOOKUP(A306,'Aux - pivots1'!$A:$E,4,0)=0, "",VLOOKUP(A306,'Aux - pivots1'!$A:$E,4,0))</f>
        <v/>
      </c>
      <c r="L306" s="175" t="str">
        <f>IF(VLOOKUP(A306,'Aux - pivots1'!$A:$E,5,0)=0, "",VLOOKUP(A306,'Aux - pivots1'!$A:$E,5,0))</f>
        <v/>
      </c>
      <c r="M306" s="202"/>
    </row>
    <row r="307" spans="1:13" ht="16.2">
      <c r="A307" s="31" t="str">
        <f t="shared" si="7"/>
        <v>modesg_inp_emss_scibscore_scp3</v>
      </c>
      <c r="B307" s="162" t="s">
        <v>28</v>
      </c>
      <c r="C307" s="157" t="s">
        <v>178</v>
      </c>
      <c r="D307" s="153" t="s">
        <v>40</v>
      </c>
      <c r="E307" s="154" t="s">
        <v>210</v>
      </c>
      <c r="F307" s="153" t="s">
        <v>281</v>
      </c>
      <c r="G307" s="155" t="str">
        <f>VLOOKUP(A307,Plano_V3!$A$27:$G$583,7,0)</f>
        <v>1. Concluído</v>
      </c>
      <c r="H307" s="155" t="s">
        <v>477</v>
      </c>
      <c r="I307" s="179"/>
      <c r="J307" s="175" t="str">
        <f>IF(VLOOKUP(A307,'Aux - pivots1'!$A:$E,3,0)=0, "",VLOOKUP(A307,'Aux - pivots1'!$A:$E,3,0))</f>
        <v/>
      </c>
      <c r="K307" s="175" t="str">
        <f>IF(VLOOKUP(A307,'Aux - pivots1'!$A:$E,4,0)=0, "",VLOOKUP(A307,'Aux - pivots1'!$A:$E,4,0))</f>
        <v/>
      </c>
      <c r="L307" s="175" t="str">
        <f>IF(VLOOKUP(A307,'Aux - pivots1'!$A:$E,5,0)=0, "",VLOOKUP(A307,'Aux - pivots1'!$A:$E,5,0))</f>
        <v/>
      </c>
      <c r="M307" s="202"/>
    </row>
    <row r="308" spans="1:13" ht="16.2">
      <c r="A308" s="31" t="str">
        <f t="shared" si="7"/>
        <v>modesg_inp_emss_sciborigem_scp1</v>
      </c>
      <c r="B308" s="162" t="s">
        <v>28</v>
      </c>
      <c r="C308" s="157" t="s">
        <v>178</v>
      </c>
      <c r="D308" s="153" t="s">
        <v>40</v>
      </c>
      <c r="E308" s="154" t="s">
        <v>210</v>
      </c>
      <c r="F308" s="153" t="s">
        <v>282</v>
      </c>
      <c r="G308" s="155" t="str">
        <f>VLOOKUP(A308,Plano_V3!$A$27:$G$583,7,0)</f>
        <v>1. Concluído</v>
      </c>
      <c r="H308" s="155" t="s">
        <v>477</v>
      </c>
      <c r="I308" s="179"/>
      <c r="J308" s="175" t="str">
        <f>IF(VLOOKUP(A308,'Aux - pivots1'!$A:$E,3,0)=0, "",VLOOKUP(A308,'Aux - pivots1'!$A:$E,3,0))</f>
        <v/>
      </c>
      <c r="K308" s="175" t="str">
        <f>IF(VLOOKUP(A308,'Aux - pivots1'!$A:$E,4,0)=0, "",VLOOKUP(A308,'Aux - pivots1'!$A:$E,4,0))</f>
        <v/>
      </c>
      <c r="L308" s="175" t="str">
        <f>IF(VLOOKUP(A308,'Aux - pivots1'!$A:$E,5,0)=0, "",VLOOKUP(A308,'Aux - pivots1'!$A:$E,5,0))</f>
        <v/>
      </c>
      <c r="M308" s="202"/>
    </row>
    <row r="309" spans="1:13" ht="16.2">
      <c r="A309" s="31" t="str">
        <f t="shared" si="7"/>
        <v>modesg_inp_emss_sciborigem_scp2</v>
      </c>
      <c r="B309" s="162" t="s">
        <v>28</v>
      </c>
      <c r="C309" s="157" t="s">
        <v>178</v>
      </c>
      <c r="D309" s="153" t="s">
        <v>40</v>
      </c>
      <c r="E309" s="154" t="s">
        <v>210</v>
      </c>
      <c r="F309" s="153" t="s">
        <v>283</v>
      </c>
      <c r="G309" s="155" t="str">
        <f>VLOOKUP(A309,Plano_V3!$A$27:$G$583,7,0)</f>
        <v>1. Concluído</v>
      </c>
      <c r="H309" s="155" t="s">
        <v>477</v>
      </c>
      <c r="I309" s="179"/>
      <c r="J309" s="175" t="str">
        <f>IF(VLOOKUP(A309,'Aux - pivots1'!$A:$E,3,0)=0, "",VLOOKUP(A309,'Aux - pivots1'!$A:$E,3,0))</f>
        <v/>
      </c>
      <c r="K309" s="175" t="str">
        <f>IF(VLOOKUP(A309,'Aux - pivots1'!$A:$E,4,0)=0, "",VLOOKUP(A309,'Aux - pivots1'!$A:$E,4,0))</f>
        <v/>
      </c>
      <c r="L309" s="175" t="str">
        <f>IF(VLOOKUP(A309,'Aux - pivots1'!$A:$E,5,0)=0, "",VLOOKUP(A309,'Aux - pivots1'!$A:$E,5,0))</f>
        <v/>
      </c>
      <c r="M309" s="202"/>
    </row>
    <row r="310" spans="1:13" ht="16.2">
      <c r="A310" s="31" t="str">
        <f t="shared" si="7"/>
        <v>modesg_inp_emss_sciborigem_scp3</v>
      </c>
      <c r="B310" s="162" t="s">
        <v>28</v>
      </c>
      <c r="C310" s="157" t="s">
        <v>178</v>
      </c>
      <c r="D310" s="153" t="s">
        <v>40</v>
      </c>
      <c r="E310" s="154" t="s">
        <v>210</v>
      </c>
      <c r="F310" s="153" t="s">
        <v>284</v>
      </c>
      <c r="G310" s="155" t="str">
        <f>VLOOKUP(A310,Plano_V3!$A$27:$G$583,7,0)</f>
        <v>1. Concluído</v>
      </c>
      <c r="H310" s="155" t="s">
        <v>477</v>
      </c>
      <c r="I310" s="179"/>
      <c r="J310" s="175" t="str">
        <f>IF(VLOOKUP(A310,'Aux - pivots1'!$A:$E,3,0)=0, "",VLOOKUP(A310,'Aux - pivots1'!$A:$E,3,0))</f>
        <v/>
      </c>
      <c r="K310" s="175" t="str">
        <f>IF(VLOOKUP(A310,'Aux - pivots1'!$A:$E,4,0)=0, "",VLOOKUP(A310,'Aux - pivots1'!$A:$E,4,0))</f>
        <v/>
      </c>
      <c r="L310" s="175" t="str">
        <f>IF(VLOOKUP(A310,'Aux - pivots1'!$A:$E,5,0)=0, "",VLOOKUP(A310,'Aux - pivots1'!$A:$E,5,0))</f>
        <v/>
      </c>
      <c r="M310" s="202"/>
    </row>
    <row r="311" spans="1:13" ht="16.2">
      <c r="A311" s="31" t="str">
        <f t="shared" si="7"/>
        <v>modesg_inp_emss_scibano_info</v>
      </c>
      <c r="B311" s="162" t="s">
        <v>28</v>
      </c>
      <c r="C311" s="157" t="s">
        <v>178</v>
      </c>
      <c r="D311" s="153" t="s">
        <v>40</v>
      </c>
      <c r="E311" s="154" t="s">
        <v>210</v>
      </c>
      <c r="F311" s="153" t="s">
        <v>285</v>
      </c>
      <c r="G311" s="155" t="str">
        <f>VLOOKUP(A311,Plano_V3!$A$27:$G$583,7,0)</f>
        <v>1. Concluído</v>
      </c>
      <c r="H311" s="155" t="s">
        <v>477</v>
      </c>
      <c r="I311" s="179"/>
      <c r="J311" s="175" t="str">
        <f>IF(VLOOKUP(A311,'Aux - pivots1'!$A:$E,3,0)=0, "",VLOOKUP(A311,'Aux - pivots1'!$A:$E,3,0))</f>
        <v/>
      </c>
      <c r="K311" s="175" t="str">
        <f>IF(VLOOKUP(A311,'Aux - pivots1'!$A:$E,4,0)=0, "",VLOOKUP(A311,'Aux - pivots1'!$A:$E,4,0))</f>
        <v/>
      </c>
      <c r="L311" s="175" t="str">
        <f>IF(VLOOKUP(A311,'Aux - pivots1'!$A:$E,5,0)=0, "",VLOOKUP(A311,'Aux - pivots1'!$A:$E,5,0))</f>
        <v/>
      </c>
      <c r="M311" s="202"/>
    </row>
    <row r="312" spans="1:13" ht="16.2">
      <c r="A312" s="31" t="str">
        <f t="shared" si="7"/>
        <v>modesg_inp_emss_scibdivida_total</v>
      </c>
      <c r="B312" s="162" t="s">
        <v>28</v>
      </c>
      <c r="C312" s="157" t="s">
        <v>178</v>
      </c>
      <c r="D312" s="153" t="s">
        <v>40</v>
      </c>
      <c r="E312" s="154" t="s">
        <v>210</v>
      </c>
      <c r="F312" s="153" t="s">
        <v>286</v>
      </c>
      <c r="G312" s="155" t="str">
        <f>VLOOKUP(A312,Plano_V3!$A$27:$G$583,7,0)</f>
        <v>1. Concluído</v>
      </c>
      <c r="H312" s="155" t="s">
        <v>477</v>
      </c>
      <c r="I312" s="179"/>
      <c r="J312" s="175" t="str">
        <f>IF(VLOOKUP(A312,'Aux - pivots1'!$A:$E,3,0)=0, "",VLOOKUP(A312,'Aux - pivots1'!$A:$E,3,0))</f>
        <v/>
      </c>
      <c r="K312" s="175" t="str">
        <f>IF(VLOOKUP(A312,'Aux - pivots1'!$A:$E,4,0)=0, "",VLOOKUP(A312,'Aux - pivots1'!$A:$E,4,0))</f>
        <v/>
      </c>
      <c r="L312" s="175" t="str">
        <f>IF(VLOOKUP(A312,'Aux - pivots1'!$A:$E,5,0)=0, "",VLOOKUP(A312,'Aux - pivots1'!$A:$E,5,0))</f>
        <v/>
      </c>
      <c r="M312" s="202"/>
    </row>
    <row r="313" spans="1:13" ht="16.2">
      <c r="A313" s="31" t="str">
        <f t="shared" si="7"/>
        <v>modesg_inp_emss_scibcapital_proprio</v>
      </c>
      <c r="B313" s="162" t="s">
        <v>28</v>
      </c>
      <c r="C313" s="157" t="s">
        <v>178</v>
      </c>
      <c r="D313" s="153" t="s">
        <v>40</v>
      </c>
      <c r="E313" s="154" t="s">
        <v>210</v>
      </c>
      <c r="F313" s="153" t="s">
        <v>287</v>
      </c>
      <c r="G313" s="155" t="str">
        <f>VLOOKUP(A313,Plano_V3!$A$27:$G$583,7,0)</f>
        <v>1. Concluído</v>
      </c>
      <c r="H313" s="155" t="s">
        <v>477</v>
      </c>
      <c r="I313" s="179"/>
      <c r="J313" s="175" t="str">
        <f>IF(VLOOKUP(A313,'Aux - pivots1'!$A:$E,3,0)=0, "",VLOOKUP(A313,'Aux - pivots1'!$A:$E,3,0))</f>
        <v/>
      </c>
      <c r="K313" s="175" t="str">
        <f>IF(VLOOKUP(A313,'Aux - pivots1'!$A:$E,4,0)=0, "",VLOOKUP(A313,'Aux - pivots1'!$A:$E,4,0))</f>
        <v/>
      </c>
      <c r="L313" s="175" t="str">
        <f>IF(VLOOKUP(A313,'Aux - pivots1'!$A:$E,5,0)=0, "",VLOOKUP(A313,'Aux - pivots1'!$A:$E,5,0))</f>
        <v/>
      </c>
      <c r="M313" s="202"/>
    </row>
    <row r="314" spans="1:13" ht="16.2">
      <c r="A314" s="31" t="str">
        <f t="shared" si="7"/>
        <v>modesg_inp_emss_naceref_date</v>
      </c>
      <c r="B314" s="162" t="s">
        <v>28</v>
      </c>
      <c r="C314" s="157" t="s">
        <v>178</v>
      </c>
      <c r="D314" s="153" t="s">
        <v>40</v>
      </c>
      <c r="E314" s="154" t="s">
        <v>211</v>
      </c>
      <c r="F314" s="153" t="s">
        <v>73</v>
      </c>
      <c r="G314" s="155" t="str">
        <f>VLOOKUP(A314,Plano_V3!$A$27:$G$583,7,0)</f>
        <v>1. Concluído</v>
      </c>
      <c r="H314" s="155" t="s">
        <v>477</v>
      </c>
      <c r="I314" s="164"/>
      <c r="J314" s="175" t="str">
        <f>IF(VLOOKUP(A314,'Aux - pivots1'!$A:$E,3,0)=0, "",VLOOKUP(A314,'Aux - pivots1'!$A:$E,3,0))</f>
        <v/>
      </c>
      <c r="K314" s="175" t="str">
        <f>IF(VLOOKUP(A314,'Aux - pivots1'!$A:$E,4,0)=0, "",VLOOKUP(A314,'Aux - pivots1'!$A:$E,4,0))</f>
        <v/>
      </c>
      <c r="L314" s="175" t="str">
        <f>IF(VLOOKUP(A314,'Aux - pivots1'!$A:$E,5,0)=0, "",VLOOKUP(A314,'Aux - pivots1'!$A:$E,5,0))</f>
        <v/>
      </c>
      <c r="M314" s="202"/>
    </row>
    <row r="315" spans="1:13" ht="16.2">
      <c r="A315" s="31" t="str">
        <f t="shared" si="7"/>
        <v>modesg_inp_emss_naceano</v>
      </c>
      <c r="B315" s="162" t="s">
        <v>28</v>
      </c>
      <c r="C315" s="157" t="s">
        <v>178</v>
      </c>
      <c r="D315" s="153" t="s">
        <v>40</v>
      </c>
      <c r="E315" s="154" t="s">
        <v>211</v>
      </c>
      <c r="F315" s="153" t="s">
        <v>288</v>
      </c>
      <c r="G315" s="155" t="str">
        <f>VLOOKUP(A315,Plano_V3!$A$27:$G$583,7,0)</f>
        <v>1. Concluído</v>
      </c>
      <c r="H315" s="155" t="s">
        <v>477</v>
      </c>
      <c r="I315" s="165" t="s">
        <v>503</v>
      </c>
      <c r="J315" s="175" t="str">
        <f>IF(VLOOKUP(A315,'Aux - pivots1'!$A:$E,3,0)=0, "",VLOOKUP(A315,'Aux - pivots1'!$A:$E,3,0))</f>
        <v/>
      </c>
      <c r="K315" s="175" t="str">
        <f>IF(VLOOKUP(A315,'Aux - pivots1'!$A:$E,4,0)=0, "",VLOOKUP(A315,'Aux - pivots1'!$A:$E,4,0))</f>
        <v/>
      </c>
      <c r="L315" s="175" t="str">
        <f>IF(VLOOKUP(A315,'Aux - pivots1'!$A:$E,5,0)=0, "",VLOOKUP(A315,'Aux - pivots1'!$A:$E,5,0))</f>
        <v/>
      </c>
      <c r="M315" s="202"/>
    </row>
    <row r="316" spans="1:13" ht="16.2">
      <c r="A316" s="31" t="str">
        <f t="shared" si="7"/>
        <v>modesg_inp_emss_nacenome_pais</v>
      </c>
      <c r="B316" s="162" t="s">
        <v>28</v>
      </c>
      <c r="C316" s="157" t="s">
        <v>178</v>
      </c>
      <c r="D316" s="153" t="s">
        <v>40</v>
      </c>
      <c r="E316" s="154" t="s">
        <v>211</v>
      </c>
      <c r="F316" s="153" t="s">
        <v>214</v>
      </c>
      <c r="G316" s="155" t="str">
        <f>VLOOKUP(A316,Plano_V3!$A$27:$G$583,7,0)</f>
        <v>1. Concluído</v>
      </c>
      <c r="H316" s="155" t="s">
        <v>477</v>
      </c>
      <c r="I316" s="165" t="s">
        <v>503</v>
      </c>
      <c r="J316" s="175" t="str">
        <f>IF(VLOOKUP(A316,'Aux - pivots1'!$A:$E,3,0)=0, "",VLOOKUP(A316,'Aux - pivots1'!$A:$E,3,0))</f>
        <v/>
      </c>
      <c r="K316" s="175" t="str">
        <f>IF(VLOOKUP(A316,'Aux - pivots1'!$A:$E,4,0)=0, "",VLOOKUP(A316,'Aux - pivots1'!$A:$E,4,0))</f>
        <v/>
      </c>
      <c r="L316" s="175" t="str">
        <f>IF(VLOOKUP(A316,'Aux - pivots1'!$A:$E,5,0)=0, "",VLOOKUP(A316,'Aux - pivots1'!$A:$E,5,0))</f>
        <v/>
      </c>
      <c r="M316" s="202"/>
    </row>
    <row r="317" spans="1:13" ht="16.2">
      <c r="A317" s="31" t="str">
        <f t="shared" si="7"/>
        <v>modesg_inp_emss_nacecod_nace_esg</v>
      </c>
      <c r="B317" s="162" t="s">
        <v>28</v>
      </c>
      <c r="C317" s="157" t="s">
        <v>178</v>
      </c>
      <c r="D317" s="153" t="s">
        <v>40</v>
      </c>
      <c r="E317" s="154" t="s">
        <v>211</v>
      </c>
      <c r="F317" s="153" t="s">
        <v>272</v>
      </c>
      <c r="G317" s="155" t="str">
        <f>VLOOKUP(A317,Plano_V3!$A$27:$G$583,7,0)</f>
        <v>1. Concluído</v>
      </c>
      <c r="H317" s="155" t="s">
        <v>477</v>
      </c>
      <c r="I317" s="164"/>
      <c r="J317" s="175" t="str">
        <f>IF(VLOOKUP(A317,'Aux - pivots1'!$A:$E,3,0)=0, "",VLOOKUP(A317,'Aux - pivots1'!$A:$E,3,0))</f>
        <v/>
      </c>
      <c r="K317" s="175" t="str">
        <f>IF(VLOOKUP(A317,'Aux - pivots1'!$A:$E,4,0)=0, "",VLOOKUP(A317,'Aux - pivots1'!$A:$E,4,0))</f>
        <v/>
      </c>
      <c r="L317" s="175" t="str">
        <f>IF(VLOOKUP(A317,'Aux - pivots1'!$A:$E,5,0)=0, "",VLOOKUP(A317,'Aux - pivots1'!$A:$E,5,0))</f>
        <v/>
      </c>
      <c r="M317" s="202"/>
    </row>
    <row r="318" spans="1:13" ht="16.2">
      <c r="A318" s="31" t="str">
        <f t="shared" si="7"/>
        <v>modesg_inp_emss_nacecod_class_indust</v>
      </c>
      <c r="B318" s="162" t="s">
        <v>28</v>
      </c>
      <c r="C318" s="157" t="s">
        <v>178</v>
      </c>
      <c r="D318" s="153" t="s">
        <v>40</v>
      </c>
      <c r="E318" s="154" t="s">
        <v>211</v>
      </c>
      <c r="F318" s="153" t="s">
        <v>289</v>
      </c>
      <c r="G318" s="155" t="str">
        <f>VLOOKUP(A318,Plano_V3!$A$27:$G$583,7,0)</f>
        <v>1. Concluído</v>
      </c>
      <c r="H318" s="155" t="s">
        <v>477</v>
      </c>
      <c r="I318" s="164"/>
      <c r="J318" s="175" t="str">
        <f>IF(VLOOKUP(A318,'Aux - pivots1'!$A:$E,3,0)=0, "",VLOOKUP(A318,'Aux - pivots1'!$A:$E,3,0))</f>
        <v/>
      </c>
      <c r="K318" s="175" t="str">
        <f>IF(VLOOKUP(A318,'Aux - pivots1'!$A:$E,4,0)=0, "",VLOOKUP(A318,'Aux - pivots1'!$A:$E,4,0))</f>
        <v/>
      </c>
      <c r="L318" s="175" t="str">
        <f>IF(VLOOKUP(A318,'Aux - pivots1'!$A:$E,5,0)=0, "",VLOOKUP(A318,'Aux - pivots1'!$A:$E,5,0))</f>
        <v/>
      </c>
      <c r="M318" s="202"/>
    </row>
    <row r="319" spans="1:13" ht="16.2">
      <c r="A319" s="31" t="str">
        <f t="shared" si="7"/>
        <v>modesg_inp_emss_nacenivel_classificacao_1</v>
      </c>
      <c r="B319" s="162" t="s">
        <v>28</v>
      </c>
      <c r="C319" s="157" t="s">
        <v>178</v>
      </c>
      <c r="D319" s="153" t="s">
        <v>40</v>
      </c>
      <c r="E319" s="154" t="s">
        <v>211</v>
      </c>
      <c r="F319" s="153" t="s">
        <v>1826</v>
      </c>
      <c r="G319" s="155" t="str">
        <f>VLOOKUP(A319,Plano_V3!$A$27:$G$583,7,0)</f>
        <v>1. Concluído</v>
      </c>
      <c r="H319" s="155" t="s">
        <v>477</v>
      </c>
      <c r="I319" s="165" t="s">
        <v>503</v>
      </c>
      <c r="J319" s="175" t="str">
        <f>IF(VLOOKUP(A319,'Aux - pivots1'!$A:$E,3,0)=0, "",VLOOKUP(A319,'Aux - pivots1'!$A:$E,3,0))</f>
        <v/>
      </c>
      <c r="K319" s="175" t="str">
        <f>IF(VLOOKUP(A319,'Aux - pivots1'!$A:$E,4,0)=0, "",VLOOKUP(A319,'Aux - pivots1'!$A:$E,4,0))</f>
        <v/>
      </c>
      <c r="L319" s="175" t="str">
        <f>IF(VLOOKUP(A319,'Aux - pivots1'!$A:$E,5,0)=0, "",VLOOKUP(A319,'Aux - pivots1'!$A:$E,5,0))</f>
        <v/>
      </c>
      <c r="M319" s="202"/>
    </row>
    <row r="320" spans="1:13" ht="16.2">
      <c r="A320" s="31" t="str">
        <f t="shared" si="7"/>
        <v>modesg_inp_emss_naceclasse_ativo</v>
      </c>
      <c r="B320" s="162" t="s">
        <v>28</v>
      </c>
      <c r="C320" s="157" t="s">
        <v>178</v>
      </c>
      <c r="D320" s="153" t="s">
        <v>40</v>
      </c>
      <c r="E320" s="154" t="s">
        <v>211</v>
      </c>
      <c r="F320" s="153" t="s">
        <v>1827</v>
      </c>
      <c r="G320" s="155" t="str">
        <f>VLOOKUP(A320,Plano_V3!$A$27:$G$583,7,0)</f>
        <v>1. Concluído</v>
      </c>
      <c r="H320" s="155" t="s">
        <v>477</v>
      </c>
      <c r="I320" s="165" t="s">
        <v>503</v>
      </c>
      <c r="J320" s="175" t="str">
        <f>IF(VLOOKUP(A320,'Aux - pivots1'!$A:$E,3,0)=0, "",VLOOKUP(A320,'Aux - pivots1'!$A:$E,3,0))</f>
        <v/>
      </c>
      <c r="K320" s="175" t="str">
        <f>IF(VLOOKUP(A320,'Aux - pivots1'!$A:$E,4,0)=0, "",VLOOKUP(A320,'Aux - pivots1'!$A:$E,4,0))</f>
        <v/>
      </c>
      <c r="L320" s="175" t="str">
        <f>IF(VLOOKUP(A320,'Aux - pivots1'!$A:$E,5,0)=0, "",VLOOKUP(A320,'Aux - pivots1'!$A:$E,5,0))</f>
        <v/>
      </c>
      <c r="M320" s="202"/>
    </row>
    <row r="321" spans="1:13" ht="16.2">
      <c r="A321" s="31" t="str">
        <f t="shared" si="7"/>
        <v>modesg_inp_emss_naceopcao_metodologia</v>
      </c>
      <c r="B321" s="162" t="s">
        <v>28</v>
      </c>
      <c r="C321" s="157" t="s">
        <v>178</v>
      </c>
      <c r="D321" s="153" t="s">
        <v>40</v>
      </c>
      <c r="E321" s="154" t="s">
        <v>211</v>
      </c>
      <c r="F321" s="153" t="s">
        <v>1828</v>
      </c>
      <c r="G321" s="155" t="str">
        <f>VLOOKUP(A321,Plano_V3!$A$27:$G$583,7,0)</f>
        <v>1. Concluído</v>
      </c>
      <c r="H321" s="155" t="s">
        <v>477</v>
      </c>
      <c r="I321" s="165" t="s">
        <v>503</v>
      </c>
      <c r="J321" s="175" t="str">
        <f>IF(VLOOKUP(A321,'Aux - pivots1'!$A:$E,3,0)=0, "",VLOOKUP(A321,'Aux - pivots1'!$A:$E,3,0))</f>
        <v/>
      </c>
      <c r="K321" s="175" t="str">
        <f>IF(VLOOKUP(A321,'Aux - pivots1'!$A:$E,4,0)=0, "",VLOOKUP(A321,'Aux - pivots1'!$A:$E,4,0))</f>
        <v/>
      </c>
      <c r="L321" s="175" t="str">
        <f>IF(VLOOKUP(A321,'Aux - pivots1'!$A:$E,5,0)=0, "",VLOOKUP(A321,'Aux - pivots1'!$A:$E,5,0))</f>
        <v/>
      </c>
      <c r="M321" s="202"/>
    </row>
    <row r="322" spans="1:13" ht="16.2">
      <c r="A322" s="31" t="str">
        <f t="shared" si="7"/>
        <v>modesg_inp_emss_naceunidade_funcional</v>
      </c>
      <c r="B322" s="162" t="s">
        <v>28</v>
      </c>
      <c r="C322" s="157" t="s">
        <v>178</v>
      </c>
      <c r="D322" s="153" t="s">
        <v>40</v>
      </c>
      <c r="E322" s="154" t="s">
        <v>211</v>
      </c>
      <c r="F322" s="153" t="s">
        <v>222</v>
      </c>
      <c r="G322" s="155" t="str">
        <f>VLOOKUP(A322,Plano_V3!$A$27:$G$583,7,0)</f>
        <v>1. Concluído</v>
      </c>
      <c r="H322" s="155" t="s">
        <v>477</v>
      </c>
      <c r="I322" s="164"/>
      <c r="J322" s="175" t="str">
        <f>IF(VLOOKUP(A322,'Aux - pivots1'!$A:$E,3,0)=0, "",VLOOKUP(A322,'Aux - pivots1'!$A:$E,3,0))</f>
        <v/>
      </c>
      <c r="K322" s="175" t="str">
        <f>IF(VLOOKUP(A322,'Aux - pivots1'!$A:$E,4,0)=0, "",VLOOKUP(A322,'Aux - pivots1'!$A:$E,4,0))</f>
        <v/>
      </c>
      <c r="L322" s="175" t="str">
        <f>IF(VLOOKUP(A322,'Aux - pivots1'!$A:$E,5,0)=0, "",VLOOKUP(A322,'Aux - pivots1'!$A:$E,5,0))</f>
        <v/>
      </c>
      <c r="M322" s="202"/>
    </row>
    <row r="323" spans="1:13" ht="16.2">
      <c r="A323" s="31" t="str">
        <f t="shared" si="7"/>
        <v>modesg_inp_emss_naceunidades_fator_de_emissao</v>
      </c>
      <c r="B323" s="162" t="s">
        <v>28</v>
      </c>
      <c r="C323" s="157" t="s">
        <v>178</v>
      </c>
      <c r="D323" s="153" t="s">
        <v>40</v>
      </c>
      <c r="E323" s="154" t="s">
        <v>211</v>
      </c>
      <c r="F323" s="153" t="s">
        <v>293</v>
      </c>
      <c r="G323" s="155" t="str">
        <f>VLOOKUP(A323,Plano_V3!$A$27:$G$583,7,0)</f>
        <v>1. Concluído</v>
      </c>
      <c r="H323" s="155" t="s">
        <v>477</v>
      </c>
      <c r="I323" s="164"/>
      <c r="J323" s="175" t="str">
        <f>IF(VLOOKUP(A323,'Aux - pivots1'!$A:$E,3,0)=0, "",VLOOKUP(A323,'Aux - pivots1'!$A:$E,3,0))</f>
        <v/>
      </c>
      <c r="K323" s="175" t="str">
        <f>IF(VLOOKUP(A323,'Aux - pivots1'!$A:$E,4,0)=0, "",VLOOKUP(A323,'Aux - pivots1'!$A:$E,4,0))</f>
        <v/>
      </c>
      <c r="L323" s="175" t="str">
        <f>IF(VLOOKUP(A323,'Aux - pivots1'!$A:$E,5,0)=0, "",VLOOKUP(A323,'Aux - pivots1'!$A:$E,5,0))</f>
        <v/>
      </c>
      <c r="M323" s="202"/>
    </row>
    <row r="324" spans="1:13" ht="16.2">
      <c r="A324" s="31" t="str">
        <f t="shared" si="7"/>
        <v>modesg_inp_emss_nacescore_qualidade</v>
      </c>
      <c r="B324" s="162" t="s">
        <v>28</v>
      </c>
      <c r="C324" s="157" t="s">
        <v>178</v>
      </c>
      <c r="D324" s="153" t="s">
        <v>40</v>
      </c>
      <c r="E324" s="154" t="s">
        <v>211</v>
      </c>
      <c r="F324" s="153" t="s">
        <v>50</v>
      </c>
      <c r="G324" s="155" t="str">
        <f>VLOOKUP(A324,Plano_V3!$A$27:$G$583,7,0)</f>
        <v>1. Concluído</v>
      </c>
      <c r="H324" s="155" t="s">
        <v>477</v>
      </c>
      <c r="I324" s="164"/>
      <c r="J324" s="175" t="str">
        <f>IF(VLOOKUP(A324,'Aux - pivots1'!$A:$E,3,0)=0, "",VLOOKUP(A324,'Aux - pivots1'!$A:$E,3,0))</f>
        <v/>
      </c>
      <c r="K324" s="175" t="str">
        <f>IF(VLOOKUP(A324,'Aux - pivots1'!$A:$E,4,0)=0, "",VLOOKUP(A324,'Aux - pivots1'!$A:$E,4,0))</f>
        <v/>
      </c>
      <c r="L324" s="175" t="str">
        <f>IF(VLOOKUP(A324,'Aux - pivots1'!$A:$E,5,0)=0, "",VLOOKUP(A324,'Aux - pivots1'!$A:$E,5,0))</f>
        <v/>
      </c>
      <c r="M324" s="202"/>
    </row>
    <row r="325" spans="1:13" ht="16.2">
      <c r="A325" s="31" t="str">
        <f t="shared" si="7"/>
        <v>modesg_inp_emss_nacescp1_ftr_emss</v>
      </c>
      <c r="B325" s="162" t="s">
        <v>28</v>
      </c>
      <c r="C325" s="157" t="s">
        <v>178</v>
      </c>
      <c r="D325" s="153" t="s">
        <v>40</v>
      </c>
      <c r="E325" s="154" t="s">
        <v>211</v>
      </c>
      <c r="F325" s="153" t="s">
        <v>225</v>
      </c>
      <c r="G325" s="155" t="str">
        <f>VLOOKUP(A325,Plano_V3!$A$27:$G$583,7,0)</f>
        <v>1. Concluído</v>
      </c>
      <c r="H325" s="155" t="s">
        <v>477</v>
      </c>
      <c r="I325" s="164"/>
      <c r="J325" s="175" t="str">
        <f>IF(VLOOKUP(A325,'Aux - pivots1'!$A:$E,3,0)=0, "",VLOOKUP(A325,'Aux - pivots1'!$A:$E,3,0))</f>
        <v/>
      </c>
      <c r="K325" s="175" t="str">
        <f>IF(VLOOKUP(A325,'Aux - pivots1'!$A:$E,4,0)=0, "",VLOOKUP(A325,'Aux - pivots1'!$A:$E,4,0))</f>
        <v/>
      </c>
      <c r="L325" s="175" t="str">
        <f>IF(VLOOKUP(A325,'Aux - pivots1'!$A:$E,5,0)=0, "",VLOOKUP(A325,'Aux - pivots1'!$A:$E,5,0))</f>
        <v/>
      </c>
      <c r="M325" s="202"/>
    </row>
    <row r="326" spans="1:13" ht="16.2">
      <c r="A326" s="31" t="str">
        <f t="shared" si="7"/>
        <v>modesg_inp_emss_nacescp2_ftr_emss</v>
      </c>
      <c r="B326" s="162" t="s">
        <v>28</v>
      </c>
      <c r="C326" s="157" t="s">
        <v>178</v>
      </c>
      <c r="D326" s="153" t="s">
        <v>40</v>
      </c>
      <c r="E326" s="154" t="s">
        <v>211</v>
      </c>
      <c r="F326" s="153" t="s">
        <v>226</v>
      </c>
      <c r="G326" s="155" t="str">
        <f>VLOOKUP(A326,Plano_V3!$A$27:$G$583,7,0)</f>
        <v>1. Concluído</v>
      </c>
      <c r="H326" s="155" t="s">
        <v>477</v>
      </c>
      <c r="I326" s="164"/>
      <c r="J326" s="175" t="str">
        <f>IF(VLOOKUP(A326,'Aux - pivots1'!$A:$E,3,0)=0, "",VLOOKUP(A326,'Aux - pivots1'!$A:$E,3,0))</f>
        <v/>
      </c>
      <c r="K326" s="175" t="str">
        <f>IF(VLOOKUP(A326,'Aux - pivots1'!$A:$E,4,0)=0, "",VLOOKUP(A326,'Aux - pivots1'!$A:$E,4,0))</f>
        <v/>
      </c>
      <c r="L326" s="175" t="str">
        <f>IF(VLOOKUP(A326,'Aux - pivots1'!$A:$E,5,0)=0, "",VLOOKUP(A326,'Aux - pivots1'!$A:$E,5,0))</f>
        <v/>
      </c>
      <c r="M326" s="202"/>
    </row>
    <row r="327" spans="1:13" ht="16.2">
      <c r="A327" s="31" t="str">
        <f t="shared" si="7"/>
        <v>modesg_inp_emss_nacescp3_ftr_emss</v>
      </c>
      <c r="B327" s="162" t="s">
        <v>28</v>
      </c>
      <c r="C327" s="157" t="s">
        <v>178</v>
      </c>
      <c r="D327" s="153" t="s">
        <v>40</v>
      </c>
      <c r="E327" s="154" t="s">
        <v>211</v>
      </c>
      <c r="F327" s="153" t="s">
        <v>227</v>
      </c>
      <c r="G327" s="155" t="str">
        <f>VLOOKUP(A327,Plano_V3!$A$27:$G$583,7,0)</f>
        <v>1. Concluído</v>
      </c>
      <c r="H327" s="155" t="s">
        <v>477</v>
      </c>
      <c r="I327" s="164"/>
      <c r="J327" s="175" t="str">
        <f>IF(VLOOKUP(A327,'Aux - pivots1'!$A:$E,3,0)=0, "",VLOOKUP(A327,'Aux - pivots1'!$A:$E,3,0))</f>
        <v/>
      </c>
      <c r="K327" s="175" t="str">
        <f>IF(VLOOKUP(A327,'Aux - pivots1'!$A:$E,4,0)=0, "",VLOOKUP(A327,'Aux - pivots1'!$A:$E,4,0))</f>
        <v/>
      </c>
      <c r="L327" s="175" t="str">
        <f>IF(VLOOKUP(A327,'Aux - pivots1'!$A:$E,5,0)=0, "",VLOOKUP(A327,'Aux - pivots1'!$A:$E,5,0))</f>
        <v/>
      </c>
      <c r="M327" s="202"/>
    </row>
    <row r="328" spans="1:13" ht="16.2">
      <c r="A328" s="31" t="str">
        <f t="shared" si="7"/>
        <v>modesg_inp_emss_bens_imoveisref_date</v>
      </c>
      <c r="B328" s="162" t="s">
        <v>28</v>
      </c>
      <c r="C328" s="157" t="s">
        <v>178</v>
      </c>
      <c r="D328" s="153" t="s">
        <v>40</v>
      </c>
      <c r="E328" s="154" t="s">
        <v>212</v>
      </c>
      <c r="F328" s="153" t="s">
        <v>73</v>
      </c>
      <c r="G328" s="155" t="str">
        <f>VLOOKUP(A328,Plano_V3!$A$27:$G$583,7,0)</f>
        <v>1. Concluído</v>
      </c>
      <c r="H328" s="155" t="s">
        <v>477</v>
      </c>
      <c r="I328" s="164"/>
      <c r="J328" s="175" t="str">
        <f>IF(VLOOKUP(A328,'Aux - pivots1'!$A:$E,3,0)=0, "",VLOOKUP(A328,'Aux - pivots1'!$A:$E,3,0))</f>
        <v/>
      </c>
      <c r="K328" s="175">
        <f>IF(VLOOKUP(A328,'Aux - pivots1'!$A:$E,4,0)=0, "",VLOOKUP(A328,'Aux - pivots1'!$A:$E,4,0))</f>
        <v>45534</v>
      </c>
      <c r="L328" s="175">
        <f>IF(VLOOKUP(A328,'Aux - pivots1'!$A:$E,5,0)=0, "",VLOOKUP(A328,'Aux - pivots1'!$A:$E,5,0))</f>
        <v>45534</v>
      </c>
      <c r="M328" s="202"/>
    </row>
    <row r="329" spans="1:13" ht="16.2">
      <c r="A329" s="31" t="str">
        <f t="shared" si="7"/>
        <v>modesg_inp_emss_bens_imoveisnome_pais</v>
      </c>
      <c r="B329" s="162" t="s">
        <v>28</v>
      </c>
      <c r="C329" s="157" t="s">
        <v>178</v>
      </c>
      <c r="D329" s="153" t="s">
        <v>40</v>
      </c>
      <c r="E329" s="154" t="s">
        <v>212</v>
      </c>
      <c r="F329" s="153" t="s">
        <v>214</v>
      </c>
      <c r="G329" s="155" t="str">
        <f>VLOOKUP(A329,Plano_V3!$A$27:$G$583,7,0)</f>
        <v>1. Concluído</v>
      </c>
      <c r="H329" s="155" t="s">
        <v>477</v>
      </c>
      <c r="I329" s="164"/>
      <c r="J329" s="175" t="str">
        <f>IF(VLOOKUP(A329,'Aux - pivots1'!$A:$E,3,0)=0, "",VLOOKUP(A329,'Aux - pivots1'!$A:$E,3,0))</f>
        <v/>
      </c>
      <c r="K329" s="175">
        <f>IF(VLOOKUP(A329,'Aux - pivots1'!$A:$E,4,0)=0, "",VLOOKUP(A329,'Aux - pivots1'!$A:$E,4,0))</f>
        <v>45534</v>
      </c>
      <c r="L329" s="175">
        <f>IF(VLOOKUP(A329,'Aux - pivots1'!$A:$E,5,0)=0, "",VLOOKUP(A329,'Aux - pivots1'!$A:$E,5,0))</f>
        <v>45534</v>
      </c>
      <c r="M329" s="202"/>
    </row>
    <row r="330" spans="1:13" ht="16.2">
      <c r="A330" s="31" t="str">
        <f t="shared" si="7"/>
        <v>modesg_inp_emss_bens_imoveisnome_estado</v>
      </c>
      <c r="B330" s="162" t="s">
        <v>28</v>
      </c>
      <c r="C330" s="157" t="s">
        <v>178</v>
      </c>
      <c r="D330" s="153" t="s">
        <v>40</v>
      </c>
      <c r="E330" s="154" t="s">
        <v>212</v>
      </c>
      <c r="F330" s="153" t="s">
        <v>215</v>
      </c>
      <c r="G330" s="155" t="str">
        <f>VLOOKUP(A330,Plano_V3!$A$27:$G$583,7,0)</f>
        <v>1. Concluído</v>
      </c>
      <c r="H330" s="155" t="s">
        <v>477</v>
      </c>
      <c r="I330" s="164"/>
      <c r="J330" s="175" t="str">
        <f>IF(VLOOKUP(A330,'Aux - pivots1'!$A:$E,3,0)=0, "",VLOOKUP(A330,'Aux - pivots1'!$A:$E,3,0))</f>
        <v/>
      </c>
      <c r="K330" s="175">
        <f>IF(VLOOKUP(A330,'Aux - pivots1'!$A:$E,4,0)=0, "",VLOOKUP(A330,'Aux - pivots1'!$A:$E,4,0))</f>
        <v>45534</v>
      </c>
      <c r="L330" s="175">
        <f>IF(VLOOKUP(A330,'Aux - pivots1'!$A:$E,5,0)=0, "",VLOOKUP(A330,'Aux - pivots1'!$A:$E,5,0))</f>
        <v>45534</v>
      </c>
      <c r="M330" s="202"/>
    </row>
    <row r="331" spans="1:13" ht="16.2">
      <c r="A331" s="31" t="str">
        <f t="shared" si="7"/>
        <v>modesg_inp_emss_bens_imoveisclasse_ativo</v>
      </c>
      <c r="B331" s="162" t="s">
        <v>28</v>
      </c>
      <c r="C331" s="157" t="s">
        <v>178</v>
      </c>
      <c r="D331" s="153" t="s">
        <v>40</v>
      </c>
      <c r="E331" s="154" t="s">
        <v>212</v>
      </c>
      <c r="F331" s="153" t="s">
        <v>1827</v>
      </c>
      <c r="G331" s="155" t="str">
        <f>VLOOKUP(A331,Plano_V3!$A$27:$G$583,7,0)</f>
        <v>1. Concluído</v>
      </c>
      <c r="H331" s="155" t="s">
        <v>477</v>
      </c>
      <c r="I331" s="165" t="s">
        <v>503</v>
      </c>
      <c r="J331" s="175" t="str">
        <f>IF(VLOOKUP(A331,'Aux - pivots1'!$A:$E,3,0)=0, "",VLOOKUP(A331,'Aux - pivots1'!$A:$E,3,0))</f>
        <v/>
      </c>
      <c r="K331" s="175">
        <f>IF(VLOOKUP(A331,'Aux - pivots1'!$A:$E,4,0)=0, "",VLOOKUP(A331,'Aux - pivots1'!$A:$E,4,0))</f>
        <v>45534</v>
      </c>
      <c r="L331" s="175">
        <f>IF(VLOOKUP(A331,'Aux - pivots1'!$A:$E,5,0)=0, "",VLOOKUP(A331,'Aux - pivots1'!$A:$E,5,0))</f>
        <v>45534</v>
      </c>
      <c r="M331" s="202"/>
    </row>
    <row r="332" spans="1:13" ht="16.2">
      <c r="A332" s="31" t="str">
        <f t="shared" si="7"/>
        <v>modesg_inp_emss_bens_imoveistipo_fator_emissao</v>
      </c>
      <c r="B332" s="162" t="s">
        <v>28</v>
      </c>
      <c r="C332" s="157" t="s">
        <v>178</v>
      </c>
      <c r="D332" s="153" t="s">
        <v>40</v>
      </c>
      <c r="E332" s="154" t="s">
        <v>212</v>
      </c>
      <c r="F332" s="153" t="s">
        <v>1225</v>
      </c>
      <c r="G332" s="155" t="str">
        <f>VLOOKUP(A332,Plano_V3!$A$27:$G$583,7,0)</f>
        <v>1. Concluído</v>
      </c>
      <c r="H332" s="155" t="s">
        <v>477</v>
      </c>
      <c r="I332" s="165" t="s">
        <v>503</v>
      </c>
      <c r="J332" s="175" t="str">
        <f>IF(VLOOKUP(A332,'Aux - pivots1'!$A:$E,3,0)=0, "",VLOOKUP(A332,'Aux - pivots1'!$A:$E,3,0))</f>
        <v/>
      </c>
      <c r="K332" s="175">
        <f>IF(VLOOKUP(A332,'Aux - pivots1'!$A:$E,4,0)=0, "",VLOOKUP(A332,'Aux - pivots1'!$A:$E,4,0))</f>
        <v>45534</v>
      </c>
      <c r="L332" s="175">
        <f>IF(VLOOKUP(A332,'Aux - pivots1'!$A:$E,5,0)=0, "",VLOOKUP(A332,'Aux - pivots1'!$A:$E,5,0))</f>
        <v>45534</v>
      </c>
      <c r="M332" s="202"/>
    </row>
    <row r="333" spans="1:13" ht="16.2">
      <c r="A333" s="31" t="str">
        <f t="shared" si="7"/>
        <v>modesg_inp_emss_bens_imoveisregiao</v>
      </c>
      <c r="B333" s="162" t="s">
        <v>28</v>
      </c>
      <c r="C333" s="157" t="s">
        <v>178</v>
      </c>
      <c r="D333" s="153" t="s">
        <v>40</v>
      </c>
      <c r="E333" s="154" t="s">
        <v>212</v>
      </c>
      <c r="F333" s="153" t="s">
        <v>1854</v>
      </c>
      <c r="G333" s="155" t="str">
        <f>VLOOKUP(A333,Plano_V3!$A$27:$G$583,7,0)</f>
        <v>1. Concluído</v>
      </c>
      <c r="H333" s="155" t="s">
        <v>477</v>
      </c>
      <c r="I333" s="165" t="s">
        <v>503</v>
      </c>
      <c r="J333" s="175" t="str">
        <f>IF(VLOOKUP(A333,'Aux - pivots1'!$A:$E,3,0)=0, "",VLOOKUP(A333,'Aux - pivots1'!$A:$E,3,0))</f>
        <v/>
      </c>
      <c r="K333" s="175">
        <f>IF(VLOOKUP(A333,'Aux - pivots1'!$A:$E,4,0)=0, "",VLOOKUP(A333,'Aux - pivots1'!$A:$E,4,0))</f>
        <v>45534</v>
      </c>
      <c r="L333" s="175">
        <f>IF(VLOOKUP(A333,'Aux - pivots1'!$A:$E,5,0)=0, "",VLOOKUP(A333,'Aux - pivots1'!$A:$E,5,0))</f>
        <v>45534</v>
      </c>
      <c r="M333" s="202"/>
    </row>
    <row r="334" spans="1:13" ht="16.2">
      <c r="A334" s="31" t="str">
        <f t="shared" si="7"/>
        <v>modesg_inp_emss_bens_imoveistipo_bem</v>
      </c>
      <c r="B334" s="162" t="s">
        <v>28</v>
      </c>
      <c r="C334" s="157" t="s">
        <v>178</v>
      </c>
      <c r="D334" s="153" t="s">
        <v>40</v>
      </c>
      <c r="E334" s="154" t="s">
        <v>212</v>
      </c>
      <c r="F334" s="153" t="s">
        <v>295</v>
      </c>
      <c r="G334" s="155" t="str">
        <f>VLOOKUP(A334,Plano_V3!$A$27:$G$583,7,0)</f>
        <v>1. Concluído</v>
      </c>
      <c r="H334" s="155" t="s">
        <v>477</v>
      </c>
      <c r="I334" s="164"/>
      <c r="J334" s="175" t="str">
        <f>IF(VLOOKUP(A334,'Aux - pivots1'!$A:$E,3,0)=0, "",VLOOKUP(A334,'Aux - pivots1'!$A:$E,3,0))</f>
        <v/>
      </c>
      <c r="K334" s="175">
        <f>IF(VLOOKUP(A334,'Aux - pivots1'!$A:$E,4,0)=0, "",VLOOKUP(A334,'Aux - pivots1'!$A:$E,4,0))</f>
        <v>45534</v>
      </c>
      <c r="L334" s="175">
        <f>IF(VLOOKUP(A334,'Aux - pivots1'!$A:$E,5,0)=0, "",VLOOKUP(A334,'Aux - pivots1'!$A:$E,5,0))</f>
        <v>45534</v>
      </c>
      <c r="M334" s="202"/>
    </row>
    <row r="335" spans="1:13" ht="16.2">
      <c r="A335" s="31" t="str">
        <f t="shared" si="7"/>
        <v>modesg_inp_emss_bens_imoveistipo_finalidade_bem</v>
      </c>
      <c r="B335" s="162" t="s">
        <v>28</v>
      </c>
      <c r="C335" s="157" t="s">
        <v>178</v>
      </c>
      <c r="D335" s="153" t="s">
        <v>40</v>
      </c>
      <c r="E335" s="154" t="s">
        <v>212</v>
      </c>
      <c r="F335" s="153" t="s">
        <v>296</v>
      </c>
      <c r="G335" s="155" t="str">
        <f>VLOOKUP(A335,Plano_V3!$A$27:$G$583,7,0)</f>
        <v>1. Concluído</v>
      </c>
      <c r="H335" s="155" t="s">
        <v>477</v>
      </c>
      <c r="I335" s="164"/>
      <c r="J335" s="175" t="str">
        <f>IF(VLOOKUP(A335,'Aux - pivots1'!$A:$E,3,0)=0, "",VLOOKUP(A335,'Aux - pivots1'!$A:$E,3,0))</f>
        <v/>
      </c>
      <c r="K335" s="175">
        <f>IF(VLOOKUP(A335,'Aux - pivots1'!$A:$E,4,0)=0, "",VLOOKUP(A335,'Aux - pivots1'!$A:$E,4,0))</f>
        <v>45534</v>
      </c>
      <c r="L335" s="175">
        <f>IF(VLOOKUP(A335,'Aux - pivots1'!$A:$E,5,0)=0, "",VLOOKUP(A335,'Aux - pivots1'!$A:$E,5,0))</f>
        <v>45534</v>
      </c>
      <c r="M335" s="202"/>
    </row>
    <row r="336" spans="1:13" ht="16.2">
      <c r="A336" s="31" t="str">
        <f t="shared" si="7"/>
        <v>modesg_inp_emss_bens_imoveisepc</v>
      </c>
      <c r="B336" s="162" t="s">
        <v>28</v>
      </c>
      <c r="C336" s="157" t="s">
        <v>178</v>
      </c>
      <c r="D336" s="153" t="s">
        <v>40</v>
      </c>
      <c r="E336" s="154" t="s">
        <v>212</v>
      </c>
      <c r="F336" s="153" t="s">
        <v>47</v>
      </c>
      <c r="G336" s="155" t="str">
        <f>VLOOKUP(A336,Plano_V3!$A$27:$G$583,7,0)</f>
        <v>1. Concluído</v>
      </c>
      <c r="H336" s="155" t="s">
        <v>477</v>
      </c>
      <c r="I336" s="164"/>
      <c r="J336" s="175" t="str">
        <f>IF(VLOOKUP(A336,'Aux - pivots1'!$A:$E,3,0)=0, "",VLOOKUP(A336,'Aux - pivots1'!$A:$E,3,0))</f>
        <v/>
      </c>
      <c r="K336" s="175">
        <f>IF(VLOOKUP(A336,'Aux - pivots1'!$A:$E,4,0)=0, "",VLOOKUP(A336,'Aux - pivots1'!$A:$E,4,0))</f>
        <v>45534</v>
      </c>
      <c r="L336" s="175">
        <f>IF(VLOOKUP(A336,'Aux - pivots1'!$A:$E,5,0)=0, "",VLOOKUP(A336,'Aux - pivots1'!$A:$E,5,0))</f>
        <v>45534</v>
      </c>
      <c r="M336" s="202"/>
    </row>
    <row r="337" spans="1:13" ht="16.2">
      <c r="A337" s="31" t="str">
        <f t="shared" si="7"/>
        <v>modesg_inp_emss_bens_imoveisflg_ftr_emss_area</v>
      </c>
      <c r="B337" s="162" t="s">
        <v>28</v>
      </c>
      <c r="C337" s="157" t="s">
        <v>178</v>
      </c>
      <c r="D337" s="153" t="s">
        <v>40</v>
      </c>
      <c r="E337" s="154" t="s">
        <v>212</v>
      </c>
      <c r="F337" s="153" t="s">
        <v>297</v>
      </c>
      <c r="G337" s="155" t="str">
        <f>VLOOKUP(A337,Plano_V3!$A$27:$G$583,7,0)</f>
        <v>0. Cancelado</v>
      </c>
      <c r="H337" s="155" t="s">
        <v>476</v>
      </c>
      <c r="I337" s="166" t="s">
        <v>1852</v>
      </c>
      <c r="J337" s="175" t="str">
        <f>IF(VLOOKUP(A337,'Aux - pivots1'!$A:$E,3,0)=0, "",VLOOKUP(A337,'Aux - pivots1'!$A:$E,3,0))</f>
        <v/>
      </c>
      <c r="K337" s="175">
        <f>IF(VLOOKUP(A337,'Aux - pivots1'!$A:$E,4,0)=0, "",VLOOKUP(A337,'Aux - pivots1'!$A:$E,4,0))</f>
        <v>45534</v>
      </c>
      <c r="L337" s="175">
        <f>IF(VLOOKUP(A337,'Aux - pivots1'!$A:$E,5,0)=0, "",VLOOKUP(A337,'Aux - pivots1'!$A:$E,5,0))</f>
        <v>45534</v>
      </c>
      <c r="M337" s="202"/>
    </row>
    <row r="338" spans="1:13" ht="16.2">
      <c r="A338" s="31" t="str">
        <f t="shared" ref="A338:A401" si="8">E338&amp;F338</f>
        <v>modesg_inp_emss_bens_imoveisnome_unidade_funcional</v>
      </c>
      <c r="B338" s="162" t="s">
        <v>28</v>
      </c>
      <c r="C338" s="157" t="s">
        <v>178</v>
      </c>
      <c r="D338" s="153" t="s">
        <v>40</v>
      </c>
      <c r="E338" s="154" t="s">
        <v>212</v>
      </c>
      <c r="F338" s="153" t="s">
        <v>221</v>
      </c>
      <c r="G338" s="155" t="str">
        <f>VLOOKUP(A338,Plano_V3!$A$27:$G$583,7,0)</f>
        <v>1. Concluído</v>
      </c>
      <c r="H338" s="155" t="s">
        <v>477</v>
      </c>
      <c r="I338" s="164"/>
      <c r="J338" s="175" t="str">
        <f>IF(VLOOKUP(A338,'Aux - pivots1'!$A:$E,3,0)=0, "",VLOOKUP(A338,'Aux - pivots1'!$A:$E,3,0))</f>
        <v/>
      </c>
      <c r="K338" s="175">
        <f>IF(VLOOKUP(A338,'Aux - pivots1'!$A:$E,4,0)=0, "",VLOOKUP(A338,'Aux - pivots1'!$A:$E,4,0))</f>
        <v>45534</v>
      </c>
      <c r="L338" s="175">
        <f>IF(VLOOKUP(A338,'Aux - pivots1'!$A:$E,5,0)=0, "",VLOOKUP(A338,'Aux - pivots1'!$A:$E,5,0))</f>
        <v>45534</v>
      </c>
      <c r="M338" s="202"/>
    </row>
    <row r="339" spans="1:13" ht="16.2">
      <c r="A339" s="31" t="str">
        <f t="shared" si="8"/>
        <v>modesg_inp_emss_bens_imoveisunidade_funcional</v>
      </c>
      <c r="B339" s="162" t="s">
        <v>28</v>
      </c>
      <c r="C339" s="157" t="s">
        <v>178</v>
      </c>
      <c r="D339" s="153" t="s">
        <v>40</v>
      </c>
      <c r="E339" s="154" t="s">
        <v>212</v>
      </c>
      <c r="F339" s="153" t="s">
        <v>222</v>
      </c>
      <c r="G339" s="155" t="str">
        <f>VLOOKUP(A339,Plano_V3!$A$27:$G$583,7,0)</f>
        <v>1. Concluído</v>
      </c>
      <c r="H339" s="155" t="s">
        <v>477</v>
      </c>
      <c r="I339" s="164"/>
      <c r="J339" s="175" t="str">
        <f>IF(VLOOKUP(A339,'Aux - pivots1'!$A:$E,3,0)=0, "",VLOOKUP(A339,'Aux - pivots1'!$A:$E,3,0))</f>
        <v/>
      </c>
      <c r="K339" s="175">
        <f>IF(VLOOKUP(A339,'Aux - pivots1'!$A:$E,4,0)=0, "",VLOOKUP(A339,'Aux - pivots1'!$A:$E,4,0))</f>
        <v>45534</v>
      </c>
      <c r="L339" s="175">
        <f>IF(VLOOKUP(A339,'Aux - pivots1'!$A:$E,5,0)=0, "",VLOOKUP(A339,'Aux - pivots1'!$A:$E,5,0))</f>
        <v>45534</v>
      </c>
      <c r="M339" s="202"/>
    </row>
    <row r="340" spans="1:13" ht="16.2">
      <c r="A340" s="31" t="str">
        <f t="shared" si="8"/>
        <v>modesg_inp_emss_bens_imoveisnome_fator_emissao</v>
      </c>
      <c r="B340" s="162" t="s">
        <v>28</v>
      </c>
      <c r="C340" s="157" t="s">
        <v>178</v>
      </c>
      <c r="D340" s="153" t="s">
        <v>40</v>
      </c>
      <c r="E340" s="154" t="s">
        <v>212</v>
      </c>
      <c r="F340" s="153" t="s">
        <v>223</v>
      </c>
      <c r="G340" s="155" t="str">
        <f>VLOOKUP(A340,Plano_V3!$A$27:$G$583,7,0)</f>
        <v>1. Concluído</v>
      </c>
      <c r="H340" s="155" t="s">
        <v>477</v>
      </c>
      <c r="I340" s="164"/>
      <c r="J340" s="175" t="str">
        <f>IF(VLOOKUP(A340,'Aux - pivots1'!$A:$E,3,0)=0, "",VLOOKUP(A340,'Aux - pivots1'!$A:$E,3,0))</f>
        <v/>
      </c>
      <c r="K340" s="175">
        <f>IF(VLOOKUP(A340,'Aux - pivots1'!$A:$E,4,0)=0, "",VLOOKUP(A340,'Aux - pivots1'!$A:$E,4,0))</f>
        <v>45534</v>
      </c>
      <c r="L340" s="175">
        <f>IF(VLOOKUP(A340,'Aux - pivots1'!$A:$E,5,0)=0, "",VLOOKUP(A340,'Aux - pivots1'!$A:$E,5,0))</f>
        <v>45534</v>
      </c>
      <c r="M340" s="202"/>
    </row>
    <row r="341" spans="1:13" ht="16.2">
      <c r="A341" s="31" t="str">
        <f t="shared" si="8"/>
        <v>modesg_inp_emss_bens_imoveisunidade_fator_de_emissao</v>
      </c>
      <c r="B341" s="162" t="s">
        <v>28</v>
      </c>
      <c r="C341" s="157" t="s">
        <v>178</v>
      </c>
      <c r="D341" s="153" t="s">
        <v>40</v>
      </c>
      <c r="E341" s="154" t="s">
        <v>212</v>
      </c>
      <c r="F341" s="153" t="s">
        <v>224</v>
      </c>
      <c r="G341" s="155" t="str">
        <f>VLOOKUP(A341,Plano_V3!$A$27:$G$583,7,0)</f>
        <v>1. Concluído</v>
      </c>
      <c r="H341" s="155" t="s">
        <v>477</v>
      </c>
      <c r="I341" s="164"/>
      <c r="J341" s="175" t="str">
        <f>IF(VLOOKUP(A341,'Aux - pivots1'!$A:$E,3,0)=0, "",VLOOKUP(A341,'Aux - pivots1'!$A:$E,3,0))</f>
        <v/>
      </c>
      <c r="K341" s="175">
        <f>IF(VLOOKUP(A341,'Aux - pivots1'!$A:$E,4,0)=0, "",VLOOKUP(A341,'Aux - pivots1'!$A:$E,4,0))</f>
        <v>45534</v>
      </c>
      <c r="L341" s="175">
        <f>IF(VLOOKUP(A341,'Aux - pivots1'!$A:$E,5,0)=0, "",VLOOKUP(A341,'Aux - pivots1'!$A:$E,5,0))</f>
        <v>45534</v>
      </c>
      <c r="M341" s="202"/>
    </row>
    <row r="342" spans="1:13" ht="16.2">
      <c r="A342" s="31" t="str">
        <f t="shared" si="8"/>
        <v>modesg_inp_emss_bens_imoveisscore_qualidade</v>
      </c>
      <c r="B342" s="162" t="s">
        <v>28</v>
      </c>
      <c r="C342" s="157" t="s">
        <v>178</v>
      </c>
      <c r="D342" s="153" t="s">
        <v>40</v>
      </c>
      <c r="E342" s="154" t="s">
        <v>212</v>
      </c>
      <c r="F342" s="153" t="s">
        <v>50</v>
      </c>
      <c r="G342" s="155" t="str">
        <f>VLOOKUP(A342,Plano_V3!$A$27:$G$583,7,0)</f>
        <v>1. Concluído</v>
      </c>
      <c r="H342" s="155" t="s">
        <v>477</v>
      </c>
      <c r="I342" s="164"/>
      <c r="J342" s="175" t="str">
        <f>IF(VLOOKUP(A342,'Aux - pivots1'!$A:$E,3,0)=0, "",VLOOKUP(A342,'Aux - pivots1'!$A:$E,3,0))</f>
        <v/>
      </c>
      <c r="K342" s="175">
        <f>IF(VLOOKUP(A342,'Aux - pivots1'!$A:$E,4,0)=0, "",VLOOKUP(A342,'Aux - pivots1'!$A:$E,4,0))</f>
        <v>45534</v>
      </c>
      <c r="L342" s="175">
        <f>IF(VLOOKUP(A342,'Aux - pivots1'!$A:$E,5,0)=0, "",VLOOKUP(A342,'Aux - pivots1'!$A:$E,5,0))</f>
        <v>45534</v>
      </c>
      <c r="M342" s="202"/>
    </row>
    <row r="343" spans="1:13" ht="16.2">
      <c r="A343" s="31" t="str">
        <f t="shared" si="8"/>
        <v>modesg_inp_emss_bens_imoveisano_fator_emissao</v>
      </c>
      <c r="B343" s="162" t="s">
        <v>28</v>
      </c>
      <c r="C343" s="157" t="s">
        <v>178</v>
      </c>
      <c r="D343" s="153" t="s">
        <v>40</v>
      </c>
      <c r="E343" s="154" t="s">
        <v>212</v>
      </c>
      <c r="F343" s="153" t="s">
        <v>1853</v>
      </c>
      <c r="G343" s="155" t="str">
        <f>VLOOKUP(A343,Plano_V3!$A$27:$G$583,7,0)</f>
        <v>1. Concluído</v>
      </c>
      <c r="H343" s="155" t="s">
        <v>477</v>
      </c>
      <c r="I343" s="165" t="s">
        <v>503</v>
      </c>
      <c r="J343" s="175" t="str">
        <f>IF(VLOOKUP(A343,'Aux - pivots1'!$A:$E,3,0)=0, "",VLOOKUP(A343,'Aux - pivots1'!$A:$E,3,0))</f>
        <v/>
      </c>
      <c r="K343" s="175">
        <f>IF(VLOOKUP(A343,'Aux - pivots1'!$A:$E,4,0)=0, "",VLOOKUP(A343,'Aux - pivots1'!$A:$E,4,0))</f>
        <v>45534</v>
      </c>
      <c r="L343" s="175">
        <f>IF(VLOOKUP(A343,'Aux - pivots1'!$A:$E,5,0)=0, "",VLOOKUP(A343,'Aux - pivots1'!$A:$E,5,0))</f>
        <v>45534</v>
      </c>
      <c r="M343" s="202"/>
    </row>
    <row r="344" spans="1:13" ht="16.2">
      <c r="A344" s="31" t="str">
        <f t="shared" si="8"/>
        <v>modesg_inp_emss_bens_imoveisscp1_ftr_emss</v>
      </c>
      <c r="B344" s="162" t="s">
        <v>28</v>
      </c>
      <c r="C344" s="157" t="s">
        <v>178</v>
      </c>
      <c r="D344" s="153" t="s">
        <v>40</v>
      </c>
      <c r="E344" s="154" t="s">
        <v>212</v>
      </c>
      <c r="F344" s="153" t="s">
        <v>225</v>
      </c>
      <c r="G344" s="155" t="str">
        <f>VLOOKUP(A344,Plano_V3!$A$27:$G$583,7,0)</f>
        <v>1. Concluído</v>
      </c>
      <c r="H344" s="155" t="s">
        <v>477</v>
      </c>
      <c r="I344" s="164"/>
      <c r="J344" s="175" t="str">
        <f>IF(VLOOKUP(A344,'Aux - pivots1'!$A:$E,3,0)=0, "",VLOOKUP(A344,'Aux - pivots1'!$A:$E,3,0))</f>
        <v/>
      </c>
      <c r="K344" s="175">
        <f>IF(VLOOKUP(A344,'Aux - pivots1'!$A:$E,4,0)=0, "",VLOOKUP(A344,'Aux - pivots1'!$A:$E,4,0))</f>
        <v>45534</v>
      </c>
      <c r="L344" s="175">
        <f>IF(VLOOKUP(A344,'Aux - pivots1'!$A:$E,5,0)=0, "",VLOOKUP(A344,'Aux - pivots1'!$A:$E,5,0))</f>
        <v>45534</v>
      </c>
      <c r="M344" s="202"/>
    </row>
    <row r="345" spans="1:13" ht="16.2">
      <c r="A345" s="31" t="str">
        <f t="shared" si="8"/>
        <v>modesg_inp_emss_bens_imoveisscp2_ftr_emss</v>
      </c>
      <c r="B345" s="162" t="s">
        <v>28</v>
      </c>
      <c r="C345" s="157" t="s">
        <v>178</v>
      </c>
      <c r="D345" s="153" t="s">
        <v>40</v>
      </c>
      <c r="E345" s="154" t="s">
        <v>212</v>
      </c>
      <c r="F345" s="153" t="s">
        <v>226</v>
      </c>
      <c r="G345" s="155" t="str">
        <f>VLOOKUP(A345,Plano_V3!$A$27:$G$583,7,0)</f>
        <v>1. Concluído</v>
      </c>
      <c r="H345" s="155" t="s">
        <v>477</v>
      </c>
      <c r="I345" s="164"/>
      <c r="J345" s="175" t="str">
        <f>IF(VLOOKUP(A345,'Aux - pivots1'!$A:$E,3,0)=0, "",VLOOKUP(A345,'Aux - pivots1'!$A:$E,3,0))</f>
        <v/>
      </c>
      <c r="K345" s="175">
        <f>IF(VLOOKUP(A345,'Aux - pivots1'!$A:$E,4,0)=0, "",VLOOKUP(A345,'Aux - pivots1'!$A:$E,4,0))</f>
        <v>45534</v>
      </c>
      <c r="L345" s="175">
        <f>IF(VLOOKUP(A345,'Aux - pivots1'!$A:$E,5,0)=0, "",VLOOKUP(A345,'Aux - pivots1'!$A:$E,5,0))</f>
        <v>45534</v>
      </c>
      <c r="M345" s="202"/>
    </row>
    <row r="346" spans="1:13" ht="16.2">
      <c r="A346" s="31" t="str">
        <f t="shared" si="8"/>
        <v>modesg_out_bens_imoveisn.a.</v>
      </c>
      <c r="B346" s="162" t="s">
        <v>28</v>
      </c>
      <c r="C346" s="157" t="s">
        <v>301</v>
      </c>
      <c r="D346" s="153" t="s">
        <v>36</v>
      </c>
      <c r="E346" s="154" t="s">
        <v>302</v>
      </c>
      <c r="F346" s="153" t="s">
        <v>38</v>
      </c>
      <c r="G346" s="155" t="str">
        <f>VLOOKUP(A346,Plano_V3!$A$27:$G$583,7,0)</f>
        <v>1. Concluído</v>
      </c>
      <c r="H346" s="155" t="s">
        <v>477</v>
      </c>
      <c r="I346" s="164"/>
      <c r="J346" s="175" t="str">
        <f>IF(VLOOKUP(A346,'Aux - pivots1'!$A:$E,3,0)=0, "",VLOOKUP(A346,'Aux - pivots1'!$A:$E,3,0))</f>
        <v/>
      </c>
      <c r="K346" s="175" t="str">
        <f>IF(VLOOKUP(A346,'Aux - pivots1'!$A:$E,4,0)=0, "",VLOOKUP(A346,'Aux - pivots1'!$A:$E,4,0))</f>
        <v/>
      </c>
      <c r="L346" s="175" t="str">
        <f>IF(VLOOKUP(A346,'Aux - pivots1'!$A:$E,5,0)=0, "",VLOOKUP(A346,'Aux - pivots1'!$A:$E,5,0))</f>
        <v/>
      </c>
      <c r="M346" s="202"/>
    </row>
    <row r="347" spans="1:13" ht="16.2">
      <c r="A347" s="31" t="str">
        <f t="shared" si="8"/>
        <v>modesg_out_bens_imoveiscempbem</v>
      </c>
      <c r="B347" s="162" t="s">
        <v>28</v>
      </c>
      <c r="C347" s="157" t="s">
        <v>301</v>
      </c>
      <c r="D347" s="153" t="s">
        <v>40</v>
      </c>
      <c r="E347" s="154" t="s">
        <v>302</v>
      </c>
      <c r="F347" s="153" t="s">
        <v>41</v>
      </c>
      <c r="G347" s="155" t="str">
        <f>VLOOKUP(A347,Plano_V3!$A$27:$G$583,7,0)</f>
        <v>1. Concluído</v>
      </c>
      <c r="H347" s="155" t="s">
        <v>477</v>
      </c>
      <c r="I347" s="179"/>
      <c r="J347" s="175" t="str">
        <f>IF(VLOOKUP(A347,'Aux - pivots1'!$A:$E,3,0)=0, "",VLOOKUP(A347,'Aux - pivots1'!$A:$E,3,0))</f>
        <v/>
      </c>
      <c r="K347" s="175" t="str">
        <f>IF(VLOOKUP(A347,'Aux - pivots1'!$A:$E,4,0)=0, "",VLOOKUP(A347,'Aux - pivots1'!$A:$E,4,0))</f>
        <v/>
      </c>
      <c r="L347" s="175" t="str">
        <f>IF(VLOOKUP(A347,'Aux - pivots1'!$A:$E,5,0)=0, "",VLOOKUP(A347,'Aux - pivots1'!$A:$E,5,0))</f>
        <v/>
      </c>
      <c r="M347" s="202"/>
    </row>
    <row r="348" spans="1:13" ht="16.2">
      <c r="A348" s="31" t="str">
        <f t="shared" si="8"/>
        <v>modesg_out_bens_imoveisckbalbem</v>
      </c>
      <c r="B348" s="162" t="s">
        <v>28</v>
      </c>
      <c r="C348" s="157" t="s">
        <v>301</v>
      </c>
      <c r="D348" s="153" t="s">
        <v>40</v>
      </c>
      <c r="E348" s="154" t="s">
        <v>302</v>
      </c>
      <c r="F348" s="153" t="s">
        <v>43</v>
      </c>
      <c r="G348" s="155" t="str">
        <f>VLOOKUP(A348,Plano_V3!$A$27:$G$583,7,0)</f>
        <v>1. Concluído</v>
      </c>
      <c r="H348" s="155" t="s">
        <v>477</v>
      </c>
      <c r="I348" s="179"/>
      <c r="J348" s="175" t="str">
        <f>IF(VLOOKUP(A348,'Aux - pivots1'!$A:$E,3,0)=0, "",VLOOKUP(A348,'Aux - pivots1'!$A:$E,3,0))</f>
        <v/>
      </c>
      <c r="K348" s="175" t="str">
        <f>IF(VLOOKUP(A348,'Aux - pivots1'!$A:$E,4,0)=0, "",VLOOKUP(A348,'Aux - pivots1'!$A:$E,4,0))</f>
        <v/>
      </c>
      <c r="L348" s="175" t="str">
        <f>IF(VLOOKUP(A348,'Aux - pivots1'!$A:$E,5,0)=0, "",VLOOKUP(A348,'Aux - pivots1'!$A:$E,5,0))</f>
        <v/>
      </c>
      <c r="M348" s="202"/>
    </row>
    <row r="349" spans="1:13" ht="16.2">
      <c r="A349" s="31" t="str">
        <f t="shared" si="8"/>
        <v>modesg_out_bens_imoveisckctabem</v>
      </c>
      <c r="B349" s="162" t="s">
        <v>28</v>
      </c>
      <c r="C349" s="157" t="s">
        <v>301</v>
      </c>
      <c r="D349" s="153" t="s">
        <v>40</v>
      </c>
      <c r="E349" s="154" t="s">
        <v>302</v>
      </c>
      <c r="F349" s="153" t="s">
        <v>44</v>
      </c>
      <c r="G349" s="155" t="str">
        <f>VLOOKUP(A349,Plano_V3!$A$27:$G$583,7,0)</f>
        <v>1. Concluído</v>
      </c>
      <c r="H349" s="155" t="s">
        <v>477</v>
      </c>
      <c r="I349" s="179"/>
      <c r="J349" s="175" t="str">
        <f>IF(VLOOKUP(A349,'Aux - pivots1'!$A:$E,3,0)=0, "",VLOOKUP(A349,'Aux - pivots1'!$A:$E,3,0))</f>
        <v/>
      </c>
      <c r="K349" s="175" t="str">
        <f>IF(VLOOKUP(A349,'Aux - pivots1'!$A:$E,4,0)=0, "",VLOOKUP(A349,'Aux - pivots1'!$A:$E,4,0))</f>
        <v/>
      </c>
      <c r="L349" s="175" t="str">
        <f>IF(VLOOKUP(A349,'Aux - pivots1'!$A:$E,5,0)=0, "",VLOOKUP(A349,'Aux - pivots1'!$A:$E,5,0))</f>
        <v/>
      </c>
      <c r="M349" s="202"/>
    </row>
    <row r="350" spans="1:13" ht="16.2">
      <c r="A350" s="31" t="str">
        <f t="shared" si="8"/>
        <v>modesg_out_bens_imoveisckrefbem</v>
      </c>
      <c r="B350" s="162" t="s">
        <v>28</v>
      </c>
      <c r="C350" s="157" t="s">
        <v>301</v>
      </c>
      <c r="D350" s="153" t="s">
        <v>40</v>
      </c>
      <c r="E350" s="154" t="s">
        <v>302</v>
      </c>
      <c r="F350" s="153" t="s">
        <v>45</v>
      </c>
      <c r="G350" s="155" t="str">
        <f>VLOOKUP(A350,Plano_V3!$A$27:$G$583,7,0)</f>
        <v>1. Concluído</v>
      </c>
      <c r="H350" s="155" t="s">
        <v>477</v>
      </c>
      <c r="I350" s="179"/>
      <c r="J350" s="175" t="str">
        <f>IF(VLOOKUP(A350,'Aux - pivots1'!$A:$E,3,0)=0, "",VLOOKUP(A350,'Aux - pivots1'!$A:$E,3,0))</f>
        <v/>
      </c>
      <c r="K350" s="175" t="str">
        <f>IF(VLOOKUP(A350,'Aux - pivots1'!$A:$E,4,0)=0, "",VLOOKUP(A350,'Aux - pivots1'!$A:$E,4,0))</f>
        <v/>
      </c>
      <c r="L350" s="175" t="str">
        <f>IF(VLOOKUP(A350,'Aux - pivots1'!$A:$E,5,0)=0, "",VLOOKUP(A350,'Aux - pivots1'!$A:$E,5,0))</f>
        <v/>
      </c>
      <c r="M350" s="202"/>
    </row>
    <row r="351" spans="1:13" ht="16.2">
      <c r="A351" s="31" t="str">
        <f t="shared" si="8"/>
        <v>modesg_out_bens_imoveisflg_rsc_fsc_agd</v>
      </c>
      <c r="B351" s="162" t="s">
        <v>28</v>
      </c>
      <c r="C351" s="157" t="s">
        <v>301</v>
      </c>
      <c r="D351" s="153" t="s">
        <v>40</v>
      </c>
      <c r="E351" s="154" t="s">
        <v>302</v>
      </c>
      <c r="F351" s="153" t="s">
        <v>273</v>
      </c>
      <c r="G351" s="155" t="str">
        <f>VLOOKUP(A351,Plano_V3!$A$27:$G$583,7,0)</f>
        <v>4. Validação EF</v>
      </c>
      <c r="H351" s="155" t="s">
        <v>479</v>
      </c>
      <c r="I351" s="164" t="s">
        <v>1884</v>
      </c>
      <c r="J351" s="175">
        <f>IF(VLOOKUP(A351,'Aux - pivots1'!$A:$E,3,0)=0, "",VLOOKUP(A351,'Aux - pivots1'!$A:$E,3,0))</f>
        <v>45561</v>
      </c>
      <c r="K351" s="175" t="str">
        <f>IF(VLOOKUP(A351,'Aux - pivots1'!$A:$E,4,0)=0, "",VLOOKUP(A351,'Aux - pivots1'!$A:$E,4,0))</f>
        <v/>
      </c>
      <c r="L351" s="175" t="str">
        <f>IF(VLOOKUP(A351,'Aux - pivots1'!$A:$E,5,0)=0, "",VLOOKUP(A351,'Aux - pivots1'!$A:$E,5,0))</f>
        <v/>
      </c>
      <c r="M351" s="202"/>
    </row>
    <row r="352" spans="1:13" ht="16.2">
      <c r="A352" s="31" t="str">
        <f t="shared" si="8"/>
        <v>modesg_out_bens_imoveisflg_rsc_fsc_crnc</v>
      </c>
      <c r="B352" s="162" t="s">
        <v>28</v>
      </c>
      <c r="C352" s="157" t="s">
        <v>301</v>
      </c>
      <c r="D352" s="153" t="s">
        <v>40</v>
      </c>
      <c r="E352" s="154" t="s">
        <v>302</v>
      </c>
      <c r="F352" s="153" t="s">
        <v>274</v>
      </c>
      <c r="G352" s="155" t="str">
        <f>VLOOKUP(A352,Plano_V3!$A$27:$G$583,7,0)</f>
        <v>4. Validação EF</v>
      </c>
      <c r="H352" s="155" t="s">
        <v>479</v>
      </c>
      <c r="I352" s="164" t="s">
        <v>1884</v>
      </c>
      <c r="J352" s="175">
        <f>IF(VLOOKUP(A352,'Aux - pivots1'!$A:$E,3,0)=0, "",VLOOKUP(A352,'Aux - pivots1'!$A:$E,3,0))</f>
        <v>45561</v>
      </c>
      <c r="K352" s="175" t="str">
        <f>IF(VLOOKUP(A352,'Aux - pivots1'!$A:$E,4,0)=0, "",VLOOKUP(A352,'Aux - pivots1'!$A:$E,4,0))</f>
        <v/>
      </c>
      <c r="L352" s="175" t="str">
        <f>IF(VLOOKUP(A352,'Aux - pivots1'!$A:$E,5,0)=0, "",VLOOKUP(A352,'Aux - pivots1'!$A:$E,5,0))</f>
        <v/>
      </c>
      <c r="M352" s="202"/>
    </row>
    <row r="353" spans="1:13" ht="16.2">
      <c r="A353" s="31" t="str">
        <f t="shared" si="8"/>
        <v>modesg_out_bens_imoveisorigem_flg_rsc_fsc_agd</v>
      </c>
      <c r="B353" s="162" t="s">
        <v>28</v>
      </c>
      <c r="C353" s="157" t="s">
        <v>301</v>
      </c>
      <c r="D353" s="153" t="s">
        <v>40</v>
      </c>
      <c r="E353" s="154" t="s">
        <v>302</v>
      </c>
      <c r="F353" s="153" t="s">
        <v>304</v>
      </c>
      <c r="G353" s="155" t="str">
        <f>VLOOKUP(A353,Plano_V3!$A$27:$G$583,7,0)</f>
        <v>4. Validação EF</v>
      </c>
      <c r="H353" s="155" t="s">
        <v>479</v>
      </c>
      <c r="I353" s="164" t="s">
        <v>1884</v>
      </c>
      <c r="J353" s="175">
        <f>IF(VLOOKUP(A353,'Aux - pivots1'!$A:$E,3,0)=0, "",VLOOKUP(A353,'Aux - pivots1'!$A:$E,3,0))</f>
        <v>45561</v>
      </c>
      <c r="K353" s="175" t="str">
        <f>IF(VLOOKUP(A353,'Aux - pivots1'!$A:$E,4,0)=0, "",VLOOKUP(A353,'Aux - pivots1'!$A:$E,4,0))</f>
        <v/>
      </c>
      <c r="L353" s="175" t="str">
        <f>IF(VLOOKUP(A353,'Aux - pivots1'!$A:$E,5,0)=0, "",VLOOKUP(A353,'Aux - pivots1'!$A:$E,5,0))</f>
        <v/>
      </c>
      <c r="M353" s="202"/>
    </row>
    <row r="354" spans="1:13" ht="16.2">
      <c r="A354" s="31" t="str">
        <f t="shared" si="8"/>
        <v>modesg_out_bens_imoveisorigem_flg_rsc_fsc_crnc</v>
      </c>
      <c r="B354" s="162" t="s">
        <v>28</v>
      </c>
      <c r="C354" s="157" t="s">
        <v>301</v>
      </c>
      <c r="D354" s="153" t="s">
        <v>40</v>
      </c>
      <c r="E354" s="154" t="s">
        <v>302</v>
      </c>
      <c r="F354" s="153" t="s">
        <v>305</v>
      </c>
      <c r="G354" s="155" t="str">
        <f>VLOOKUP(A354,Plano_V3!$A$27:$G$583,7,0)</f>
        <v>4. Validação EF</v>
      </c>
      <c r="H354" s="155" t="s">
        <v>479</v>
      </c>
      <c r="I354" s="164" t="s">
        <v>1884</v>
      </c>
      <c r="J354" s="175">
        <f>IF(VLOOKUP(A354,'Aux - pivots1'!$A:$E,3,0)=0, "",VLOOKUP(A354,'Aux - pivots1'!$A:$E,3,0))</f>
        <v>45561</v>
      </c>
      <c r="K354" s="175" t="str">
        <f>IF(VLOOKUP(A354,'Aux - pivots1'!$A:$E,4,0)=0, "",VLOOKUP(A354,'Aux - pivots1'!$A:$E,4,0))</f>
        <v/>
      </c>
      <c r="L354" s="175" t="str">
        <f>IF(VLOOKUP(A354,'Aux - pivots1'!$A:$E,5,0)=0, "",VLOOKUP(A354,'Aux - pivots1'!$A:$E,5,0))</f>
        <v/>
      </c>
      <c r="M354" s="202"/>
    </row>
    <row r="355" spans="1:13" ht="16.2">
      <c r="A355" s="31" t="str">
        <f t="shared" si="8"/>
        <v>modesg_out_bens_imoveisorigem_scp1_emss</v>
      </c>
      <c r="B355" s="162" t="s">
        <v>28</v>
      </c>
      <c r="C355" s="157" t="s">
        <v>301</v>
      </c>
      <c r="D355" s="153" t="s">
        <v>40</v>
      </c>
      <c r="E355" s="154" t="s">
        <v>302</v>
      </c>
      <c r="F355" s="153" t="s">
        <v>306</v>
      </c>
      <c r="G355" s="155" t="str">
        <f>VLOOKUP(A355,Plano_V3!$A$27:$G$583,7,0)</f>
        <v>2. Em Teste</v>
      </c>
      <c r="H355" s="155" t="s">
        <v>177</v>
      </c>
      <c r="I355" s="164" t="s">
        <v>1885</v>
      </c>
      <c r="J355" s="175">
        <f>IF(VLOOKUP(A355,'Aux - pivots1'!$A:$E,3,0)=0, "",VLOOKUP(A355,'Aux - pivots1'!$A:$E,3,0))</f>
        <v>45560</v>
      </c>
      <c r="K355" s="175" t="str">
        <f>IF(VLOOKUP(A355,'Aux - pivots1'!$A:$E,4,0)=0, "",VLOOKUP(A355,'Aux - pivots1'!$A:$E,4,0))</f>
        <v/>
      </c>
      <c r="L355" s="175">
        <f>IF(VLOOKUP(A355,'Aux - pivots1'!$A:$E,5,0)=0, "",VLOOKUP(A355,'Aux - pivots1'!$A:$E,5,0))</f>
        <v>45562</v>
      </c>
      <c r="M355" s="202"/>
    </row>
    <row r="356" spans="1:13" ht="16.2">
      <c r="A356" s="31" t="str">
        <f t="shared" si="8"/>
        <v>modesg_out_bens_imoveisorigem_scp2_emss</v>
      </c>
      <c r="B356" s="162" t="s">
        <v>28</v>
      </c>
      <c r="C356" s="157" t="s">
        <v>301</v>
      </c>
      <c r="D356" s="153" t="s">
        <v>40</v>
      </c>
      <c r="E356" s="154" t="s">
        <v>302</v>
      </c>
      <c r="F356" s="153" t="s">
        <v>307</v>
      </c>
      <c r="G356" s="155" t="str">
        <f>VLOOKUP(A356,Plano_V3!$A$27:$G$583,7,0)</f>
        <v>2. Em Teste</v>
      </c>
      <c r="H356" s="155" t="s">
        <v>177</v>
      </c>
      <c r="I356" s="164" t="s">
        <v>1885</v>
      </c>
      <c r="J356" s="175">
        <f>IF(VLOOKUP(A356,'Aux - pivots1'!$A:$E,3,0)=0, "",VLOOKUP(A356,'Aux - pivots1'!$A:$E,3,0))</f>
        <v>45560</v>
      </c>
      <c r="K356" s="175" t="str">
        <f>IF(VLOOKUP(A356,'Aux - pivots1'!$A:$E,4,0)=0, "",VLOOKUP(A356,'Aux - pivots1'!$A:$E,4,0))</f>
        <v/>
      </c>
      <c r="L356" s="175">
        <f>IF(VLOOKUP(A356,'Aux - pivots1'!$A:$E,5,0)=0, "",VLOOKUP(A356,'Aux - pivots1'!$A:$E,5,0))</f>
        <v>45562</v>
      </c>
      <c r="M356" s="202"/>
    </row>
    <row r="357" spans="1:13" ht="16.2">
      <c r="A357" s="31" t="str">
        <f t="shared" si="8"/>
        <v>modesg_out_bens_imoveisorigem_scp3_emss</v>
      </c>
      <c r="B357" s="162" t="s">
        <v>28</v>
      </c>
      <c r="C357" s="157" t="s">
        <v>301</v>
      </c>
      <c r="D357" s="153" t="s">
        <v>40</v>
      </c>
      <c r="E357" s="154" t="s">
        <v>302</v>
      </c>
      <c r="F357" s="153" t="s">
        <v>308</v>
      </c>
      <c r="G357" s="155" t="str">
        <f>VLOOKUP(A357,Plano_V3!$A$27:$G$583,7,0)</f>
        <v>2. Em Teste</v>
      </c>
      <c r="H357" s="155" t="s">
        <v>177</v>
      </c>
      <c r="I357" s="164" t="s">
        <v>1885</v>
      </c>
      <c r="J357" s="175">
        <f>IF(VLOOKUP(A357,'Aux - pivots1'!$A:$E,3,0)=0, "",VLOOKUP(A357,'Aux - pivots1'!$A:$E,3,0))</f>
        <v>45560</v>
      </c>
      <c r="K357" s="175" t="str">
        <f>IF(VLOOKUP(A357,'Aux - pivots1'!$A:$E,4,0)=0, "",VLOOKUP(A357,'Aux - pivots1'!$A:$E,4,0))</f>
        <v/>
      </c>
      <c r="L357" s="175">
        <f>IF(VLOOKUP(A357,'Aux - pivots1'!$A:$E,5,0)=0, "",VLOOKUP(A357,'Aux - pivots1'!$A:$E,5,0))</f>
        <v>45562</v>
      </c>
      <c r="M357" s="202"/>
    </row>
    <row r="358" spans="1:13" ht="16.2">
      <c r="A358" s="31" t="str">
        <f t="shared" si="8"/>
        <v>modesg_out_bens_imoveisref_date</v>
      </c>
      <c r="B358" s="162" t="s">
        <v>28</v>
      </c>
      <c r="C358" s="157" t="s">
        <v>301</v>
      </c>
      <c r="D358" s="153" t="s">
        <v>40</v>
      </c>
      <c r="E358" s="154" t="s">
        <v>302</v>
      </c>
      <c r="F358" s="153" t="s">
        <v>73</v>
      </c>
      <c r="G358" s="155" t="str">
        <f>VLOOKUP(A358,Plano_V3!$A$27:$G$583,7,0)</f>
        <v>1. Concluído</v>
      </c>
      <c r="H358" s="155" t="s">
        <v>477</v>
      </c>
      <c r="I358" s="179"/>
      <c r="J358" s="175" t="str">
        <f>IF(VLOOKUP(A358,'Aux - pivots1'!$A:$E,3,0)=0, "",VLOOKUP(A358,'Aux - pivots1'!$A:$E,3,0))</f>
        <v/>
      </c>
      <c r="K358" s="175" t="str">
        <f>IF(VLOOKUP(A358,'Aux - pivots1'!$A:$E,4,0)=0, "",VLOOKUP(A358,'Aux - pivots1'!$A:$E,4,0))</f>
        <v/>
      </c>
      <c r="L358" s="175" t="str">
        <f>IF(VLOOKUP(A358,'Aux - pivots1'!$A:$E,5,0)=0, "",VLOOKUP(A358,'Aux - pivots1'!$A:$E,5,0))</f>
        <v/>
      </c>
      <c r="M358" s="202"/>
    </row>
    <row r="359" spans="1:13" ht="16.2">
      <c r="A359" s="31" t="str">
        <f t="shared" si="8"/>
        <v>modesg_out_bens_imoveisscp1_emss</v>
      </c>
      <c r="B359" s="162" t="s">
        <v>28</v>
      </c>
      <c r="C359" s="157" t="s">
        <v>301</v>
      </c>
      <c r="D359" s="153" t="s">
        <v>40</v>
      </c>
      <c r="E359" s="154" t="s">
        <v>302</v>
      </c>
      <c r="F359" s="153" t="s">
        <v>276</v>
      </c>
      <c r="G359" s="155" t="str">
        <f>VLOOKUP(A359,Plano_V3!$A$27:$G$583,7,0)</f>
        <v>2. Em Teste</v>
      </c>
      <c r="H359" s="155" t="s">
        <v>177</v>
      </c>
      <c r="I359" s="164" t="s">
        <v>1885</v>
      </c>
      <c r="J359" s="175">
        <f>IF(VLOOKUP(A359,'Aux - pivots1'!$A:$E,3,0)=0, "",VLOOKUP(A359,'Aux - pivots1'!$A:$E,3,0))</f>
        <v>45560</v>
      </c>
      <c r="K359" s="175" t="str">
        <f>IF(VLOOKUP(A359,'Aux - pivots1'!$A:$E,4,0)=0, "",VLOOKUP(A359,'Aux - pivots1'!$A:$E,4,0))</f>
        <v/>
      </c>
      <c r="L359" s="175">
        <f>IF(VLOOKUP(A359,'Aux - pivots1'!$A:$E,5,0)=0, "",VLOOKUP(A359,'Aux - pivots1'!$A:$E,5,0))</f>
        <v>45562</v>
      </c>
      <c r="M359" s="202"/>
    </row>
    <row r="360" spans="1:13" ht="16.2">
      <c r="A360" s="31" t="str">
        <f t="shared" si="8"/>
        <v>modesg_out_bens_imoveisscp2_emss</v>
      </c>
      <c r="B360" s="162" t="s">
        <v>28</v>
      </c>
      <c r="C360" s="157" t="s">
        <v>301</v>
      </c>
      <c r="D360" s="153" t="s">
        <v>40</v>
      </c>
      <c r="E360" s="154" t="s">
        <v>302</v>
      </c>
      <c r="F360" s="153" t="s">
        <v>277</v>
      </c>
      <c r="G360" s="155" t="str">
        <f>VLOOKUP(A360,Plano_V3!$A$27:$G$583,7,0)</f>
        <v>2. Em Teste</v>
      </c>
      <c r="H360" s="155" t="s">
        <v>177</v>
      </c>
      <c r="I360" s="164" t="s">
        <v>1885</v>
      </c>
      <c r="J360" s="175">
        <f>IF(VLOOKUP(A360,'Aux - pivots1'!$A:$E,3,0)=0, "",VLOOKUP(A360,'Aux - pivots1'!$A:$E,3,0))</f>
        <v>45560</v>
      </c>
      <c r="K360" s="175" t="str">
        <f>IF(VLOOKUP(A360,'Aux - pivots1'!$A:$E,4,0)=0, "",VLOOKUP(A360,'Aux - pivots1'!$A:$E,4,0))</f>
        <v/>
      </c>
      <c r="L360" s="175">
        <f>IF(VLOOKUP(A360,'Aux - pivots1'!$A:$E,5,0)=0, "",VLOOKUP(A360,'Aux - pivots1'!$A:$E,5,0))</f>
        <v>45562</v>
      </c>
      <c r="M360" s="202"/>
    </row>
    <row r="361" spans="1:13" ht="16.2">
      <c r="A361" s="31" t="str">
        <f t="shared" si="8"/>
        <v>modesg_out_bens_imoveisscp3_emss</v>
      </c>
      <c r="B361" s="162" t="s">
        <v>28</v>
      </c>
      <c r="C361" s="157" t="s">
        <v>301</v>
      </c>
      <c r="D361" s="153" t="s">
        <v>40</v>
      </c>
      <c r="E361" s="154" t="s">
        <v>302</v>
      </c>
      <c r="F361" s="153" t="s">
        <v>278</v>
      </c>
      <c r="G361" s="155" t="str">
        <f>VLOOKUP(A361,Plano_V3!$A$27:$G$583,7,0)</f>
        <v>1. Concluído</v>
      </c>
      <c r="H361" s="155" t="s">
        <v>477</v>
      </c>
      <c r="I361" s="179"/>
      <c r="J361" s="175" t="str">
        <f>IF(VLOOKUP(A361,'Aux - pivots1'!$A:$E,3,0)=0, "",VLOOKUP(A361,'Aux - pivots1'!$A:$E,3,0))</f>
        <v/>
      </c>
      <c r="K361" s="175" t="str">
        <f>IF(VLOOKUP(A361,'Aux - pivots1'!$A:$E,4,0)=0, "",VLOOKUP(A361,'Aux - pivots1'!$A:$E,4,0))</f>
        <v/>
      </c>
      <c r="L361" s="175" t="str">
        <f>IF(VLOOKUP(A361,'Aux - pivots1'!$A:$E,5,0)=0, "",VLOOKUP(A361,'Aux - pivots1'!$A:$E,5,0))</f>
        <v/>
      </c>
      <c r="M361" s="202"/>
    </row>
    <row r="362" spans="1:13" ht="16.2">
      <c r="A362" s="31" t="str">
        <f t="shared" si="8"/>
        <v>modesg_out_bens_imoveisunidade_funcional_scp1_emss</v>
      </c>
      <c r="B362" s="162" t="s">
        <v>28</v>
      </c>
      <c r="C362" s="157" t="s">
        <v>301</v>
      </c>
      <c r="D362" s="153" t="s">
        <v>40</v>
      </c>
      <c r="E362" s="154" t="s">
        <v>302</v>
      </c>
      <c r="F362" s="153" t="s">
        <v>309</v>
      </c>
      <c r="G362" s="155" t="str">
        <f>VLOOKUP(A362,Plano_V3!$A$27:$G$583,7,0)</f>
        <v>2. Em Teste</v>
      </c>
      <c r="H362" s="155" t="s">
        <v>177</v>
      </c>
      <c r="I362" s="164" t="s">
        <v>1885</v>
      </c>
      <c r="J362" s="175">
        <f>IF(VLOOKUP(A362,'Aux - pivots1'!$A:$E,3,0)=0, "",VLOOKUP(A362,'Aux - pivots1'!$A:$E,3,0))</f>
        <v>45560</v>
      </c>
      <c r="K362" s="175" t="str">
        <f>IF(VLOOKUP(A362,'Aux - pivots1'!$A:$E,4,0)=0, "",VLOOKUP(A362,'Aux - pivots1'!$A:$E,4,0))</f>
        <v/>
      </c>
      <c r="L362" s="175" t="str">
        <f>IF(VLOOKUP(A362,'Aux - pivots1'!$A:$E,5,0)=0, "",VLOOKUP(A362,'Aux - pivots1'!$A:$E,5,0))</f>
        <v/>
      </c>
      <c r="M362" s="202"/>
    </row>
    <row r="363" spans="1:13" ht="16.2">
      <c r="A363" s="31" t="str">
        <f t="shared" si="8"/>
        <v>modesg_out_bens_imoveisunidade_funcional_scp2_emss</v>
      </c>
      <c r="B363" s="162" t="s">
        <v>28</v>
      </c>
      <c r="C363" s="157" t="s">
        <v>301</v>
      </c>
      <c r="D363" s="153" t="s">
        <v>40</v>
      </c>
      <c r="E363" s="154" t="s">
        <v>302</v>
      </c>
      <c r="F363" s="153" t="s">
        <v>310</v>
      </c>
      <c r="G363" s="155" t="str">
        <f>VLOOKUP(A363,Plano_V3!$A$27:$G$583,7,0)</f>
        <v>2. Em Teste</v>
      </c>
      <c r="H363" s="155" t="s">
        <v>177</v>
      </c>
      <c r="I363" s="164" t="s">
        <v>1885</v>
      </c>
      <c r="J363" s="175">
        <f>IF(VLOOKUP(A363,'Aux - pivots1'!$A:$E,3,0)=0, "",VLOOKUP(A363,'Aux - pivots1'!$A:$E,3,0))</f>
        <v>45560</v>
      </c>
      <c r="K363" s="175" t="str">
        <f>IF(VLOOKUP(A363,'Aux - pivots1'!$A:$E,4,0)=0, "",VLOOKUP(A363,'Aux - pivots1'!$A:$E,4,0))</f>
        <v/>
      </c>
      <c r="L363" s="175" t="str">
        <f>IF(VLOOKUP(A363,'Aux - pivots1'!$A:$E,5,0)=0, "",VLOOKUP(A363,'Aux - pivots1'!$A:$E,5,0))</f>
        <v/>
      </c>
      <c r="M363" s="202"/>
    </row>
    <row r="364" spans="1:13" ht="16.2">
      <c r="A364" s="31" t="str">
        <f t="shared" si="8"/>
        <v>modesg_out_bens_imoveisunidade_funcional_scp3_emss</v>
      </c>
      <c r="B364" s="162" t="s">
        <v>28</v>
      </c>
      <c r="C364" s="157" t="s">
        <v>301</v>
      </c>
      <c r="D364" s="153" t="s">
        <v>40</v>
      </c>
      <c r="E364" s="154" t="s">
        <v>302</v>
      </c>
      <c r="F364" s="153" t="s">
        <v>311</v>
      </c>
      <c r="G364" s="155" t="str">
        <f>VLOOKUP(A364,Plano_V3!$A$27:$G$583,7,0)</f>
        <v>2. Em Teste</v>
      </c>
      <c r="H364" s="155" t="s">
        <v>177</v>
      </c>
      <c r="I364" s="164" t="s">
        <v>1885</v>
      </c>
      <c r="J364" s="175">
        <f>IF(VLOOKUP(A364,'Aux - pivots1'!$A:$E,3,0)=0, "",VLOOKUP(A364,'Aux - pivots1'!$A:$E,3,0))</f>
        <v>45560</v>
      </c>
      <c r="K364" s="175" t="str">
        <f>IF(VLOOKUP(A364,'Aux - pivots1'!$A:$E,4,0)=0, "",VLOOKUP(A364,'Aux - pivots1'!$A:$E,4,0))</f>
        <v/>
      </c>
      <c r="L364" s="175" t="str">
        <f>IF(VLOOKUP(A364,'Aux - pivots1'!$A:$E,5,0)=0, "",VLOOKUP(A364,'Aux - pivots1'!$A:$E,5,0))</f>
        <v/>
      </c>
      <c r="M364" s="202"/>
    </row>
    <row r="365" spans="1:13" ht="16.2">
      <c r="A365" s="31" t="str">
        <f t="shared" si="8"/>
        <v>modesg_out_empr_info_nfinn.a.</v>
      </c>
      <c r="B365" s="162" t="s">
        <v>28</v>
      </c>
      <c r="C365" s="157" t="s">
        <v>301</v>
      </c>
      <c r="D365" s="153" t="s">
        <v>36</v>
      </c>
      <c r="E365" s="154" t="s">
        <v>312</v>
      </c>
      <c r="F365" s="153" t="s">
        <v>38</v>
      </c>
      <c r="G365" s="155" t="str">
        <f>VLOOKUP(A365,Plano_V3!$A$27:$G$583,7,0)</f>
        <v>1. Concluído</v>
      </c>
      <c r="H365" s="155" t="s">
        <v>477</v>
      </c>
      <c r="I365" s="179"/>
      <c r="J365" s="175">
        <f>IF(VLOOKUP(A365,'Aux - pivots1'!$A:$E,3,0)=0, "",VLOOKUP(A365,'Aux - pivots1'!$A:$E,3,0))</f>
        <v>45512</v>
      </c>
      <c r="K365" s="175" t="str">
        <f>IF(VLOOKUP(A365,'Aux - pivots1'!$A:$E,4,0)=0, "",VLOOKUP(A365,'Aux - pivots1'!$A:$E,4,0))</f>
        <v/>
      </c>
      <c r="L365" s="175" t="str">
        <f>IF(VLOOKUP(A365,'Aux - pivots1'!$A:$E,5,0)=0, "",VLOOKUP(A365,'Aux - pivots1'!$A:$E,5,0))</f>
        <v/>
      </c>
      <c r="M365" s="202"/>
    </row>
    <row r="366" spans="1:13" ht="16.2">
      <c r="A366" s="31" t="str">
        <f t="shared" si="8"/>
        <v>modesg_out_empr_info_nfincca_capex_enblng_algnd</v>
      </c>
      <c r="B366" s="162" t="s">
        <v>28</v>
      </c>
      <c r="C366" s="157" t="s">
        <v>301</v>
      </c>
      <c r="D366" s="153" t="s">
        <v>40</v>
      </c>
      <c r="E366" s="154" t="s">
        <v>312</v>
      </c>
      <c r="F366" s="153" t="s">
        <v>241</v>
      </c>
      <c r="G366" s="155" t="str">
        <f>VLOOKUP(A366,Plano_V3!$A$27:$G$583,7,0)</f>
        <v>6. Em implementação (re-especificação)</v>
      </c>
      <c r="H366" s="155" t="s">
        <v>482</v>
      </c>
      <c r="I366" s="179" t="s">
        <v>1884</v>
      </c>
      <c r="J366" s="175">
        <f>IF(VLOOKUP(A366,'Aux - pivots1'!$A:$E,3,0)=0, "",VLOOKUP(A366,'Aux - pivots1'!$A:$E,3,0))</f>
        <v>45561</v>
      </c>
      <c r="K366" s="175" t="str">
        <f>IF(VLOOKUP(A366,'Aux - pivots1'!$A:$E,4,0)=0, "",VLOOKUP(A366,'Aux - pivots1'!$A:$E,4,0))</f>
        <v/>
      </c>
      <c r="L366" s="175" t="str">
        <f>IF(VLOOKUP(A366,'Aux - pivots1'!$A:$E,5,0)=0, "",VLOOKUP(A366,'Aux - pivots1'!$A:$E,5,0))</f>
        <v/>
      </c>
      <c r="M366" s="202"/>
    </row>
    <row r="367" spans="1:13" ht="16.2">
      <c r="A367" s="31" t="str">
        <f t="shared" si="8"/>
        <v>modesg_out_empr_info_nfincca_capex_own_prfrmnce_algnd</v>
      </c>
      <c r="B367" s="162" t="s">
        <v>28</v>
      </c>
      <c r="C367" s="157" t="s">
        <v>301</v>
      </c>
      <c r="D367" s="153" t="s">
        <v>40</v>
      </c>
      <c r="E367" s="154" t="s">
        <v>312</v>
      </c>
      <c r="F367" s="153" t="s">
        <v>242</v>
      </c>
      <c r="G367" s="155" t="str">
        <f>VLOOKUP(A367,Plano_V3!$A$27:$G$583,7,0)</f>
        <v>6. Em implementação (re-especificação)</v>
      </c>
      <c r="H367" s="155" t="s">
        <v>482</v>
      </c>
      <c r="I367" s="179" t="s">
        <v>1884</v>
      </c>
      <c r="J367" s="175">
        <f>IF(VLOOKUP(A367,'Aux - pivots1'!$A:$E,3,0)=0, "",VLOOKUP(A367,'Aux - pivots1'!$A:$E,3,0))</f>
        <v>45561</v>
      </c>
      <c r="K367" s="175" t="str">
        <f>IF(VLOOKUP(A367,'Aux - pivots1'!$A:$E,4,0)=0, "",VLOOKUP(A367,'Aux - pivots1'!$A:$E,4,0))</f>
        <v/>
      </c>
      <c r="L367" s="175" t="str">
        <f>IF(VLOOKUP(A367,'Aux - pivots1'!$A:$E,5,0)=0, "",VLOOKUP(A367,'Aux - pivots1'!$A:$E,5,0))</f>
        <v/>
      </c>
      <c r="M367" s="202"/>
    </row>
    <row r="368" spans="1:13" ht="16.2">
      <c r="A368" s="31" t="str">
        <f t="shared" si="8"/>
        <v>modesg_out_empr_info_nfincca_capex_ttl_elgbl</v>
      </c>
      <c r="B368" s="162" t="s">
        <v>28</v>
      </c>
      <c r="C368" s="157" t="s">
        <v>301</v>
      </c>
      <c r="D368" s="153" t="s">
        <v>40</v>
      </c>
      <c r="E368" s="154" t="s">
        <v>312</v>
      </c>
      <c r="F368" s="153" t="s">
        <v>240</v>
      </c>
      <c r="G368" s="155" t="str">
        <f>VLOOKUP(A368,Plano_V3!$A$27:$G$583,7,0)</f>
        <v>6. Em implementação (re-especificação)</v>
      </c>
      <c r="H368" s="155" t="s">
        <v>482</v>
      </c>
      <c r="I368" s="179" t="s">
        <v>1884</v>
      </c>
      <c r="J368" s="175">
        <f>IF(VLOOKUP(A368,'Aux - pivots1'!$A:$E,3,0)=0, "",VLOOKUP(A368,'Aux - pivots1'!$A:$E,3,0))</f>
        <v>45561</v>
      </c>
      <c r="K368" s="175" t="str">
        <f>IF(VLOOKUP(A368,'Aux - pivots1'!$A:$E,4,0)=0, "",VLOOKUP(A368,'Aux - pivots1'!$A:$E,4,0))</f>
        <v/>
      </c>
      <c r="L368" s="175" t="str">
        <f>IF(VLOOKUP(A368,'Aux - pivots1'!$A:$E,5,0)=0, "",VLOOKUP(A368,'Aux - pivots1'!$A:$E,5,0))</f>
        <v/>
      </c>
      <c r="M368" s="202"/>
    </row>
    <row r="369" spans="1:13" ht="16.2">
      <c r="A369" s="31" t="str">
        <f t="shared" si="8"/>
        <v>modesg_out_empr_info_nfincca_trnvr_enblng_alignd</v>
      </c>
      <c r="B369" s="162" t="s">
        <v>28</v>
      </c>
      <c r="C369" s="157" t="s">
        <v>301</v>
      </c>
      <c r="D369" s="153" t="s">
        <v>40</v>
      </c>
      <c r="E369" s="154" t="s">
        <v>312</v>
      </c>
      <c r="F369" s="153" t="s">
        <v>238</v>
      </c>
      <c r="G369" s="155" t="str">
        <f>VLOOKUP(A369,Plano_V3!$A$27:$G$583,7,0)</f>
        <v>6. Em implementação (re-especificação)</v>
      </c>
      <c r="H369" s="155" t="s">
        <v>482</v>
      </c>
      <c r="I369" s="179" t="s">
        <v>1884</v>
      </c>
      <c r="J369" s="175">
        <f>IF(VLOOKUP(A369,'Aux - pivots1'!$A:$E,3,0)=0, "",VLOOKUP(A369,'Aux - pivots1'!$A:$E,3,0))</f>
        <v>45561</v>
      </c>
      <c r="K369" s="175" t="str">
        <f>IF(VLOOKUP(A369,'Aux - pivots1'!$A:$E,4,0)=0, "",VLOOKUP(A369,'Aux - pivots1'!$A:$E,4,0))</f>
        <v/>
      </c>
      <c r="L369" s="175" t="str">
        <f>IF(VLOOKUP(A369,'Aux - pivots1'!$A:$E,5,0)=0, "",VLOOKUP(A369,'Aux - pivots1'!$A:$E,5,0))</f>
        <v/>
      </c>
      <c r="M369" s="202"/>
    </row>
    <row r="370" spans="1:13" ht="16.2">
      <c r="A370" s="31" t="str">
        <f t="shared" si="8"/>
        <v>modesg_out_empr_info_nfincca_trnvr_ttl_elgbl</v>
      </c>
      <c r="B370" s="162" t="s">
        <v>28</v>
      </c>
      <c r="C370" s="157" t="s">
        <v>301</v>
      </c>
      <c r="D370" s="153" t="s">
        <v>40</v>
      </c>
      <c r="E370" s="154" t="s">
        <v>312</v>
      </c>
      <c r="F370" s="153" t="s">
        <v>237</v>
      </c>
      <c r="G370" s="155" t="str">
        <f>VLOOKUP(A370,Plano_V3!$A$27:$G$583,7,0)</f>
        <v>6. Em implementação (re-especificação)</v>
      </c>
      <c r="H370" s="155" t="s">
        <v>482</v>
      </c>
      <c r="I370" s="179" t="s">
        <v>1884</v>
      </c>
      <c r="J370" s="175">
        <f>IF(VLOOKUP(A370,'Aux - pivots1'!$A:$E,3,0)=0, "",VLOOKUP(A370,'Aux - pivots1'!$A:$E,3,0))</f>
        <v>45561</v>
      </c>
      <c r="K370" s="175" t="str">
        <f>IF(VLOOKUP(A370,'Aux - pivots1'!$A:$E,4,0)=0, "",VLOOKUP(A370,'Aux - pivots1'!$A:$E,4,0))</f>
        <v/>
      </c>
      <c r="L370" s="175" t="str">
        <f>IF(VLOOKUP(A370,'Aux - pivots1'!$A:$E,5,0)=0, "",VLOOKUP(A370,'Aux - pivots1'!$A:$E,5,0))</f>
        <v/>
      </c>
      <c r="M370" s="202"/>
    </row>
    <row r="371" spans="1:13" ht="16.2">
      <c r="A371" s="31" t="str">
        <f t="shared" si="8"/>
        <v>modesg_out_empr_info_nfincca_turnover_own_prfrmnce_algnd</v>
      </c>
      <c r="B371" s="162" t="s">
        <v>28</v>
      </c>
      <c r="C371" s="157" t="s">
        <v>301</v>
      </c>
      <c r="D371" s="153" t="s">
        <v>40</v>
      </c>
      <c r="E371" s="154" t="s">
        <v>312</v>
      </c>
      <c r="F371" s="153" t="s">
        <v>239</v>
      </c>
      <c r="G371" s="155" t="str">
        <f>VLOOKUP(A371,Plano_V3!$A$27:$G$583,7,0)</f>
        <v>6. Em implementação (re-especificação)</v>
      </c>
      <c r="H371" s="155" t="s">
        <v>482</v>
      </c>
      <c r="I371" s="179" t="s">
        <v>1884</v>
      </c>
      <c r="J371" s="175">
        <f>IF(VLOOKUP(A371,'Aux - pivots1'!$A:$E,3,0)=0, "",VLOOKUP(A371,'Aux - pivots1'!$A:$E,3,0))</f>
        <v>45561</v>
      </c>
      <c r="K371" s="175" t="str">
        <f>IF(VLOOKUP(A371,'Aux - pivots1'!$A:$E,4,0)=0, "",VLOOKUP(A371,'Aux - pivots1'!$A:$E,4,0))</f>
        <v/>
      </c>
      <c r="L371" s="175" t="str">
        <f>IF(VLOOKUP(A371,'Aux - pivots1'!$A:$E,5,0)=0, "",VLOOKUP(A371,'Aux - pivots1'!$A:$E,5,0))</f>
        <v/>
      </c>
      <c r="M371" s="202"/>
    </row>
    <row r="372" spans="1:13" ht="16.2">
      <c r="A372" s="31" t="str">
        <f t="shared" si="8"/>
        <v>modesg_out_empr_info_nfinccm_capex_enblng_algnd</v>
      </c>
      <c r="B372" s="162" t="s">
        <v>28</v>
      </c>
      <c r="C372" s="157" t="s">
        <v>301</v>
      </c>
      <c r="D372" s="153" t="s">
        <v>40</v>
      </c>
      <c r="E372" s="154" t="s">
        <v>312</v>
      </c>
      <c r="F372" s="153" t="s">
        <v>248</v>
      </c>
      <c r="G372" s="155" t="str">
        <f>VLOOKUP(A372,Plano_V3!$A$27:$G$583,7,0)</f>
        <v>6. Em implementação (re-especificação)</v>
      </c>
      <c r="H372" s="155" t="s">
        <v>482</v>
      </c>
      <c r="I372" s="179" t="s">
        <v>1884</v>
      </c>
      <c r="J372" s="175">
        <f>IF(VLOOKUP(A372,'Aux - pivots1'!$A:$E,3,0)=0, "",VLOOKUP(A372,'Aux - pivots1'!$A:$E,3,0))</f>
        <v>45561</v>
      </c>
      <c r="K372" s="175" t="str">
        <f>IF(VLOOKUP(A372,'Aux - pivots1'!$A:$E,4,0)=0, "",VLOOKUP(A372,'Aux - pivots1'!$A:$E,4,0))</f>
        <v/>
      </c>
      <c r="L372" s="175" t="str">
        <f>IF(VLOOKUP(A372,'Aux - pivots1'!$A:$E,5,0)=0, "",VLOOKUP(A372,'Aux - pivots1'!$A:$E,5,0))</f>
        <v/>
      </c>
      <c r="M372" s="202"/>
    </row>
    <row r="373" spans="1:13" ht="16.2">
      <c r="A373" s="31" t="str">
        <f t="shared" si="8"/>
        <v>modesg_out_empr_info_nfinccm_capex_own_prfrmnce_algnd</v>
      </c>
      <c r="B373" s="162" t="s">
        <v>28</v>
      </c>
      <c r="C373" s="157" t="s">
        <v>301</v>
      </c>
      <c r="D373" s="153" t="s">
        <v>40</v>
      </c>
      <c r="E373" s="154" t="s">
        <v>312</v>
      </c>
      <c r="F373" s="153" t="s">
        <v>250</v>
      </c>
      <c r="G373" s="155" t="str">
        <f>VLOOKUP(A373,Plano_V3!$A$27:$G$583,7,0)</f>
        <v>6. Em implementação (re-especificação)</v>
      </c>
      <c r="H373" s="155" t="s">
        <v>482</v>
      </c>
      <c r="I373" s="179" t="s">
        <v>1884</v>
      </c>
      <c r="J373" s="175">
        <f>IF(VLOOKUP(A373,'Aux - pivots1'!$A:$E,3,0)=0, "",VLOOKUP(A373,'Aux - pivots1'!$A:$E,3,0))</f>
        <v>45561</v>
      </c>
      <c r="K373" s="175" t="str">
        <f>IF(VLOOKUP(A373,'Aux - pivots1'!$A:$E,4,0)=0, "",VLOOKUP(A373,'Aux - pivots1'!$A:$E,4,0))</f>
        <v/>
      </c>
      <c r="L373" s="175" t="str">
        <f>IF(VLOOKUP(A373,'Aux - pivots1'!$A:$E,5,0)=0, "",VLOOKUP(A373,'Aux - pivots1'!$A:$E,5,0))</f>
        <v/>
      </c>
      <c r="M373" s="202"/>
    </row>
    <row r="374" spans="1:13" ht="16.2">
      <c r="A374" s="31" t="str">
        <f t="shared" si="8"/>
        <v>modesg_out_empr_info_nfinccm_capex_trnstn_algnd</v>
      </c>
      <c r="B374" s="162" t="s">
        <v>28</v>
      </c>
      <c r="C374" s="157" t="s">
        <v>301</v>
      </c>
      <c r="D374" s="153" t="s">
        <v>40</v>
      </c>
      <c r="E374" s="154" t="s">
        <v>312</v>
      </c>
      <c r="F374" s="153" t="s">
        <v>249</v>
      </c>
      <c r="G374" s="155" t="str">
        <f>VLOOKUP(A374,Plano_V3!$A$27:$G$583,7,0)</f>
        <v>6. Em implementação (re-especificação)</v>
      </c>
      <c r="H374" s="155" t="s">
        <v>482</v>
      </c>
      <c r="I374" s="179" t="s">
        <v>1884</v>
      </c>
      <c r="J374" s="175">
        <f>IF(VLOOKUP(A374,'Aux - pivots1'!$A:$E,3,0)=0, "",VLOOKUP(A374,'Aux - pivots1'!$A:$E,3,0))</f>
        <v>45561</v>
      </c>
      <c r="K374" s="175" t="str">
        <f>IF(VLOOKUP(A374,'Aux - pivots1'!$A:$E,4,0)=0, "",VLOOKUP(A374,'Aux - pivots1'!$A:$E,4,0))</f>
        <v/>
      </c>
      <c r="L374" s="175" t="str">
        <f>IF(VLOOKUP(A374,'Aux - pivots1'!$A:$E,5,0)=0, "",VLOOKUP(A374,'Aux - pivots1'!$A:$E,5,0))</f>
        <v/>
      </c>
      <c r="M374" s="202"/>
    </row>
    <row r="375" spans="1:13" ht="16.2">
      <c r="A375" s="31" t="str">
        <f t="shared" si="8"/>
        <v>modesg_out_empr_info_nfinccm_capex_ttl_elgbl</v>
      </c>
      <c r="B375" s="162" t="s">
        <v>28</v>
      </c>
      <c r="C375" s="157" t="s">
        <v>301</v>
      </c>
      <c r="D375" s="153" t="s">
        <v>40</v>
      </c>
      <c r="E375" s="154" t="s">
        <v>312</v>
      </c>
      <c r="F375" s="153" t="s">
        <v>247</v>
      </c>
      <c r="G375" s="155" t="str">
        <f>VLOOKUP(A375,Plano_V3!$A$27:$G$583,7,0)</f>
        <v>6. Em implementação (re-especificação)</v>
      </c>
      <c r="H375" s="155" t="s">
        <v>482</v>
      </c>
      <c r="I375" s="179" t="s">
        <v>1884</v>
      </c>
      <c r="J375" s="175">
        <f>IF(VLOOKUP(A375,'Aux - pivots1'!$A:$E,3,0)=0, "",VLOOKUP(A375,'Aux - pivots1'!$A:$E,3,0))</f>
        <v>45561</v>
      </c>
      <c r="K375" s="175" t="str">
        <f>IF(VLOOKUP(A375,'Aux - pivots1'!$A:$E,4,0)=0, "",VLOOKUP(A375,'Aux - pivots1'!$A:$E,4,0))</f>
        <v/>
      </c>
      <c r="L375" s="175" t="str">
        <f>IF(VLOOKUP(A375,'Aux - pivots1'!$A:$E,5,0)=0, "",VLOOKUP(A375,'Aux - pivots1'!$A:$E,5,0))</f>
        <v/>
      </c>
      <c r="M375" s="202"/>
    </row>
    <row r="376" spans="1:13" ht="16.2">
      <c r="A376" s="31" t="str">
        <f t="shared" si="8"/>
        <v>modesg_out_empr_info_nfinccm_trnvr_enblng_algnd</v>
      </c>
      <c r="B376" s="162" t="s">
        <v>28</v>
      </c>
      <c r="C376" s="157" t="s">
        <v>301</v>
      </c>
      <c r="D376" s="153" t="s">
        <v>40</v>
      </c>
      <c r="E376" s="154" t="s">
        <v>312</v>
      </c>
      <c r="F376" s="153" t="s">
        <v>244</v>
      </c>
      <c r="G376" s="155" t="str">
        <f>VLOOKUP(A376,Plano_V3!$A$27:$G$583,7,0)</f>
        <v>6. Em implementação (re-especificação)</v>
      </c>
      <c r="H376" s="155" t="s">
        <v>482</v>
      </c>
      <c r="I376" s="179" t="s">
        <v>1884</v>
      </c>
      <c r="J376" s="175">
        <f>IF(VLOOKUP(A376,'Aux - pivots1'!$A:$E,3,0)=0, "",VLOOKUP(A376,'Aux - pivots1'!$A:$E,3,0))</f>
        <v>45561</v>
      </c>
      <c r="K376" s="175" t="str">
        <f>IF(VLOOKUP(A376,'Aux - pivots1'!$A:$E,4,0)=0, "",VLOOKUP(A376,'Aux - pivots1'!$A:$E,4,0))</f>
        <v/>
      </c>
      <c r="L376" s="175" t="str">
        <f>IF(VLOOKUP(A376,'Aux - pivots1'!$A:$E,5,0)=0, "",VLOOKUP(A376,'Aux - pivots1'!$A:$E,5,0))</f>
        <v/>
      </c>
      <c r="M376" s="202"/>
    </row>
    <row r="377" spans="1:13" ht="16.2">
      <c r="A377" s="31" t="str">
        <f t="shared" si="8"/>
        <v>modesg_out_empr_info_nfinccm_trnvr_own_prfrmnce_algnd</v>
      </c>
      <c r="B377" s="162" t="s">
        <v>28</v>
      </c>
      <c r="C377" s="157" t="s">
        <v>301</v>
      </c>
      <c r="D377" s="153" t="s">
        <v>40</v>
      </c>
      <c r="E377" s="154" t="s">
        <v>312</v>
      </c>
      <c r="F377" s="153" t="s">
        <v>246</v>
      </c>
      <c r="G377" s="155" t="str">
        <f>VLOOKUP(A377,Plano_V3!$A$27:$G$583,7,0)</f>
        <v>6. Em implementação (re-especificação)</v>
      </c>
      <c r="H377" s="155" t="s">
        <v>482</v>
      </c>
      <c r="I377" s="179" t="s">
        <v>1884</v>
      </c>
      <c r="J377" s="175">
        <f>IF(VLOOKUP(A377,'Aux - pivots1'!$A:$E,3,0)=0, "",VLOOKUP(A377,'Aux - pivots1'!$A:$E,3,0))</f>
        <v>45561</v>
      </c>
      <c r="K377" s="175" t="str">
        <f>IF(VLOOKUP(A377,'Aux - pivots1'!$A:$E,4,0)=0, "",VLOOKUP(A377,'Aux - pivots1'!$A:$E,4,0))</f>
        <v/>
      </c>
      <c r="L377" s="175" t="str">
        <f>IF(VLOOKUP(A377,'Aux - pivots1'!$A:$E,5,0)=0, "",VLOOKUP(A377,'Aux - pivots1'!$A:$E,5,0))</f>
        <v/>
      </c>
      <c r="M377" s="202"/>
    </row>
    <row r="378" spans="1:13" ht="16.2">
      <c r="A378" s="31" t="str">
        <f t="shared" si="8"/>
        <v>modesg_out_empr_info_nfinccm_trnvr_trnstn_alignd</v>
      </c>
      <c r="B378" s="162" t="s">
        <v>28</v>
      </c>
      <c r="C378" s="157" t="s">
        <v>301</v>
      </c>
      <c r="D378" s="153" t="s">
        <v>40</v>
      </c>
      <c r="E378" s="154" t="s">
        <v>312</v>
      </c>
      <c r="F378" s="153" t="s">
        <v>245</v>
      </c>
      <c r="G378" s="155" t="str">
        <f>VLOOKUP(A378,Plano_V3!$A$27:$G$583,7,0)</f>
        <v>6. Em implementação (re-especificação)</v>
      </c>
      <c r="H378" s="155" t="s">
        <v>482</v>
      </c>
      <c r="I378" s="179" t="s">
        <v>1884</v>
      </c>
      <c r="J378" s="175">
        <f>IF(VLOOKUP(A378,'Aux - pivots1'!$A:$E,3,0)=0, "",VLOOKUP(A378,'Aux - pivots1'!$A:$E,3,0))</f>
        <v>45561</v>
      </c>
      <c r="K378" s="175" t="str">
        <f>IF(VLOOKUP(A378,'Aux - pivots1'!$A:$E,4,0)=0, "",VLOOKUP(A378,'Aux - pivots1'!$A:$E,4,0))</f>
        <v/>
      </c>
      <c r="L378" s="175" t="str">
        <f>IF(VLOOKUP(A378,'Aux - pivots1'!$A:$E,5,0)=0, "",VLOOKUP(A378,'Aux - pivots1'!$A:$E,5,0))</f>
        <v/>
      </c>
      <c r="M378" s="202"/>
    </row>
    <row r="379" spans="1:13" ht="16.2">
      <c r="A379" s="31" t="str">
        <f t="shared" si="8"/>
        <v>modesg_out_empr_info_nfinccm_trnvr_ttl_elgbl</v>
      </c>
      <c r="B379" s="162" t="s">
        <v>28</v>
      </c>
      <c r="C379" s="157" t="s">
        <v>301</v>
      </c>
      <c r="D379" s="153" t="s">
        <v>40</v>
      </c>
      <c r="E379" s="154" t="s">
        <v>312</v>
      </c>
      <c r="F379" s="153" t="s">
        <v>243</v>
      </c>
      <c r="G379" s="155" t="str">
        <f>VLOOKUP(A379,Plano_V3!$A$27:$G$583,7,0)</f>
        <v>6. Em implementação (re-especificação)</v>
      </c>
      <c r="H379" s="155" t="s">
        <v>482</v>
      </c>
      <c r="I379" s="179" t="s">
        <v>1884</v>
      </c>
      <c r="J379" s="175">
        <f>IF(VLOOKUP(A379,'Aux - pivots1'!$A:$E,3,0)=0, "",VLOOKUP(A379,'Aux - pivots1'!$A:$E,3,0))</f>
        <v>45561</v>
      </c>
      <c r="K379" s="175" t="str">
        <f>IF(VLOOKUP(A379,'Aux - pivots1'!$A:$E,4,0)=0, "",VLOOKUP(A379,'Aux - pivots1'!$A:$E,4,0))</f>
        <v/>
      </c>
      <c r="L379" s="175" t="str">
        <f>IF(VLOOKUP(A379,'Aux - pivots1'!$A:$E,5,0)=0, "",VLOOKUP(A379,'Aux - pivots1'!$A:$E,5,0))</f>
        <v/>
      </c>
      <c r="M379" s="202"/>
    </row>
    <row r="380" spans="1:13" ht="16.2">
      <c r="A380" s="31" t="str">
        <f t="shared" si="8"/>
        <v>modesg_out_empr_info_nfincod_nace_esg</v>
      </c>
      <c r="B380" s="162" t="s">
        <v>28</v>
      </c>
      <c r="C380" s="157" t="s">
        <v>301</v>
      </c>
      <c r="D380" s="153" t="s">
        <v>40</v>
      </c>
      <c r="E380" s="154" t="s">
        <v>312</v>
      </c>
      <c r="F380" s="206" t="s">
        <v>272</v>
      </c>
      <c r="G380" s="207" t="str">
        <f>VLOOKUP(A380,Plano_V3!$A$27:$G$583,7,0)</f>
        <v>6. Em implementação (re-especificação)</v>
      </c>
      <c r="H380" s="155" t="s">
        <v>482</v>
      </c>
      <c r="I380" s="179" t="s">
        <v>1884</v>
      </c>
      <c r="J380" s="175">
        <f>IF(VLOOKUP(A380,'Aux - pivots1'!$A:$E,3,0)=0, "",VLOOKUP(A380,'Aux - pivots1'!$A:$E,3,0))</f>
        <v>45561</v>
      </c>
      <c r="K380" s="175" t="str">
        <f>IF(VLOOKUP(A380,'Aux - pivots1'!$A:$E,4,0)=0, "",VLOOKUP(A380,'Aux - pivots1'!$A:$E,4,0))</f>
        <v/>
      </c>
      <c r="L380" s="175" t="str">
        <f>IF(VLOOKUP(A380,'Aux - pivots1'!$A:$E,5,0)=0, "",VLOOKUP(A380,'Aux - pivots1'!$A:$E,5,0))</f>
        <v/>
      </c>
      <c r="M380" s="202"/>
    </row>
    <row r="381" spans="1:13" ht="16.2">
      <c r="A381" s="31" t="str">
        <f t="shared" si="8"/>
        <v>modesg_out_empr_info_nfinflg_emprs_excl_paris</v>
      </c>
      <c r="B381" s="162" t="s">
        <v>28</v>
      </c>
      <c r="C381" s="157" t="s">
        <v>301</v>
      </c>
      <c r="D381" s="153" t="s">
        <v>40</v>
      </c>
      <c r="E381" s="154" t="s">
        <v>312</v>
      </c>
      <c r="F381" s="153" t="s">
        <v>314</v>
      </c>
      <c r="G381" s="155" t="str">
        <f>VLOOKUP(A381,Plano_V3!$A$27:$G$583,7,0)</f>
        <v>6. Em implementação (re-especificação)</v>
      </c>
      <c r="H381" s="155" t="s">
        <v>482</v>
      </c>
      <c r="I381" s="179" t="s">
        <v>1884</v>
      </c>
      <c r="J381" s="175">
        <f>IF(VLOOKUP(A381,'Aux - pivots1'!$A:$E,3,0)=0, "",VLOOKUP(A381,'Aux - pivots1'!$A:$E,3,0))</f>
        <v>45553</v>
      </c>
      <c r="K381" s="175">
        <f>IF(VLOOKUP(A381,'Aux - pivots1'!$A:$E,4,0)=0, "",VLOOKUP(A381,'Aux - pivots1'!$A:$E,4,0))</f>
        <v>45565</v>
      </c>
      <c r="L381" s="175" t="str">
        <f>IF(VLOOKUP(A381,'Aux - pivots1'!$A:$E,5,0)=0, "",VLOOKUP(A381,'Aux - pivots1'!$A:$E,5,0))</f>
        <v/>
      </c>
      <c r="M381" s="202"/>
    </row>
    <row r="382" spans="1:13" ht="16.2">
      <c r="A382" s="31" t="str">
        <f t="shared" si="8"/>
        <v>modesg_out_empr_info_nfinflg_nfrd</v>
      </c>
      <c r="B382" s="162" t="s">
        <v>28</v>
      </c>
      <c r="C382" s="157" t="s">
        <v>301</v>
      </c>
      <c r="D382" s="153" t="s">
        <v>40</v>
      </c>
      <c r="E382" s="154" t="s">
        <v>312</v>
      </c>
      <c r="F382" s="153" t="s">
        <v>236</v>
      </c>
      <c r="G382" s="155" t="str">
        <f>VLOOKUP(A382,Plano_V3!$A$27:$G$583,7,0)</f>
        <v>6. Em implementação (re-especificação)</v>
      </c>
      <c r="H382" s="155" t="s">
        <v>482</v>
      </c>
      <c r="I382" s="179" t="s">
        <v>1884</v>
      </c>
      <c r="J382" s="175">
        <f>IF(VLOOKUP(A382,'Aux - pivots1'!$A:$E,3,0)=0, "",VLOOKUP(A382,'Aux - pivots1'!$A:$E,3,0))</f>
        <v>45553</v>
      </c>
      <c r="K382" s="175">
        <f>IF(VLOOKUP(A382,'Aux - pivots1'!$A:$E,4,0)=0, "",VLOOKUP(A382,'Aux - pivots1'!$A:$E,4,0))</f>
        <v>45565</v>
      </c>
      <c r="L382" s="175" t="str">
        <f>IF(VLOOKUP(A382,'Aux - pivots1'!$A:$E,5,0)=0, "",VLOOKUP(A382,'Aux - pivots1'!$A:$E,5,0))</f>
        <v/>
      </c>
      <c r="M382" s="202"/>
    </row>
    <row r="383" spans="1:13" ht="16.2">
      <c r="A383" s="31" t="str">
        <f t="shared" si="8"/>
        <v>modesg_out_empr_info_nfinflg_rsc_fsc_agd</v>
      </c>
      <c r="B383" s="162" t="s">
        <v>28</v>
      </c>
      <c r="C383" s="157" t="s">
        <v>301</v>
      </c>
      <c r="D383" s="153" t="s">
        <v>40</v>
      </c>
      <c r="E383" s="154" t="s">
        <v>312</v>
      </c>
      <c r="F383" s="153" t="s">
        <v>273</v>
      </c>
      <c r="G383" s="155" t="str">
        <f>VLOOKUP(A383,Plano_V3!$A$27:$G$583,7,0)</f>
        <v>4. Validação EF</v>
      </c>
      <c r="H383" s="155" t="s">
        <v>479</v>
      </c>
      <c r="I383" s="179" t="s">
        <v>1884</v>
      </c>
      <c r="J383" s="175">
        <f>IF(VLOOKUP(A383,'Aux - pivots1'!$A:$E,3,0)=0, "",VLOOKUP(A383,'Aux - pivots1'!$A:$E,3,0))</f>
        <v>45561</v>
      </c>
      <c r="K383" s="175" t="str">
        <f>IF(VLOOKUP(A383,'Aux - pivots1'!$A:$E,4,0)=0, "",VLOOKUP(A383,'Aux - pivots1'!$A:$E,4,0))</f>
        <v/>
      </c>
      <c r="L383" s="175" t="str">
        <f>IF(VLOOKUP(A383,'Aux - pivots1'!$A:$E,5,0)=0, "",VLOOKUP(A383,'Aux - pivots1'!$A:$E,5,0))</f>
        <v/>
      </c>
      <c r="M383" s="202"/>
    </row>
    <row r="384" spans="1:13" ht="16.2">
      <c r="A384" s="31" t="str">
        <f t="shared" si="8"/>
        <v>modesg_out_empr_info_nfinflg_rsc_fsc_crnc</v>
      </c>
      <c r="B384" s="162" t="s">
        <v>28</v>
      </c>
      <c r="C384" s="157" t="s">
        <v>301</v>
      </c>
      <c r="D384" s="153" t="s">
        <v>40</v>
      </c>
      <c r="E384" s="154" t="s">
        <v>312</v>
      </c>
      <c r="F384" s="153" t="s">
        <v>274</v>
      </c>
      <c r="G384" s="155" t="str">
        <f>VLOOKUP(A384,Plano_V3!$A$27:$G$583,7,0)</f>
        <v>4. Validação EF</v>
      </c>
      <c r="H384" s="155" t="s">
        <v>479</v>
      </c>
      <c r="I384" s="179" t="s">
        <v>1884</v>
      </c>
      <c r="J384" s="175">
        <f>IF(VLOOKUP(A384,'Aux - pivots1'!$A:$E,3,0)=0, "",VLOOKUP(A384,'Aux - pivots1'!$A:$E,3,0))</f>
        <v>45561</v>
      </c>
      <c r="K384" s="175" t="str">
        <f>IF(VLOOKUP(A384,'Aux - pivots1'!$A:$E,4,0)=0, "",VLOOKUP(A384,'Aux - pivots1'!$A:$E,4,0))</f>
        <v/>
      </c>
      <c r="L384" s="175" t="str">
        <f>IF(VLOOKUP(A384,'Aux - pivots1'!$A:$E,5,0)=0, "",VLOOKUP(A384,'Aux - pivots1'!$A:$E,5,0))</f>
        <v/>
      </c>
      <c r="M384" s="202"/>
    </row>
    <row r="385" spans="1:13" ht="16.2">
      <c r="A385" s="31" t="str">
        <f t="shared" si="8"/>
        <v>modesg_out_empr_info_nfinorigem_alinhamentos</v>
      </c>
      <c r="B385" s="162" t="s">
        <v>28</v>
      </c>
      <c r="C385" s="157" t="s">
        <v>301</v>
      </c>
      <c r="D385" s="153" t="s">
        <v>40</v>
      </c>
      <c r="E385" s="154" t="s">
        <v>312</v>
      </c>
      <c r="F385" s="153" t="s">
        <v>315</v>
      </c>
      <c r="G385" s="155" t="str">
        <f>VLOOKUP(A385,Plano_V3!$A$27:$G$583,7,0)</f>
        <v>6. Em implementação (re-especificação)</v>
      </c>
      <c r="H385" s="155" t="s">
        <v>482</v>
      </c>
      <c r="I385" s="179" t="s">
        <v>1884</v>
      </c>
      <c r="J385" s="175">
        <f>IF(VLOOKUP(A385,'Aux - pivots1'!$A:$E,3,0)=0, "",VLOOKUP(A385,'Aux - pivots1'!$A:$E,3,0))</f>
        <v>45561</v>
      </c>
      <c r="K385" s="175" t="str">
        <f>IF(VLOOKUP(A385,'Aux - pivots1'!$A:$E,4,0)=0, "",VLOOKUP(A385,'Aux - pivots1'!$A:$E,4,0))</f>
        <v/>
      </c>
      <c r="L385" s="175" t="str">
        <f>IF(VLOOKUP(A385,'Aux - pivots1'!$A:$E,5,0)=0, "",VLOOKUP(A385,'Aux - pivots1'!$A:$E,5,0))</f>
        <v/>
      </c>
      <c r="M385" s="202"/>
    </row>
    <row r="386" spans="1:13" ht="16.2">
      <c r="A386" s="31" t="str">
        <f t="shared" si="8"/>
        <v>modesg_out_empr_info_nfinorigem_flg_emprs_excl_paris</v>
      </c>
      <c r="B386" s="162" t="s">
        <v>28</v>
      </c>
      <c r="C386" s="157" t="s">
        <v>301</v>
      </c>
      <c r="D386" s="153" t="s">
        <v>40</v>
      </c>
      <c r="E386" s="154" t="s">
        <v>312</v>
      </c>
      <c r="F386" s="153" t="s">
        <v>316</v>
      </c>
      <c r="G386" s="155" t="str">
        <f>VLOOKUP(A386,Plano_V3!$A$27:$G$583,7,0)</f>
        <v>6. Em implementação (re-especificação)</v>
      </c>
      <c r="H386" s="155" t="s">
        <v>482</v>
      </c>
      <c r="I386" s="179" t="s">
        <v>1884</v>
      </c>
      <c r="J386" s="175">
        <f>IF(VLOOKUP(A386,'Aux - pivots1'!$A:$E,3,0)=0, "",VLOOKUP(A386,'Aux - pivots1'!$A:$E,3,0))</f>
        <v>45553</v>
      </c>
      <c r="K386" s="175">
        <f>IF(VLOOKUP(A386,'Aux - pivots1'!$A:$E,4,0)=0, "",VLOOKUP(A386,'Aux - pivots1'!$A:$E,4,0))</f>
        <v>45565</v>
      </c>
      <c r="L386" s="175" t="str">
        <f>IF(VLOOKUP(A386,'Aux - pivots1'!$A:$E,5,0)=0, "",VLOOKUP(A386,'Aux - pivots1'!$A:$E,5,0))</f>
        <v/>
      </c>
      <c r="M386" s="202"/>
    </row>
    <row r="387" spans="1:13" ht="16.2">
      <c r="A387" s="31" t="str">
        <f t="shared" si="8"/>
        <v>modesg_out_empr_info_nfinorigem_flg_nfrd</v>
      </c>
      <c r="B387" s="162" t="s">
        <v>28</v>
      </c>
      <c r="C387" s="157" t="s">
        <v>301</v>
      </c>
      <c r="D387" s="153" t="s">
        <v>40</v>
      </c>
      <c r="E387" s="154" t="s">
        <v>312</v>
      </c>
      <c r="F387" s="153" t="s">
        <v>317</v>
      </c>
      <c r="G387" s="155" t="str">
        <f>VLOOKUP(A387,Plano_V3!$A$27:$G$583,7,0)</f>
        <v>6. Em implementação (re-especificação)</v>
      </c>
      <c r="H387" s="155" t="s">
        <v>482</v>
      </c>
      <c r="I387" s="179" t="s">
        <v>1884</v>
      </c>
      <c r="J387" s="175">
        <f>IF(VLOOKUP(A387,'Aux - pivots1'!$A:$E,3,0)=0, "",VLOOKUP(A387,'Aux - pivots1'!$A:$E,3,0))</f>
        <v>45553</v>
      </c>
      <c r="K387" s="175">
        <f>IF(VLOOKUP(A387,'Aux - pivots1'!$A:$E,4,0)=0, "",VLOOKUP(A387,'Aux - pivots1'!$A:$E,4,0))</f>
        <v>45565</v>
      </c>
      <c r="L387" s="175" t="str">
        <f>IF(VLOOKUP(A387,'Aux - pivots1'!$A:$E,5,0)=0, "",VLOOKUP(A387,'Aux - pivots1'!$A:$E,5,0))</f>
        <v/>
      </c>
      <c r="M387" s="202"/>
    </row>
    <row r="388" spans="1:13" ht="16.2">
      <c r="A388" s="31" t="str">
        <f t="shared" si="8"/>
        <v>modesg_out_empr_info_nfinorigem_flg_rsc_fsc_agd</v>
      </c>
      <c r="B388" s="162" t="s">
        <v>28</v>
      </c>
      <c r="C388" s="157" t="s">
        <v>301</v>
      </c>
      <c r="D388" s="153" t="s">
        <v>40</v>
      </c>
      <c r="E388" s="154" t="s">
        <v>312</v>
      </c>
      <c r="F388" s="153" t="s">
        <v>304</v>
      </c>
      <c r="G388" s="155" t="str">
        <f>VLOOKUP(A388,Plano_V3!$A$27:$G$583,7,0)</f>
        <v>4. Validação EF</v>
      </c>
      <c r="H388" s="155" t="s">
        <v>479</v>
      </c>
      <c r="I388" s="179" t="s">
        <v>1884</v>
      </c>
      <c r="J388" s="175">
        <f>IF(VLOOKUP(A388,'Aux - pivots1'!$A:$E,3,0)=0, "",VLOOKUP(A388,'Aux - pivots1'!$A:$E,3,0))</f>
        <v>45561</v>
      </c>
      <c r="K388" s="175" t="str">
        <f>IF(VLOOKUP(A388,'Aux - pivots1'!$A:$E,4,0)=0, "",VLOOKUP(A388,'Aux - pivots1'!$A:$E,4,0))</f>
        <v/>
      </c>
      <c r="L388" s="175" t="str">
        <f>IF(VLOOKUP(A388,'Aux - pivots1'!$A:$E,5,0)=0, "",VLOOKUP(A388,'Aux - pivots1'!$A:$E,5,0))</f>
        <v/>
      </c>
      <c r="M388" s="202"/>
    </row>
    <row r="389" spans="1:13" ht="16.2">
      <c r="A389" s="31" t="str">
        <f t="shared" si="8"/>
        <v>modesg_out_empr_info_nfinorigem_flg_rsc_fsc_crnc</v>
      </c>
      <c r="B389" s="162" t="s">
        <v>28</v>
      </c>
      <c r="C389" s="157" t="s">
        <v>301</v>
      </c>
      <c r="D389" s="153" t="s">
        <v>40</v>
      </c>
      <c r="E389" s="154" t="s">
        <v>312</v>
      </c>
      <c r="F389" s="153" t="s">
        <v>305</v>
      </c>
      <c r="G389" s="155" t="str">
        <f>VLOOKUP(A389,Plano_V3!$A$27:$G$583,7,0)</f>
        <v>4. Validação EF</v>
      </c>
      <c r="H389" s="155" t="s">
        <v>479</v>
      </c>
      <c r="I389" s="179" t="s">
        <v>1884</v>
      </c>
      <c r="J389" s="175">
        <f>IF(VLOOKUP(A389,'Aux - pivots1'!$A:$E,3,0)=0, "",VLOOKUP(A389,'Aux - pivots1'!$A:$E,3,0))</f>
        <v>45561</v>
      </c>
      <c r="K389" s="175" t="str">
        <f>IF(VLOOKUP(A389,'Aux - pivots1'!$A:$E,4,0)=0, "",VLOOKUP(A389,'Aux - pivots1'!$A:$E,4,0))</f>
        <v/>
      </c>
      <c r="L389" s="175" t="str">
        <f>IF(VLOOKUP(A389,'Aux - pivots1'!$A:$E,5,0)=0, "",VLOOKUP(A389,'Aux - pivots1'!$A:$E,5,0))</f>
        <v/>
      </c>
      <c r="M389" s="202"/>
    </row>
    <row r="390" spans="1:13" ht="16.2">
      <c r="A390" s="31" t="str">
        <f t="shared" si="8"/>
        <v>modesg_out_empr_info_nfinorigem_scp1_emss</v>
      </c>
      <c r="B390" s="162" t="s">
        <v>28</v>
      </c>
      <c r="C390" s="157" t="s">
        <v>301</v>
      </c>
      <c r="D390" s="153" t="s">
        <v>40</v>
      </c>
      <c r="E390" s="154" t="s">
        <v>312</v>
      </c>
      <c r="F390" s="153" t="s">
        <v>306</v>
      </c>
      <c r="G390" s="155" t="str">
        <f>VLOOKUP(A390,Plano_V3!$A$27:$G$583,7,0)</f>
        <v>2. Em Teste</v>
      </c>
      <c r="H390" s="155" t="s">
        <v>177</v>
      </c>
      <c r="I390" s="179" t="s">
        <v>1885</v>
      </c>
      <c r="J390" s="175" t="str">
        <f>IF(VLOOKUP(A390,'Aux - pivots1'!$A:$E,3,0)=0, "",VLOOKUP(A390,'Aux - pivots1'!$A:$E,3,0))</f>
        <v/>
      </c>
      <c r="K390" s="175" t="str">
        <f>IF(VLOOKUP(A390,'Aux - pivots1'!$A:$E,4,0)=0, "",VLOOKUP(A390,'Aux - pivots1'!$A:$E,4,0))</f>
        <v/>
      </c>
      <c r="L390" s="175" t="str">
        <f>IF(VLOOKUP(A390,'Aux - pivots1'!$A:$E,5,0)=0, "",VLOOKUP(A390,'Aux - pivots1'!$A:$E,5,0))</f>
        <v/>
      </c>
      <c r="M390" s="202"/>
    </row>
    <row r="391" spans="1:13" ht="16.2">
      <c r="A391" s="31" t="str">
        <f t="shared" si="8"/>
        <v>modesg_out_empr_info_nfinorigem_scp2_emss</v>
      </c>
      <c r="B391" s="162" t="s">
        <v>28</v>
      </c>
      <c r="C391" s="157" t="s">
        <v>301</v>
      </c>
      <c r="D391" s="153" t="s">
        <v>40</v>
      </c>
      <c r="E391" s="154" t="s">
        <v>312</v>
      </c>
      <c r="F391" s="153" t="s">
        <v>307</v>
      </c>
      <c r="G391" s="155" t="str">
        <f>VLOOKUP(A391,Plano_V3!$A$27:$G$583,7,0)</f>
        <v>2. Em Teste</v>
      </c>
      <c r="H391" s="155" t="s">
        <v>177</v>
      </c>
      <c r="I391" s="179" t="s">
        <v>1885</v>
      </c>
      <c r="J391" s="175" t="str">
        <f>IF(VLOOKUP(A391,'Aux - pivots1'!$A:$E,3,0)=0, "",VLOOKUP(A391,'Aux - pivots1'!$A:$E,3,0))</f>
        <v/>
      </c>
      <c r="K391" s="175" t="str">
        <f>IF(VLOOKUP(A391,'Aux - pivots1'!$A:$E,4,0)=0, "",VLOOKUP(A391,'Aux - pivots1'!$A:$E,4,0))</f>
        <v/>
      </c>
      <c r="L391" s="175" t="str">
        <f>IF(VLOOKUP(A391,'Aux - pivots1'!$A:$E,5,0)=0, "",VLOOKUP(A391,'Aux - pivots1'!$A:$E,5,0))</f>
        <v/>
      </c>
      <c r="M391" s="202"/>
    </row>
    <row r="392" spans="1:13" ht="16.2">
      <c r="A392" s="31" t="str">
        <f t="shared" si="8"/>
        <v>modesg_out_empr_info_nfinorigem_scp3_emss</v>
      </c>
      <c r="B392" s="162" t="s">
        <v>28</v>
      </c>
      <c r="C392" s="157" t="s">
        <v>301</v>
      </c>
      <c r="D392" s="153" t="s">
        <v>40</v>
      </c>
      <c r="E392" s="154" t="s">
        <v>312</v>
      </c>
      <c r="F392" s="153" t="s">
        <v>308</v>
      </c>
      <c r="G392" s="155" t="str">
        <f>VLOOKUP(A392,Plano_V3!$A$27:$G$583,7,0)</f>
        <v>2. Em Teste</v>
      </c>
      <c r="H392" s="155" t="s">
        <v>177</v>
      </c>
      <c r="I392" s="179" t="s">
        <v>1885</v>
      </c>
      <c r="J392" s="175" t="str">
        <f>IF(VLOOKUP(A392,'Aux - pivots1'!$A:$E,3,0)=0, "",VLOOKUP(A392,'Aux - pivots1'!$A:$E,3,0))</f>
        <v/>
      </c>
      <c r="K392" s="175" t="str">
        <f>IF(VLOOKUP(A392,'Aux - pivots1'!$A:$E,4,0)=0, "",VLOOKUP(A392,'Aux - pivots1'!$A:$E,4,0))</f>
        <v/>
      </c>
      <c r="L392" s="175" t="str">
        <f>IF(VLOOKUP(A392,'Aux - pivots1'!$A:$E,5,0)=0, "",VLOOKUP(A392,'Aux - pivots1'!$A:$E,5,0))</f>
        <v/>
      </c>
      <c r="M392" s="202"/>
    </row>
    <row r="393" spans="1:13" ht="16.2">
      <c r="A393" s="31" t="str">
        <f t="shared" si="8"/>
        <v>modesg_out_empr_info_nfinref_date</v>
      </c>
      <c r="B393" s="162" t="s">
        <v>28</v>
      </c>
      <c r="C393" s="157" t="s">
        <v>301</v>
      </c>
      <c r="D393" s="153" t="s">
        <v>40</v>
      </c>
      <c r="E393" s="154" t="s">
        <v>312</v>
      </c>
      <c r="F393" s="153" t="s">
        <v>73</v>
      </c>
      <c r="G393" s="155" t="str">
        <f>VLOOKUP(A393,Plano_V3!$A$27:$G$583,7,0)</f>
        <v>1. Concluído</v>
      </c>
      <c r="H393" s="155" t="s">
        <v>477</v>
      </c>
      <c r="I393" s="179"/>
      <c r="J393" s="175" t="str">
        <f>IF(VLOOKUP(A393,'Aux - pivots1'!$A:$E,3,0)=0, "",VLOOKUP(A393,'Aux - pivots1'!$A:$E,3,0))</f>
        <v/>
      </c>
      <c r="K393" s="175" t="str">
        <f>IF(VLOOKUP(A393,'Aux - pivots1'!$A:$E,4,0)=0, "",VLOOKUP(A393,'Aux - pivots1'!$A:$E,4,0))</f>
        <v/>
      </c>
      <c r="L393" s="175" t="str">
        <f>IF(VLOOKUP(A393,'Aux - pivots1'!$A:$E,5,0)=0, "",VLOOKUP(A393,'Aux - pivots1'!$A:$E,5,0))</f>
        <v/>
      </c>
      <c r="M393" s="202"/>
    </row>
    <row r="394" spans="1:13" ht="16.2">
      <c r="A394" s="31" t="str">
        <f t="shared" si="8"/>
        <v>modesg_out_empr_info_nfinscp1_emss</v>
      </c>
      <c r="B394" s="162" t="s">
        <v>28</v>
      </c>
      <c r="C394" s="157" t="s">
        <v>301</v>
      </c>
      <c r="D394" s="153" t="s">
        <v>40</v>
      </c>
      <c r="E394" s="154" t="s">
        <v>312</v>
      </c>
      <c r="F394" s="153" t="s">
        <v>276</v>
      </c>
      <c r="G394" s="155" t="str">
        <f>VLOOKUP(A394,Plano_V3!$A$27:$G$583,7,0)</f>
        <v>2. Em Teste</v>
      </c>
      <c r="H394" s="155" t="s">
        <v>177</v>
      </c>
      <c r="I394" s="179" t="s">
        <v>1885</v>
      </c>
      <c r="J394" s="175" t="str">
        <f>IF(VLOOKUP(A394,'Aux - pivots1'!$A:$E,3,0)=0, "",VLOOKUP(A394,'Aux - pivots1'!$A:$E,3,0))</f>
        <v/>
      </c>
      <c r="K394" s="175" t="str">
        <f>IF(VLOOKUP(A394,'Aux - pivots1'!$A:$E,4,0)=0, "",VLOOKUP(A394,'Aux - pivots1'!$A:$E,4,0))</f>
        <v/>
      </c>
      <c r="L394" s="175" t="str">
        <f>IF(VLOOKUP(A394,'Aux - pivots1'!$A:$E,5,0)=0, "",VLOOKUP(A394,'Aux - pivots1'!$A:$E,5,0))</f>
        <v/>
      </c>
      <c r="M394" s="202"/>
    </row>
    <row r="395" spans="1:13" ht="16.2">
      <c r="A395" s="31" t="str">
        <f t="shared" si="8"/>
        <v>modesg_out_empr_info_nfinscp2_emss</v>
      </c>
      <c r="B395" s="162" t="s">
        <v>28</v>
      </c>
      <c r="C395" s="157" t="s">
        <v>301</v>
      </c>
      <c r="D395" s="153" t="s">
        <v>40</v>
      </c>
      <c r="E395" s="154" t="s">
        <v>312</v>
      </c>
      <c r="F395" s="153" t="s">
        <v>277</v>
      </c>
      <c r="G395" s="155" t="str">
        <f>VLOOKUP(A395,Plano_V3!$A$27:$G$583,7,0)</f>
        <v>2. Em Teste</v>
      </c>
      <c r="H395" s="155" t="s">
        <v>177</v>
      </c>
      <c r="I395" s="179" t="s">
        <v>1885</v>
      </c>
      <c r="J395" s="175" t="str">
        <f>IF(VLOOKUP(A395,'Aux - pivots1'!$A:$E,3,0)=0, "",VLOOKUP(A395,'Aux - pivots1'!$A:$E,3,0))</f>
        <v/>
      </c>
      <c r="K395" s="175" t="str">
        <f>IF(VLOOKUP(A395,'Aux - pivots1'!$A:$E,4,0)=0, "",VLOOKUP(A395,'Aux - pivots1'!$A:$E,4,0))</f>
        <v/>
      </c>
      <c r="L395" s="175" t="str">
        <f>IF(VLOOKUP(A395,'Aux - pivots1'!$A:$E,5,0)=0, "",VLOOKUP(A395,'Aux - pivots1'!$A:$E,5,0))</f>
        <v/>
      </c>
      <c r="M395" s="202"/>
    </row>
    <row r="396" spans="1:13" ht="16.2">
      <c r="A396" s="31" t="str">
        <f t="shared" si="8"/>
        <v>modesg_out_empr_info_nfinscp3_emss</v>
      </c>
      <c r="B396" s="162" t="s">
        <v>28</v>
      </c>
      <c r="C396" s="157" t="s">
        <v>301</v>
      </c>
      <c r="D396" s="153" t="s">
        <v>40</v>
      </c>
      <c r="E396" s="154" t="s">
        <v>312</v>
      </c>
      <c r="F396" s="153" t="s">
        <v>278</v>
      </c>
      <c r="G396" s="155" t="str">
        <f>VLOOKUP(A396,Plano_V3!$A$27:$G$583,7,0)</f>
        <v>2. Em Teste</v>
      </c>
      <c r="H396" s="155" t="s">
        <v>177</v>
      </c>
      <c r="I396" s="179" t="s">
        <v>1885</v>
      </c>
      <c r="J396" s="175" t="str">
        <f>IF(VLOOKUP(A396,'Aux - pivots1'!$A:$E,3,0)=0, "",VLOOKUP(A396,'Aux - pivots1'!$A:$E,3,0))</f>
        <v/>
      </c>
      <c r="K396" s="175" t="str">
        <f>IF(VLOOKUP(A396,'Aux - pivots1'!$A:$E,4,0)=0, "",VLOOKUP(A396,'Aux - pivots1'!$A:$E,4,0))</f>
        <v/>
      </c>
      <c r="L396" s="175" t="str">
        <f>IF(VLOOKUP(A396,'Aux - pivots1'!$A:$E,5,0)=0, "",VLOOKUP(A396,'Aux - pivots1'!$A:$E,5,0))</f>
        <v/>
      </c>
      <c r="M396" s="202"/>
    </row>
    <row r="397" spans="1:13" ht="16.2">
      <c r="A397" s="31" t="str">
        <f t="shared" si="8"/>
        <v>modesg_out_empr_info_nfinzcliente</v>
      </c>
      <c r="B397" s="162" t="s">
        <v>28</v>
      </c>
      <c r="C397" s="157" t="s">
        <v>301</v>
      </c>
      <c r="D397" s="153" t="s">
        <v>40</v>
      </c>
      <c r="E397" s="154" t="s">
        <v>312</v>
      </c>
      <c r="F397" s="153" t="s">
        <v>203</v>
      </c>
      <c r="G397" s="155" t="str">
        <f>VLOOKUP(A397,Plano_V3!$A$27:$G$583,7,0)</f>
        <v>1. Concluído</v>
      </c>
      <c r="H397" s="155" t="s">
        <v>477</v>
      </c>
      <c r="I397" s="179"/>
      <c r="J397" s="175" t="str">
        <f>IF(VLOOKUP(A397,'Aux - pivots1'!$A:$E,3,0)=0, "",VLOOKUP(A397,'Aux - pivots1'!$A:$E,3,0))</f>
        <v/>
      </c>
      <c r="K397" s="175" t="str">
        <f>IF(VLOOKUP(A397,'Aux - pivots1'!$A:$E,4,0)=0, "",VLOOKUP(A397,'Aux - pivots1'!$A:$E,4,0))</f>
        <v/>
      </c>
      <c r="L397" s="175" t="str">
        <f>IF(VLOOKUP(A397,'Aux - pivots1'!$A:$E,5,0)=0, "",VLOOKUP(A397,'Aux - pivots1'!$A:$E,5,0))</f>
        <v/>
      </c>
      <c r="M397" s="202"/>
    </row>
    <row r="398" spans="1:13" ht="16.2">
      <c r="A398" s="31" t="str">
        <f t="shared" si="8"/>
        <v>modesg_out_emss_vclsn.a.</v>
      </c>
      <c r="B398" s="162" t="s">
        <v>28</v>
      </c>
      <c r="C398" s="157" t="s">
        <v>301</v>
      </c>
      <c r="D398" s="153" t="s">
        <v>36</v>
      </c>
      <c r="E398" s="154" t="s">
        <v>318</v>
      </c>
      <c r="F398" s="153" t="s">
        <v>38</v>
      </c>
      <c r="G398" s="155" t="str">
        <f>VLOOKUP(A398,Plano_V3!$A$27:$G$583,7,0)</f>
        <v>6. Em implementação (re-especificação)</v>
      </c>
      <c r="H398" s="155" t="s">
        <v>482</v>
      </c>
      <c r="I398" s="164" t="s">
        <v>1865</v>
      </c>
      <c r="J398" s="175">
        <f>IF(VLOOKUP(A398,'Aux - pivots1'!$A:$E,3,0)=0, "",VLOOKUP(A398,'Aux - pivots1'!$A:$E,3,0))</f>
        <v>45560</v>
      </c>
      <c r="K398" s="175" t="str">
        <f>IF(VLOOKUP(A398,'Aux - pivots1'!$A:$E,4,0)=0, "",VLOOKUP(A398,'Aux - pivots1'!$A:$E,4,0))</f>
        <v/>
      </c>
      <c r="L398" s="175" t="str">
        <f>IF(VLOOKUP(A398,'Aux - pivots1'!$A:$E,5,0)=0, "",VLOOKUP(A398,'Aux - pivots1'!$A:$E,5,0))</f>
        <v/>
      </c>
      <c r="M398" s="202"/>
    </row>
    <row r="399" spans="1:13" ht="16.2">
      <c r="A399" s="31" t="str">
        <f t="shared" si="8"/>
        <v>modesg_out_emss_vclscempbem</v>
      </c>
      <c r="B399" s="162" t="s">
        <v>28</v>
      </c>
      <c r="C399" s="157" t="s">
        <v>301</v>
      </c>
      <c r="D399" s="153" t="s">
        <v>40</v>
      </c>
      <c r="E399" s="154" t="s">
        <v>318</v>
      </c>
      <c r="F399" s="153" t="s">
        <v>41</v>
      </c>
      <c r="G399" s="155" t="str">
        <f>VLOOKUP(A399,Plano_V3!$A$27:$G$583,7,0)</f>
        <v>1. Concluído</v>
      </c>
      <c r="H399" s="155" t="s">
        <v>477</v>
      </c>
      <c r="I399" s="179"/>
      <c r="J399" s="175" t="str">
        <f>IF(VLOOKUP(A399,'Aux - pivots1'!$A:$E,3,0)=0, "",VLOOKUP(A399,'Aux - pivots1'!$A:$E,3,0))</f>
        <v/>
      </c>
      <c r="K399" s="175" t="str">
        <f>IF(VLOOKUP(A399,'Aux - pivots1'!$A:$E,4,0)=0, "",VLOOKUP(A399,'Aux - pivots1'!$A:$E,4,0))</f>
        <v/>
      </c>
      <c r="L399" s="175" t="str">
        <f>IF(VLOOKUP(A399,'Aux - pivots1'!$A:$E,5,0)=0, "",VLOOKUP(A399,'Aux - pivots1'!$A:$E,5,0))</f>
        <v/>
      </c>
      <c r="M399" s="202"/>
    </row>
    <row r="400" spans="1:13" ht="16.2">
      <c r="A400" s="31" t="str">
        <f t="shared" si="8"/>
        <v>modesg_out_emss_vclsckbalbem</v>
      </c>
      <c r="B400" s="162" t="s">
        <v>28</v>
      </c>
      <c r="C400" s="157" t="s">
        <v>301</v>
      </c>
      <c r="D400" s="153" t="s">
        <v>40</v>
      </c>
      <c r="E400" s="154" t="s">
        <v>318</v>
      </c>
      <c r="F400" s="153" t="s">
        <v>43</v>
      </c>
      <c r="G400" s="155" t="str">
        <f>VLOOKUP(A400,Plano_V3!$A$27:$G$583,7,0)</f>
        <v>1. Concluído</v>
      </c>
      <c r="H400" s="155" t="s">
        <v>477</v>
      </c>
      <c r="I400" s="179"/>
      <c r="J400" s="175" t="str">
        <f>IF(VLOOKUP(A400,'Aux - pivots1'!$A:$E,3,0)=0, "",VLOOKUP(A400,'Aux - pivots1'!$A:$E,3,0))</f>
        <v/>
      </c>
      <c r="K400" s="175" t="str">
        <f>IF(VLOOKUP(A400,'Aux - pivots1'!$A:$E,4,0)=0, "",VLOOKUP(A400,'Aux - pivots1'!$A:$E,4,0))</f>
        <v/>
      </c>
      <c r="L400" s="175" t="str">
        <f>IF(VLOOKUP(A400,'Aux - pivots1'!$A:$E,5,0)=0, "",VLOOKUP(A400,'Aux - pivots1'!$A:$E,5,0))</f>
        <v/>
      </c>
      <c r="M400" s="202"/>
    </row>
    <row r="401" spans="1:13" ht="16.2">
      <c r="A401" s="31" t="str">
        <f t="shared" si="8"/>
        <v>modesg_out_emss_vclsckctabem</v>
      </c>
      <c r="B401" s="162" t="s">
        <v>28</v>
      </c>
      <c r="C401" s="157" t="s">
        <v>301</v>
      </c>
      <c r="D401" s="153" t="s">
        <v>40</v>
      </c>
      <c r="E401" s="154" t="s">
        <v>318</v>
      </c>
      <c r="F401" s="153" t="s">
        <v>44</v>
      </c>
      <c r="G401" s="155" t="str">
        <f>VLOOKUP(A401,Plano_V3!$A$27:$G$583,7,0)</f>
        <v>1. Concluído</v>
      </c>
      <c r="H401" s="155" t="s">
        <v>477</v>
      </c>
      <c r="I401" s="179"/>
      <c r="J401" s="175" t="str">
        <f>IF(VLOOKUP(A401,'Aux - pivots1'!$A:$E,3,0)=0, "",VLOOKUP(A401,'Aux - pivots1'!$A:$E,3,0))</f>
        <v/>
      </c>
      <c r="K401" s="175" t="str">
        <f>IF(VLOOKUP(A401,'Aux - pivots1'!$A:$E,4,0)=0, "",VLOOKUP(A401,'Aux - pivots1'!$A:$E,4,0))</f>
        <v/>
      </c>
      <c r="L401" s="175" t="str">
        <f>IF(VLOOKUP(A401,'Aux - pivots1'!$A:$E,5,0)=0, "",VLOOKUP(A401,'Aux - pivots1'!$A:$E,5,0))</f>
        <v/>
      </c>
      <c r="M401" s="202"/>
    </row>
    <row r="402" spans="1:13" ht="16.2">
      <c r="A402" s="31" t="str">
        <f t="shared" ref="A402:A465" si="9">E402&amp;F402</f>
        <v>modesg_out_emss_vclsckrefbem</v>
      </c>
      <c r="B402" s="162" t="s">
        <v>28</v>
      </c>
      <c r="C402" s="157" t="s">
        <v>301</v>
      </c>
      <c r="D402" s="153" t="s">
        <v>40</v>
      </c>
      <c r="E402" s="154" t="s">
        <v>318</v>
      </c>
      <c r="F402" s="153" t="s">
        <v>45</v>
      </c>
      <c r="G402" s="155" t="str">
        <f>VLOOKUP(A402,Plano_V3!$A$27:$G$583,7,0)</f>
        <v>1. Concluído</v>
      </c>
      <c r="H402" s="155" t="s">
        <v>477</v>
      </c>
      <c r="I402" s="179"/>
      <c r="J402" s="175" t="str">
        <f>IF(VLOOKUP(A402,'Aux - pivots1'!$A:$E,3,0)=0, "",VLOOKUP(A402,'Aux - pivots1'!$A:$E,3,0))</f>
        <v/>
      </c>
      <c r="K402" s="175" t="str">
        <f>IF(VLOOKUP(A402,'Aux - pivots1'!$A:$E,4,0)=0, "",VLOOKUP(A402,'Aux - pivots1'!$A:$E,4,0))</f>
        <v/>
      </c>
      <c r="L402" s="175" t="str">
        <f>IF(VLOOKUP(A402,'Aux - pivots1'!$A:$E,5,0)=0, "",VLOOKUP(A402,'Aux - pivots1'!$A:$E,5,0))</f>
        <v/>
      </c>
      <c r="M402" s="202"/>
    </row>
    <row r="403" spans="1:13" ht="16.2">
      <c r="A403" s="31" t="str">
        <f t="shared" si="9"/>
        <v>modesg_out_emss_vclscnsm_co2</v>
      </c>
      <c r="B403" s="162" t="s">
        <v>28</v>
      </c>
      <c r="C403" s="157" t="s">
        <v>301</v>
      </c>
      <c r="D403" s="153" t="s">
        <v>40</v>
      </c>
      <c r="E403" s="154" t="s">
        <v>318</v>
      </c>
      <c r="F403" s="153" t="s">
        <v>184</v>
      </c>
      <c r="G403" s="155" t="str">
        <f>VLOOKUP(A403,Plano_V3!$A$27:$G$583,7,0)</f>
        <v>6. Em implementação (re-especificação)</v>
      </c>
      <c r="H403" s="155" t="s">
        <v>482</v>
      </c>
      <c r="I403" s="164" t="s">
        <v>1865</v>
      </c>
      <c r="J403" s="175">
        <f>IF(VLOOKUP(A403,'Aux - pivots1'!$A:$E,3,0)=0, "",VLOOKUP(A403,'Aux - pivots1'!$A:$E,3,0))</f>
        <v>45559</v>
      </c>
      <c r="K403" s="175" t="str">
        <f>IF(VLOOKUP(A403,'Aux - pivots1'!$A:$E,4,0)=0, "",VLOOKUP(A403,'Aux - pivots1'!$A:$E,4,0))</f>
        <v/>
      </c>
      <c r="L403" s="175" t="str">
        <f>IF(VLOOKUP(A403,'Aux - pivots1'!$A:$E,5,0)=0, "",VLOOKUP(A403,'Aux - pivots1'!$A:$E,5,0))</f>
        <v/>
      </c>
      <c r="M403" s="202"/>
    </row>
    <row r="404" spans="1:13" ht="16.2">
      <c r="A404" s="31" t="str">
        <f t="shared" si="9"/>
        <v>modesg_out_emss_vclsorigem_scp1_emss</v>
      </c>
      <c r="B404" s="162" t="s">
        <v>28</v>
      </c>
      <c r="C404" s="157" t="s">
        <v>301</v>
      </c>
      <c r="D404" s="153" t="s">
        <v>40</v>
      </c>
      <c r="E404" s="154" t="s">
        <v>318</v>
      </c>
      <c r="F404" s="153" t="s">
        <v>306</v>
      </c>
      <c r="G404" s="155" t="str">
        <f>VLOOKUP(A404,Plano_V3!$A$27:$G$583,7,0)</f>
        <v>2. Em Teste</v>
      </c>
      <c r="H404" s="155" t="s">
        <v>177</v>
      </c>
      <c r="I404" s="164" t="s">
        <v>1865</v>
      </c>
      <c r="J404" s="175">
        <f>IF(VLOOKUP(A404,'Aux - pivots1'!$A:$E,3,0)=0, "",VLOOKUP(A404,'Aux - pivots1'!$A:$E,3,0))</f>
        <v>45559</v>
      </c>
      <c r="K404" s="175" t="str">
        <f>IF(VLOOKUP(A404,'Aux - pivots1'!$A:$E,4,0)=0, "",VLOOKUP(A404,'Aux - pivots1'!$A:$E,4,0))</f>
        <v/>
      </c>
      <c r="L404" s="175" t="str">
        <f>IF(VLOOKUP(A404,'Aux - pivots1'!$A:$E,5,0)=0, "",VLOOKUP(A404,'Aux - pivots1'!$A:$E,5,0))</f>
        <v/>
      </c>
      <c r="M404" s="202"/>
    </row>
    <row r="405" spans="1:13" ht="16.2">
      <c r="A405" s="31" t="str">
        <f t="shared" si="9"/>
        <v>modesg_out_emss_vclsorigem_scp2_emss</v>
      </c>
      <c r="B405" s="162" t="s">
        <v>28</v>
      </c>
      <c r="C405" s="157" t="s">
        <v>301</v>
      </c>
      <c r="D405" s="153" t="s">
        <v>40</v>
      </c>
      <c r="E405" s="154" t="s">
        <v>318</v>
      </c>
      <c r="F405" s="153" t="s">
        <v>307</v>
      </c>
      <c r="G405" s="155" t="str">
        <f>VLOOKUP(A405,Plano_V3!$A$27:$G$583,7,0)</f>
        <v>2. Em Teste</v>
      </c>
      <c r="H405" s="155" t="s">
        <v>177</v>
      </c>
      <c r="I405" s="164" t="s">
        <v>1865</v>
      </c>
      <c r="J405" s="175">
        <f>IF(VLOOKUP(A405,'Aux - pivots1'!$A:$E,3,0)=0, "",VLOOKUP(A405,'Aux - pivots1'!$A:$E,3,0))</f>
        <v>45559</v>
      </c>
      <c r="K405" s="175" t="str">
        <f>IF(VLOOKUP(A405,'Aux - pivots1'!$A:$E,4,0)=0, "",VLOOKUP(A405,'Aux - pivots1'!$A:$E,4,0))</f>
        <v/>
      </c>
      <c r="L405" s="175" t="str">
        <f>IF(VLOOKUP(A405,'Aux - pivots1'!$A:$E,5,0)=0, "",VLOOKUP(A405,'Aux - pivots1'!$A:$E,5,0))</f>
        <v/>
      </c>
      <c r="M405" s="202"/>
    </row>
    <row r="406" spans="1:13" ht="16.2">
      <c r="A406" s="31" t="str">
        <f t="shared" si="9"/>
        <v>modesg_out_emss_vclsorigem_scp3_emss</v>
      </c>
      <c r="B406" s="162" t="s">
        <v>28</v>
      </c>
      <c r="C406" s="157" t="s">
        <v>301</v>
      </c>
      <c r="D406" s="153" t="s">
        <v>40</v>
      </c>
      <c r="E406" s="154" t="s">
        <v>318</v>
      </c>
      <c r="F406" s="153" t="s">
        <v>308</v>
      </c>
      <c r="G406" s="155" t="str">
        <f>VLOOKUP(A406,Plano_V3!$A$27:$G$583,7,0)</f>
        <v>2. Em Teste</v>
      </c>
      <c r="H406" s="155" t="s">
        <v>177</v>
      </c>
      <c r="I406" s="164" t="s">
        <v>1865</v>
      </c>
      <c r="J406" s="175">
        <f>IF(VLOOKUP(A406,'Aux - pivots1'!$A:$E,3,0)=0, "",VLOOKUP(A406,'Aux - pivots1'!$A:$E,3,0))</f>
        <v>45559</v>
      </c>
      <c r="K406" s="175" t="str">
        <f>IF(VLOOKUP(A406,'Aux - pivots1'!$A:$E,4,0)=0, "",VLOOKUP(A406,'Aux - pivots1'!$A:$E,4,0))</f>
        <v/>
      </c>
      <c r="L406" s="175" t="str">
        <f>IF(VLOOKUP(A406,'Aux - pivots1'!$A:$E,5,0)=0, "",VLOOKUP(A406,'Aux - pivots1'!$A:$E,5,0))</f>
        <v/>
      </c>
      <c r="M406" s="202"/>
    </row>
    <row r="407" spans="1:13" ht="16.2">
      <c r="A407" s="31" t="str">
        <f t="shared" si="9"/>
        <v>modesg_out_emss_vclsref_date</v>
      </c>
      <c r="B407" s="162" t="s">
        <v>28</v>
      </c>
      <c r="C407" s="157" t="s">
        <v>301</v>
      </c>
      <c r="D407" s="153" t="s">
        <v>40</v>
      </c>
      <c r="E407" s="154" t="s">
        <v>318</v>
      </c>
      <c r="F407" s="153" t="s">
        <v>73</v>
      </c>
      <c r="G407" s="155" t="str">
        <f>VLOOKUP(A407,Plano_V3!$A$27:$G$583,7,0)</f>
        <v>1. Concluído</v>
      </c>
      <c r="H407" s="155" t="s">
        <v>477</v>
      </c>
      <c r="I407" s="179"/>
      <c r="J407" s="175" t="str">
        <f>IF(VLOOKUP(A407,'Aux - pivots1'!$A:$E,3,0)=0, "",VLOOKUP(A407,'Aux - pivots1'!$A:$E,3,0))</f>
        <v/>
      </c>
      <c r="K407" s="175" t="str">
        <f>IF(VLOOKUP(A407,'Aux - pivots1'!$A:$E,4,0)=0, "",VLOOKUP(A407,'Aux - pivots1'!$A:$E,4,0))</f>
        <v/>
      </c>
      <c r="L407" s="175" t="str">
        <f>IF(VLOOKUP(A407,'Aux - pivots1'!$A:$E,5,0)=0, "",VLOOKUP(A407,'Aux - pivots1'!$A:$E,5,0))</f>
        <v/>
      </c>
      <c r="M407" s="202"/>
    </row>
    <row r="408" spans="1:13" ht="16.2">
      <c r="A408" s="31" t="str">
        <f t="shared" si="9"/>
        <v>modesg_out_emss_vclsscp1_emss</v>
      </c>
      <c r="B408" s="162" t="s">
        <v>28</v>
      </c>
      <c r="C408" s="157" t="s">
        <v>301</v>
      </c>
      <c r="D408" s="153" t="s">
        <v>40</v>
      </c>
      <c r="E408" s="154" t="s">
        <v>318</v>
      </c>
      <c r="F408" s="153" t="s">
        <v>276</v>
      </c>
      <c r="G408" s="155" t="str">
        <f>VLOOKUP(A408,Plano_V3!$A$27:$G$583,7,0)</f>
        <v>2. Em Teste</v>
      </c>
      <c r="H408" s="155" t="s">
        <v>177</v>
      </c>
      <c r="I408" s="164" t="s">
        <v>1865</v>
      </c>
      <c r="J408" s="175">
        <f>IF(VLOOKUP(A408,'Aux - pivots1'!$A:$E,3,0)=0, "",VLOOKUP(A408,'Aux - pivots1'!$A:$E,3,0))</f>
        <v>45559</v>
      </c>
      <c r="K408" s="175" t="str">
        <f>IF(VLOOKUP(A408,'Aux - pivots1'!$A:$E,4,0)=0, "",VLOOKUP(A408,'Aux - pivots1'!$A:$E,4,0))</f>
        <v/>
      </c>
      <c r="L408" s="175" t="str">
        <f>IF(VLOOKUP(A408,'Aux - pivots1'!$A:$E,5,0)=0, "",VLOOKUP(A408,'Aux - pivots1'!$A:$E,5,0))</f>
        <v/>
      </c>
      <c r="M408" s="202"/>
    </row>
    <row r="409" spans="1:13" ht="16.2">
      <c r="A409" s="31" t="str">
        <f t="shared" si="9"/>
        <v>modesg_out_emss_vclsscp2_emss</v>
      </c>
      <c r="B409" s="162" t="s">
        <v>28</v>
      </c>
      <c r="C409" s="157" t="s">
        <v>301</v>
      </c>
      <c r="D409" s="153" t="s">
        <v>40</v>
      </c>
      <c r="E409" s="154" t="s">
        <v>318</v>
      </c>
      <c r="F409" s="153" t="s">
        <v>277</v>
      </c>
      <c r="G409" s="155" t="str">
        <f>VLOOKUP(A409,Plano_V3!$A$27:$G$583,7,0)</f>
        <v>2. Em Teste</v>
      </c>
      <c r="H409" s="155" t="s">
        <v>177</v>
      </c>
      <c r="I409" s="164" t="s">
        <v>1865</v>
      </c>
      <c r="J409" s="175">
        <f>IF(VLOOKUP(A409,'Aux - pivots1'!$A:$E,3,0)=0, "",VLOOKUP(A409,'Aux - pivots1'!$A:$E,3,0))</f>
        <v>45559</v>
      </c>
      <c r="K409" s="175" t="str">
        <f>IF(VLOOKUP(A409,'Aux - pivots1'!$A:$E,4,0)=0, "",VLOOKUP(A409,'Aux - pivots1'!$A:$E,4,0))</f>
        <v/>
      </c>
      <c r="L409" s="175" t="str">
        <f>IF(VLOOKUP(A409,'Aux - pivots1'!$A:$E,5,0)=0, "",VLOOKUP(A409,'Aux - pivots1'!$A:$E,5,0))</f>
        <v/>
      </c>
      <c r="M409" s="202"/>
    </row>
    <row r="410" spans="1:13" ht="16.2">
      <c r="A410" s="31" t="str">
        <f t="shared" si="9"/>
        <v>modesg_out_emss_vclsscp3_emss</v>
      </c>
      <c r="B410" s="162" t="s">
        <v>28</v>
      </c>
      <c r="C410" s="157" t="s">
        <v>301</v>
      </c>
      <c r="D410" s="153" t="s">
        <v>40</v>
      </c>
      <c r="E410" s="154" t="s">
        <v>318</v>
      </c>
      <c r="F410" s="153" t="s">
        <v>278</v>
      </c>
      <c r="G410" s="155" t="str">
        <f>VLOOKUP(A410,Plano_V3!$A$27:$G$583,7,0)</f>
        <v>2. Em Teste</v>
      </c>
      <c r="H410" s="155" t="s">
        <v>177</v>
      </c>
      <c r="I410" s="164" t="s">
        <v>1865</v>
      </c>
      <c r="J410" s="175">
        <f>IF(VLOOKUP(A410,'Aux - pivots1'!$A:$E,3,0)=0, "",VLOOKUP(A410,'Aux - pivots1'!$A:$E,3,0))</f>
        <v>45559</v>
      </c>
      <c r="K410" s="175" t="str">
        <f>IF(VLOOKUP(A410,'Aux - pivots1'!$A:$E,4,0)=0, "",VLOOKUP(A410,'Aux - pivots1'!$A:$E,4,0))</f>
        <v/>
      </c>
      <c r="L410" s="175" t="str">
        <f>IF(VLOOKUP(A410,'Aux - pivots1'!$A:$E,5,0)=0, "",VLOOKUP(A410,'Aux - pivots1'!$A:$E,5,0))</f>
        <v/>
      </c>
      <c r="M410" s="202"/>
    </row>
    <row r="411" spans="1:13" ht="16.2">
      <c r="A411" s="31" t="str">
        <f t="shared" si="9"/>
        <v>modesg_out_emss_vclsunidade_funcional_scp1_emss</v>
      </c>
      <c r="B411" s="162" t="s">
        <v>28</v>
      </c>
      <c r="C411" s="157" t="s">
        <v>301</v>
      </c>
      <c r="D411" s="153" t="s">
        <v>40</v>
      </c>
      <c r="E411" s="154" t="s">
        <v>318</v>
      </c>
      <c r="F411" s="153" t="s">
        <v>309</v>
      </c>
      <c r="G411" s="155" t="str">
        <f>VLOOKUP(A411,Plano_V3!$A$27:$G$583,7,0)</f>
        <v>1. Concluído</v>
      </c>
      <c r="H411" s="155" t="s">
        <v>477</v>
      </c>
      <c r="I411" s="179"/>
      <c r="J411" s="175" t="str">
        <f>IF(VLOOKUP(A411,'Aux - pivots1'!$A:$E,3,0)=0, "",VLOOKUP(A411,'Aux - pivots1'!$A:$E,3,0))</f>
        <v/>
      </c>
      <c r="K411" s="175" t="str">
        <f>IF(VLOOKUP(A411,'Aux - pivots1'!$A:$E,4,0)=0, "",VLOOKUP(A411,'Aux - pivots1'!$A:$E,4,0))</f>
        <v/>
      </c>
      <c r="L411" s="175" t="str">
        <f>IF(VLOOKUP(A411,'Aux - pivots1'!$A:$E,5,0)=0, "",VLOOKUP(A411,'Aux - pivots1'!$A:$E,5,0))</f>
        <v/>
      </c>
      <c r="M411" s="202"/>
    </row>
    <row r="412" spans="1:13" ht="16.2">
      <c r="A412" s="31" t="str">
        <f t="shared" si="9"/>
        <v>modesg_out_emss_vclsunidade_funcional_scp2_emss</v>
      </c>
      <c r="B412" s="162" t="s">
        <v>28</v>
      </c>
      <c r="C412" s="157" t="s">
        <v>301</v>
      </c>
      <c r="D412" s="153" t="s">
        <v>40</v>
      </c>
      <c r="E412" s="154" t="s">
        <v>318</v>
      </c>
      <c r="F412" s="153" t="s">
        <v>310</v>
      </c>
      <c r="G412" s="155" t="str">
        <f>VLOOKUP(A412,Plano_V3!$A$27:$G$583,7,0)</f>
        <v>1. Concluído</v>
      </c>
      <c r="H412" s="155" t="s">
        <v>477</v>
      </c>
      <c r="I412" s="179"/>
      <c r="J412" s="175" t="str">
        <f>IF(VLOOKUP(A412,'Aux - pivots1'!$A:$E,3,0)=0, "",VLOOKUP(A412,'Aux - pivots1'!$A:$E,3,0))</f>
        <v/>
      </c>
      <c r="K412" s="175" t="str">
        <f>IF(VLOOKUP(A412,'Aux - pivots1'!$A:$E,4,0)=0, "",VLOOKUP(A412,'Aux - pivots1'!$A:$E,4,0))</f>
        <v/>
      </c>
      <c r="L412" s="175" t="str">
        <f>IF(VLOOKUP(A412,'Aux - pivots1'!$A:$E,5,0)=0, "",VLOOKUP(A412,'Aux - pivots1'!$A:$E,5,0))</f>
        <v/>
      </c>
      <c r="M412" s="202"/>
    </row>
    <row r="413" spans="1:13" ht="16.2">
      <c r="A413" s="31" t="str">
        <f t="shared" si="9"/>
        <v>modesg_out_emss_vclsunidade_funcional_scp3_emss</v>
      </c>
      <c r="B413" s="162" t="s">
        <v>28</v>
      </c>
      <c r="C413" s="157" t="s">
        <v>301</v>
      </c>
      <c r="D413" s="153" t="s">
        <v>40</v>
      </c>
      <c r="E413" s="154" t="s">
        <v>318</v>
      </c>
      <c r="F413" s="153" t="s">
        <v>311</v>
      </c>
      <c r="G413" s="155" t="str">
        <f>VLOOKUP(A413,Plano_V3!$A$27:$G$583,7,0)</f>
        <v>1. Concluído</v>
      </c>
      <c r="H413" s="155" t="s">
        <v>477</v>
      </c>
      <c r="I413" s="179"/>
      <c r="J413" s="175" t="str">
        <f>IF(VLOOKUP(A413,'Aux - pivots1'!$A:$E,3,0)=0, "",VLOOKUP(A413,'Aux - pivots1'!$A:$E,3,0))</f>
        <v/>
      </c>
      <c r="K413" s="175" t="str">
        <f>IF(VLOOKUP(A413,'Aux - pivots1'!$A:$E,4,0)=0, "",VLOOKUP(A413,'Aux - pivots1'!$A:$E,4,0))</f>
        <v/>
      </c>
      <c r="L413" s="175" t="str">
        <f>IF(VLOOKUP(A413,'Aux - pivots1'!$A:$E,5,0)=0, "",VLOOKUP(A413,'Aux - pivots1'!$A:$E,5,0))</f>
        <v/>
      </c>
      <c r="M413" s="202"/>
    </row>
    <row r="414" spans="1:13" ht="16.2">
      <c r="A414" s="31" t="str">
        <f t="shared" si="9"/>
        <v>modesg_out_sfcs_taxon_europeian.a.</v>
      </c>
      <c r="B414" s="162" t="s">
        <v>28</v>
      </c>
      <c r="C414" s="157" t="s">
        <v>301</v>
      </c>
      <c r="D414" s="153" t="s">
        <v>36</v>
      </c>
      <c r="E414" s="154" t="s">
        <v>320</v>
      </c>
      <c r="F414" s="153" t="s">
        <v>38</v>
      </c>
      <c r="G414" s="155" t="str">
        <f>VLOOKUP(A414,Plano_V3!$A$27:$G$583,7,0)</f>
        <v>6. Em implementação (re-especificação)</v>
      </c>
      <c r="H414" s="155" t="s">
        <v>482</v>
      </c>
      <c r="I414" s="164" t="s">
        <v>1884</v>
      </c>
      <c r="J414" s="175">
        <f>IF(VLOOKUP(A414,'Aux - pivots1'!$A:$E,3,0)=0, "",VLOOKUP(A414,'Aux - pivots1'!$A:$E,3,0))</f>
        <v>45563</v>
      </c>
      <c r="K414" s="175" t="str">
        <f>IF(VLOOKUP(A414,'Aux - pivots1'!$A:$E,4,0)=0, "",VLOOKUP(A414,'Aux - pivots1'!$A:$E,4,0))</f>
        <v/>
      </c>
      <c r="L414" s="175" t="str">
        <f>IF(VLOOKUP(A414,'Aux - pivots1'!$A:$E,5,0)=0, "",VLOOKUP(A414,'Aux - pivots1'!$A:$E,5,0))</f>
        <v/>
      </c>
      <c r="M414" s="202"/>
    </row>
    <row r="415" spans="1:13" ht="16.2">
      <c r="A415" s="31" t="str">
        <f t="shared" si="9"/>
        <v>modesg_out_sfcs_taxon_europeiacbalcao</v>
      </c>
      <c r="B415" s="162" t="s">
        <v>28</v>
      </c>
      <c r="C415" s="157" t="s">
        <v>301</v>
      </c>
      <c r="D415" s="153" t="s">
        <v>40</v>
      </c>
      <c r="E415" s="154" t="s">
        <v>320</v>
      </c>
      <c r="F415" s="153" t="s">
        <v>180</v>
      </c>
      <c r="G415" s="155" t="str">
        <f>VLOOKUP(A415,Plano_V3!$A$27:$G$583,7,0)</f>
        <v>6. Em implementação (re-especificação)</v>
      </c>
      <c r="H415" s="155" t="s">
        <v>482</v>
      </c>
      <c r="I415" s="164" t="s">
        <v>1884</v>
      </c>
      <c r="J415" s="175">
        <f>IF(VLOOKUP(A415,'Aux - pivots1'!$A:$E,3,0)=0, "",VLOOKUP(A415,'Aux - pivots1'!$A:$E,3,0))</f>
        <v>45563</v>
      </c>
      <c r="K415" s="175" t="str">
        <f>IF(VLOOKUP(A415,'Aux - pivots1'!$A:$E,4,0)=0, "",VLOOKUP(A415,'Aux - pivots1'!$A:$E,4,0))</f>
        <v/>
      </c>
      <c r="L415" s="175" t="str">
        <f>IF(VLOOKUP(A415,'Aux - pivots1'!$A:$E,5,0)=0, "",VLOOKUP(A415,'Aux - pivots1'!$A:$E,5,0))</f>
        <v/>
      </c>
      <c r="M415" s="202"/>
    </row>
    <row r="416" spans="1:13" ht="16.2">
      <c r="A416" s="31" t="str">
        <f t="shared" si="9"/>
        <v>modesg_out_sfcs_taxon_europeiacempresa</v>
      </c>
      <c r="B416" s="162" t="s">
        <v>28</v>
      </c>
      <c r="C416" s="157" t="s">
        <v>301</v>
      </c>
      <c r="D416" s="153" t="s">
        <v>40</v>
      </c>
      <c r="E416" s="154" t="s">
        <v>320</v>
      </c>
      <c r="F416" s="153" t="s">
        <v>57</v>
      </c>
      <c r="G416" s="155" t="str">
        <f>VLOOKUP(A416,Plano_V3!$A$27:$G$583,7,0)</f>
        <v>6. Em implementação (re-especificação)</v>
      </c>
      <c r="H416" s="155" t="s">
        <v>482</v>
      </c>
      <c r="I416" s="164" t="s">
        <v>1884</v>
      </c>
      <c r="J416" s="175">
        <f>IF(VLOOKUP(A416,'Aux - pivots1'!$A:$E,3,0)=0, "",VLOOKUP(A416,'Aux - pivots1'!$A:$E,3,0))</f>
        <v>45563</v>
      </c>
      <c r="K416" s="175" t="str">
        <f>IF(VLOOKUP(A416,'Aux - pivots1'!$A:$E,4,0)=0, "",VLOOKUP(A416,'Aux - pivots1'!$A:$E,4,0))</f>
        <v/>
      </c>
      <c r="L416" s="175" t="str">
        <f>IF(VLOOKUP(A416,'Aux - pivots1'!$A:$E,5,0)=0, "",VLOOKUP(A416,'Aux - pivots1'!$A:$E,5,0))</f>
        <v/>
      </c>
      <c r="M416" s="202"/>
    </row>
    <row r="417" spans="1:13" ht="16.2">
      <c r="A417" s="31" t="str">
        <f t="shared" si="9"/>
        <v>modesg_out_sfcs_taxon_europeiacnumecta</v>
      </c>
      <c r="B417" s="162" t="s">
        <v>28</v>
      </c>
      <c r="C417" s="157" t="s">
        <v>301</v>
      </c>
      <c r="D417" s="153" t="s">
        <v>40</v>
      </c>
      <c r="E417" s="154" t="s">
        <v>320</v>
      </c>
      <c r="F417" s="153" t="s">
        <v>185</v>
      </c>
      <c r="G417" s="155" t="str">
        <f>VLOOKUP(A417,Plano_V3!$A$27:$G$583,7,0)</f>
        <v>6. Em implementação (re-especificação)</v>
      </c>
      <c r="H417" s="155" t="s">
        <v>482</v>
      </c>
      <c r="I417" s="164" t="s">
        <v>1884</v>
      </c>
      <c r="J417" s="175">
        <f>IF(VLOOKUP(A417,'Aux - pivots1'!$A:$E,3,0)=0, "",VLOOKUP(A417,'Aux - pivots1'!$A:$E,3,0))</f>
        <v>45563</v>
      </c>
      <c r="K417" s="175" t="str">
        <f>IF(VLOOKUP(A417,'Aux - pivots1'!$A:$E,4,0)=0, "",VLOOKUP(A417,'Aux - pivots1'!$A:$E,4,0))</f>
        <v/>
      </c>
      <c r="L417" s="175" t="str">
        <f>IF(VLOOKUP(A417,'Aux - pivots1'!$A:$E,5,0)=0, "",VLOOKUP(A417,'Aux - pivots1'!$A:$E,5,0))</f>
        <v/>
      </c>
      <c r="M417" s="202"/>
    </row>
    <row r="418" spans="1:13" ht="16.2">
      <c r="A418" s="31" t="str">
        <f t="shared" si="9"/>
        <v>modesg_out_sfcs_taxon_europeiacod_regra</v>
      </c>
      <c r="B418" s="162" t="s">
        <v>28</v>
      </c>
      <c r="C418" s="157" t="s">
        <v>301</v>
      </c>
      <c r="D418" s="153" t="s">
        <v>40</v>
      </c>
      <c r="E418" s="154" t="s">
        <v>320</v>
      </c>
      <c r="F418" s="153" t="s">
        <v>187</v>
      </c>
      <c r="G418" s="155" t="str">
        <f>VLOOKUP(A418,Plano_V3!$A$27:$G$583,7,0)</f>
        <v>6. Em implementação (re-especificação)</v>
      </c>
      <c r="H418" s="155" t="s">
        <v>482</v>
      </c>
      <c r="I418" s="164" t="s">
        <v>1884</v>
      </c>
      <c r="J418" s="175">
        <f>IF(VLOOKUP(A418,'Aux - pivots1'!$A:$E,3,0)=0, "",VLOOKUP(A418,'Aux - pivots1'!$A:$E,3,0))</f>
        <v>45563</v>
      </c>
      <c r="K418" s="175" t="str">
        <f>IF(VLOOKUP(A418,'Aux - pivots1'!$A:$E,4,0)=0, "",VLOOKUP(A418,'Aux - pivots1'!$A:$E,4,0))</f>
        <v/>
      </c>
      <c r="L418" s="175" t="str">
        <f>IF(VLOOKUP(A418,'Aux - pivots1'!$A:$E,5,0)=0, "",VLOOKUP(A418,'Aux - pivots1'!$A:$E,5,0))</f>
        <v/>
      </c>
      <c r="M418" s="202"/>
    </row>
    <row r="419" spans="1:13" ht="16.2">
      <c r="A419" s="31" t="str">
        <f t="shared" si="9"/>
        <v>modesg_out_sfcs_taxon_europeiaordem</v>
      </c>
      <c r="B419" s="162" t="s">
        <v>28</v>
      </c>
      <c r="C419" s="157" t="s">
        <v>301</v>
      </c>
      <c r="D419" s="153" t="s">
        <v>40</v>
      </c>
      <c r="E419" s="154" t="s">
        <v>320</v>
      </c>
      <c r="F419" s="153" t="s">
        <v>322</v>
      </c>
      <c r="G419" s="155" t="str">
        <f>VLOOKUP(A419,Plano_V3!$A$27:$G$583,7,0)</f>
        <v>0. Cancelado</v>
      </c>
      <c r="H419" s="155" t="s">
        <v>476</v>
      </c>
      <c r="I419" s="166" t="s">
        <v>1852</v>
      </c>
      <c r="J419" s="175">
        <f>IF(VLOOKUP(A419,'Aux - pivots1'!$A:$E,3,0)=0, "",VLOOKUP(A419,'Aux - pivots1'!$A:$E,3,0))</f>
        <v>45562</v>
      </c>
      <c r="K419" s="175" t="str">
        <f>IF(VLOOKUP(A419,'Aux - pivots1'!$A:$E,4,0)=0, "",VLOOKUP(A419,'Aux - pivots1'!$A:$E,4,0))</f>
        <v/>
      </c>
      <c r="L419" s="175" t="str">
        <f>IF(VLOOKUP(A419,'Aux - pivots1'!$A:$E,5,0)=0, "",VLOOKUP(A419,'Aux - pivots1'!$A:$E,5,0))</f>
        <v/>
      </c>
      <c r="M419" s="202"/>
    </row>
    <row r="420" spans="1:13" ht="16.2">
      <c r="A420" s="31" t="str">
        <f t="shared" si="9"/>
        <v>modesg_out_sfcs_taxon_europeiamontante_pndrc</v>
      </c>
      <c r="B420" s="162" t="s">
        <v>28</v>
      </c>
      <c r="C420" s="157" t="s">
        <v>301</v>
      </c>
      <c r="D420" s="153" t="s">
        <v>40</v>
      </c>
      <c r="E420" s="154" t="s">
        <v>320</v>
      </c>
      <c r="F420" s="153" t="s">
        <v>197</v>
      </c>
      <c r="G420" s="155" t="str">
        <f>VLOOKUP(A420,Plano_V3!$A$27:$G$583,7,0)</f>
        <v>6. Em implementação (re-especificação)</v>
      </c>
      <c r="H420" s="155" t="s">
        <v>482</v>
      </c>
      <c r="I420" s="164" t="s">
        <v>1884</v>
      </c>
      <c r="J420" s="175">
        <f>IF(VLOOKUP(A420,'Aux - pivots1'!$A:$E,3,0)=0, "",VLOOKUP(A420,'Aux - pivots1'!$A:$E,3,0))</f>
        <v>45563</v>
      </c>
      <c r="K420" s="175" t="str">
        <f>IF(VLOOKUP(A420,'Aux - pivots1'!$A:$E,4,0)=0, "",VLOOKUP(A420,'Aux - pivots1'!$A:$E,4,0))</f>
        <v/>
      </c>
      <c r="L420" s="175" t="str">
        <f>IF(VLOOKUP(A420,'Aux - pivots1'!$A:$E,5,0)=0, "",VLOOKUP(A420,'Aux - pivots1'!$A:$E,5,0))</f>
        <v/>
      </c>
      <c r="M420" s="202"/>
    </row>
    <row r="421" spans="1:13" ht="16.2">
      <c r="A421" s="31" t="str">
        <f t="shared" si="9"/>
        <v>modesg_out_sfcs_taxon_europeianome_ctgr_sfcs</v>
      </c>
      <c r="B421" s="162" t="s">
        <v>28</v>
      </c>
      <c r="C421" s="157" t="s">
        <v>301</v>
      </c>
      <c r="D421" s="153" t="s">
        <v>40</v>
      </c>
      <c r="E421" s="154" t="s">
        <v>320</v>
      </c>
      <c r="F421" s="153" t="s">
        <v>198</v>
      </c>
      <c r="G421" s="155" t="str">
        <f>VLOOKUP(A421,Plano_V3!$A$27:$G$583,7,0)</f>
        <v>4. Validação EF</v>
      </c>
      <c r="H421" s="155" t="s">
        <v>479</v>
      </c>
      <c r="I421" s="164" t="s">
        <v>1884</v>
      </c>
      <c r="J421" s="175">
        <f>IF(VLOOKUP(A421,'Aux - pivots1'!$A:$E,3,0)=0, "",VLOOKUP(A421,'Aux - pivots1'!$A:$E,3,0))</f>
        <v>45562</v>
      </c>
      <c r="K421" s="175">
        <f>IF(VLOOKUP(A421,'Aux - pivots1'!$A:$E,4,0)=0, "",VLOOKUP(A421,'Aux - pivots1'!$A:$E,4,0))</f>
        <v>45565</v>
      </c>
      <c r="L421" s="175" t="str">
        <f>IF(VLOOKUP(A421,'Aux - pivots1'!$A:$E,5,0)=0, "",VLOOKUP(A421,'Aux - pivots1'!$A:$E,5,0))</f>
        <v/>
      </c>
      <c r="M421" s="202"/>
    </row>
    <row r="422" spans="1:13" ht="16.2">
      <c r="A422" s="31" t="str">
        <f t="shared" si="9"/>
        <v>modesg_out_sfcs_taxon_europeianome_general_specific_purpose</v>
      </c>
      <c r="B422" s="162" t="s">
        <v>28</v>
      </c>
      <c r="C422" s="157" t="s">
        <v>301</v>
      </c>
      <c r="D422" s="153" t="s">
        <v>40</v>
      </c>
      <c r="E422" s="154" t="s">
        <v>320</v>
      </c>
      <c r="F422" s="153" t="s">
        <v>199</v>
      </c>
      <c r="G422" s="155" t="str">
        <f>VLOOKUP(A422,Plano_V3!$A$27:$G$583,7,0)</f>
        <v>6. Em implementação (re-especificação)</v>
      </c>
      <c r="H422" s="155" t="s">
        <v>482</v>
      </c>
      <c r="I422" s="164" t="s">
        <v>1884</v>
      </c>
      <c r="J422" s="175">
        <f>IF(VLOOKUP(A422,'Aux - pivots1'!$A:$E,3,0)=0, "",VLOOKUP(A422,'Aux - pivots1'!$A:$E,3,0))</f>
        <v>45563</v>
      </c>
      <c r="K422" s="175" t="str">
        <f>IF(VLOOKUP(A422,'Aux - pivots1'!$A:$E,4,0)=0, "",VLOOKUP(A422,'Aux - pivots1'!$A:$E,4,0))</f>
        <v/>
      </c>
      <c r="L422" s="175" t="str">
        <f>IF(VLOOKUP(A422,'Aux - pivots1'!$A:$E,5,0)=0, "",VLOOKUP(A422,'Aux - pivots1'!$A:$E,5,0))</f>
        <v/>
      </c>
      <c r="M422" s="202"/>
    </row>
    <row r="423" spans="1:13" ht="16.2">
      <c r="A423" s="31" t="str">
        <f t="shared" si="9"/>
        <v>modesg_out_sfcs_taxon_europeianome_purpose_esg</v>
      </c>
      <c r="B423" s="162" t="s">
        <v>28</v>
      </c>
      <c r="C423" s="157" t="s">
        <v>301</v>
      </c>
      <c r="D423" s="153" t="s">
        <v>40</v>
      </c>
      <c r="E423" s="154" t="s">
        <v>320</v>
      </c>
      <c r="F423" s="153" t="s">
        <v>200</v>
      </c>
      <c r="G423" s="155" t="str">
        <f>VLOOKUP(A423,Plano_V3!$A$27:$G$583,7,0)</f>
        <v>6. Em implementação (re-especificação)</v>
      </c>
      <c r="H423" s="155" t="s">
        <v>482</v>
      </c>
      <c r="I423" s="164" t="s">
        <v>1884</v>
      </c>
      <c r="J423" s="175">
        <f>IF(VLOOKUP(A423,'Aux - pivots1'!$A:$E,3,0)=0, "",VLOOKUP(A423,'Aux - pivots1'!$A:$E,3,0))</f>
        <v>45563</v>
      </c>
      <c r="K423" s="175" t="str">
        <f>IF(VLOOKUP(A423,'Aux - pivots1'!$A:$E,4,0)=0, "",VLOOKUP(A423,'Aux - pivots1'!$A:$E,4,0))</f>
        <v/>
      </c>
      <c r="L423" s="175" t="str">
        <f>IF(VLOOKUP(A423,'Aux - pivots1'!$A:$E,5,0)=0, "",VLOOKUP(A423,'Aux - pivots1'!$A:$E,5,0))</f>
        <v/>
      </c>
      <c r="M423" s="202"/>
    </row>
    <row r="424" spans="1:13" ht="16.2">
      <c r="A424" s="31" t="str">
        <f t="shared" si="9"/>
        <v>modesg_out_sfcs_taxon_europeianome_specific_eligible</v>
      </c>
      <c r="B424" s="162" t="s">
        <v>28</v>
      </c>
      <c r="C424" s="157" t="s">
        <v>301</v>
      </c>
      <c r="D424" s="153" t="s">
        <v>40</v>
      </c>
      <c r="E424" s="154" t="s">
        <v>320</v>
      </c>
      <c r="F424" s="153" t="s">
        <v>201</v>
      </c>
      <c r="G424" s="155" t="str">
        <f>VLOOKUP(A424,Plano_V3!$A$27:$G$583,7,0)</f>
        <v>6. Em implementação (re-especificação)</v>
      </c>
      <c r="H424" s="155" t="s">
        <v>482</v>
      </c>
      <c r="I424" s="164" t="s">
        <v>1884</v>
      </c>
      <c r="J424" s="175">
        <f>IF(VLOOKUP(A424,'Aux - pivots1'!$A:$E,3,0)=0, "",VLOOKUP(A424,'Aux - pivots1'!$A:$E,3,0))</f>
        <v>45563</v>
      </c>
      <c r="K424" s="175" t="str">
        <f>IF(VLOOKUP(A424,'Aux - pivots1'!$A:$E,4,0)=0, "",VLOOKUP(A424,'Aux - pivots1'!$A:$E,4,0))</f>
        <v/>
      </c>
      <c r="L424" s="175" t="str">
        <f>IF(VLOOKUP(A424,'Aux - pivots1'!$A:$E,5,0)=0, "",VLOOKUP(A424,'Aux - pivots1'!$A:$E,5,0))</f>
        <v/>
      </c>
      <c r="M424" s="202"/>
    </row>
    <row r="425" spans="1:13" ht="16.2">
      <c r="A425" s="31" t="str">
        <f t="shared" si="9"/>
        <v>modesg_out_sfcs_taxon_europeianome_specific_sustainable</v>
      </c>
      <c r="B425" s="162" t="s">
        <v>28</v>
      </c>
      <c r="C425" s="157" t="s">
        <v>301</v>
      </c>
      <c r="D425" s="153" t="s">
        <v>40</v>
      </c>
      <c r="E425" s="154" t="s">
        <v>320</v>
      </c>
      <c r="F425" s="153" t="s">
        <v>202</v>
      </c>
      <c r="G425" s="155" t="str">
        <f>VLOOKUP(A425,Plano_V3!$A$27:$G$583,7,0)</f>
        <v>6. Em implementação (re-especificação)</v>
      </c>
      <c r="H425" s="155" t="s">
        <v>482</v>
      </c>
      <c r="I425" s="164" t="s">
        <v>1884</v>
      </c>
      <c r="J425" s="175">
        <f>IF(VLOOKUP(A425,'Aux - pivots1'!$A:$E,3,0)=0, "",VLOOKUP(A425,'Aux - pivots1'!$A:$E,3,0))</f>
        <v>45563</v>
      </c>
      <c r="K425" s="175" t="str">
        <f>IF(VLOOKUP(A425,'Aux - pivots1'!$A:$E,4,0)=0, "",VLOOKUP(A425,'Aux - pivots1'!$A:$E,4,0))</f>
        <v/>
      </c>
      <c r="L425" s="175" t="str">
        <f>IF(VLOOKUP(A425,'Aux - pivots1'!$A:$E,5,0)=0, "",VLOOKUP(A425,'Aux - pivots1'!$A:$E,5,0))</f>
        <v/>
      </c>
      <c r="M425" s="202"/>
    </row>
    <row r="426" spans="1:13" ht="16.2">
      <c r="A426" s="31" t="str">
        <f t="shared" si="9"/>
        <v>modesg_out_sfcs_taxon_europeiaorigem</v>
      </c>
      <c r="B426" s="162" t="s">
        <v>28</v>
      </c>
      <c r="C426" s="157" t="s">
        <v>301</v>
      </c>
      <c r="D426" s="153" t="s">
        <v>40</v>
      </c>
      <c r="E426" s="154" t="s">
        <v>320</v>
      </c>
      <c r="F426" s="153" t="s">
        <v>72</v>
      </c>
      <c r="G426" s="155" t="str">
        <f>VLOOKUP(A426,Plano_V3!$A$27:$G$583,7,0)</f>
        <v>1. Concluído</v>
      </c>
      <c r="H426" s="155" t="s">
        <v>477</v>
      </c>
      <c r="I426" s="164"/>
      <c r="J426" s="175" t="str">
        <f>IF(VLOOKUP(A426,'Aux - pivots1'!$A:$E,3,0)=0, "",VLOOKUP(A426,'Aux - pivots1'!$A:$E,3,0))</f>
        <v/>
      </c>
      <c r="K426" s="175" t="str">
        <f>IF(VLOOKUP(A426,'Aux - pivots1'!$A:$E,4,0)=0, "",VLOOKUP(A426,'Aux - pivots1'!$A:$E,4,0))</f>
        <v/>
      </c>
      <c r="L426" s="175" t="str">
        <f>IF(VLOOKUP(A426,'Aux - pivots1'!$A:$E,5,0)=0, "",VLOOKUP(A426,'Aux - pivots1'!$A:$E,5,0))</f>
        <v/>
      </c>
      <c r="M426" s="202"/>
    </row>
    <row r="427" spans="1:13" ht="16.2">
      <c r="A427" s="31" t="str">
        <f t="shared" si="9"/>
        <v>modesg_out_sfcs_taxon_europeiaref_date</v>
      </c>
      <c r="B427" s="162" t="s">
        <v>28</v>
      </c>
      <c r="C427" s="157" t="s">
        <v>301</v>
      </c>
      <c r="D427" s="153" t="s">
        <v>40</v>
      </c>
      <c r="E427" s="154" t="s">
        <v>320</v>
      </c>
      <c r="F427" s="153" t="s">
        <v>73</v>
      </c>
      <c r="G427" s="155" t="str">
        <f>VLOOKUP(A427,Plano_V3!$A$27:$G$583,7,0)</f>
        <v>6. Em implementação (re-especificação)</v>
      </c>
      <c r="H427" s="155" t="s">
        <v>482</v>
      </c>
      <c r="I427" s="164" t="s">
        <v>1884</v>
      </c>
      <c r="J427" s="175">
        <f>IF(VLOOKUP(A427,'Aux - pivots1'!$A:$E,3,0)=0, "",VLOOKUP(A427,'Aux - pivots1'!$A:$E,3,0))</f>
        <v>45561</v>
      </c>
      <c r="K427" s="175" t="str">
        <f>IF(VLOOKUP(A427,'Aux - pivots1'!$A:$E,4,0)=0, "",VLOOKUP(A427,'Aux - pivots1'!$A:$E,4,0))</f>
        <v/>
      </c>
      <c r="L427" s="175" t="str">
        <f>IF(VLOOKUP(A427,'Aux - pivots1'!$A:$E,5,0)=0, "",VLOOKUP(A427,'Aux - pivots1'!$A:$E,5,0))</f>
        <v/>
      </c>
      <c r="M427" s="202"/>
    </row>
    <row r="428" spans="1:13" ht="16.2">
      <c r="A428" s="31" t="str">
        <f t="shared" si="9"/>
        <v>modesg_out_sfcs_taxon_europeiazdeposit</v>
      </c>
      <c r="B428" s="162" t="s">
        <v>28</v>
      </c>
      <c r="C428" s="157" t="s">
        <v>301</v>
      </c>
      <c r="D428" s="153" t="s">
        <v>40</v>
      </c>
      <c r="E428" s="154" t="s">
        <v>320</v>
      </c>
      <c r="F428" s="153" t="s">
        <v>204</v>
      </c>
      <c r="G428" s="155" t="str">
        <f>VLOOKUP(A428,Plano_V3!$A$27:$G$583,7,0)</f>
        <v>6. Em implementação (re-especificação)</v>
      </c>
      <c r="H428" s="155" t="s">
        <v>482</v>
      </c>
      <c r="I428" s="164" t="s">
        <v>1884</v>
      </c>
      <c r="J428" s="175">
        <f>IF(VLOOKUP(A428,'Aux - pivots1'!$A:$E,3,0)=0, "",VLOOKUP(A428,'Aux - pivots1'!$A:$E,3,0))</f>
        <v>45561</v>
      </c>
      <c r="K428" s="175" t="str">
        <f>IF(VLOOKUP(A428,'Aux - pivots1'!$A:$E,4,0)=0, "",VLOOKUP(A428,'Aux - pivots1'!$A:$E,4,0))</f>
        <v/>
      </c>
      <c r="L428" s="175" t="str">
        <f>IF(VLOOKUP(A428,'Aux - pivots1'!$A:$E,5,0)=0, "",VLOOKUP(A428,'Aux - pivots1'!$A:$E,5,0))</f>
        <v/>
      </c>
      <c r="M428" s="202"/>
    </row>
    <row r="429" spans="1:13" ht="16.2">
      <c r="A429" s="31" t="str">
        <f t="shared" si="9"/>
        <v>lt003_entitynace_esg</v>
      </c>
      <c r="B429" s="162" t="s">
        <v>28</v>
      </c>
      <c r="C429" s="157" t="s">
        <v>28</v>
      </c>
      <c r="D429" s="153" t="s">
        <v>40</v>
      </c>
      <c r="E429" s="156" t="s">
        <v>323</v>
      </c>
      <c r="F429" s="156" t="s">
        <v>324</v>
      </c>
      <c r="G429" s="155" t="str">
        <f>VLOOKUP(A429,Plano_V3!$A$27:$G$583,7,0)</f>
        <v>7. Por iniciar</v>
      </c>
      <c r="H429" s="155" t="s">
        <v>30</v>
      </c>
      <c r="I429" s="164"/>
      <c r="J429" s="175" t="str">
        <f>IF(VLOOKUP(A429,'Aux - pivots1'!$A:$E,3,0)=0, "",VLOOKUP(A429,'Aux - pivots1'!$A:$E,3,0))</f>
        <v/>
      </c>
      <c r="K429" s="175" t="str">
        <f>IF(VLOOKUP(A429,'Aux - pivots1'!$A:$E,4,0)=0, "",VLOOKUP(A429,'Aux - pivots1'!$A:$E,4,0))</f>
        <v/>
      </c>
      <c r="L429" s="175" t="str">
        <f>IF(VLOOKUP(A429,'Aux - pivots1'!$A:$E,5,0)=0, "",VLOOKUP(A429,'Aux - pivots1'!$A:$E,5,0))</f>
        <v/>
      </c>
      <c r="M429" s="202"/>
    </row>
    <row r="430" spans="1:13" ht="16.2">
      <c r="A430" s="31" t="str">
        <f t="shared" si="9"/>
        <v>lt003_entitytxnmy_elgbl_capex_ccm</v>
      </c>
      <c r="B430" s="162" t="s">
        <v>28</v>
      </c>
      <c r="C430" s="157" t="s">
        <v>28</v>
      </c>
      <c r="D430" s="153" t="s">
        <v>40</v>
      </c>
      <c r="E430" s="156" t="s">
        <v>323</v>
      </c>
      <c r="F430" s="156" t="s">
        <v>326</v>
      </c>
      <c r="G430" s="155" t="str">
        <f>VLOOKUP(A430,Plano_V3!$A$27:$G$583,7,0)</f>
        <v>7. Por iniciar</v>
      </c>
      <c r="H430" s="155" t="s">
        <v>30</v>
      </c>
      <c r="I430" s="164"/>
      <c r="J430" s="175" t="str">
        <f>IF(VLOOKUP(A430,'Aux - pivots1'!$A:$E,3,0)=0, "",VLOOKUP(A430,'Aux - pivots1'!$A:$E,3,0))</f>
        <v/>
      </c>
      <c r="K430" s="175" t="str">
        <f>IF(VLOOKUP(A430,'Aux - pivots1'!$A:$E,4,0)=0, "",VLOOKUP(A430,'Aux - pivots1'!$A:$E,4,0))</f>
        <v/>
      </c>
      <c r="L430" s="175" t="str">
        <f>IF(VLOOKUP(A430,'Aux - pivots1'!$A:$E,5,0)=0, "",VLOOKUP(A430,'Aux - pivots1'!$A:$E,5,0))</f>
        <v/>
      </c>
      <c r="M430" s="202"/>
    </row>
    <row r="431" spans="1:13" ht="16.2">
      <c r="A431" s="31" t="str">
        <f t="shared" si="9"/>
        <v>lt003_entitytxnmy_elgbl_trnvr_ccm</v>
      </c>
      <c r="B431" s="162" t="s">
        <v>28</v>
      </c>
      <c r="C431" s="157" t="s">
        <v>28</v>
      </c>
      <c r="D431" s="153" t="s">
        <v>40</v>
      </c>
      <c r="E431" s="156" t="s">
        <v>323</v>
      </c>
      <c r="F431" s="156" t="s">
        <v>327</v>
      </c>
      <c r="G431" s="155" t="str">
        <f>VLOOKUP(A431,Plano_V3!$A$27:$G$583,7,0)</f>
        <v>7. Por iniciar</v>
      </c>
      <c r="H431" s="155" t="s">
        <v>30</v>
      </c>
      <c r="I431" s="164"/>
      <c r="J431" s="175" t="str">
        <f>IF(VLOOKUP(A431,'Aux - pivots1'!$A:$E,3,0)=0, "",VLOOKUP(A431,'Aux - pivots1'!$A:$E,3,0))</f>
        <v/>
      </c>
      <c r="K431" s="175" t="str">
        <f>IF(VLOOKUP(A431,'Aux - pivots1'!$A:$E,4,0)=0, "",VLOOKUP(A431,'Aux - pivots1'!$A:$E,4,0))</f>
        <v/>
      </c>
      <c r="L431" s="175" t="str">
        <f>IF(VLOOKUP(A431,'Aux - pivots1'!$A:$E,5,0)=0, "",VLOOKUP(A431,'Aux - pivots1'!$A:$E,5,0))</f>
        <v/>
      </c>
      <c r="M431" s="202"/>
    </row>
    <row r="432" spans="1:13" ht="16.2">
      <c r="A432" s="31" t="str">
        <f t="shared" si="9"/>
        <v>lt003_entitytxnmy_elgbl_capex_cca</v>
      </c>
      <c r="B432" s="162" t="s">
        <v>28</v>
      </c>
      <c r="C432" s="157" t="s">
        <v>28</v>
      </c>
      <c r="D432" s="153" t="s">
        <v>40</v>
      </c>
      <c r="E432" s="156" t="s">
        <v>323</v>
      </c>
      <c r="F432" s="156" t="s">
        <v>328</v>
      </c>
      <c r="G432" s="155" t="str">
        <f>VLOOKUP(A432,Plano_V3!$A$27:$G$583,7,0)</f>
        <v>7. Por iniciar</v>
      </c>
      <c r="H432" s="155" t="s">
        <v>30</v>
      </c>
      <c r="I432" s="164"/>
      <c r="J432" s="175" t="str">
        <f>IF(VLOOKUP(A432,'Aux - pivots1'!$A:$E,3,0)=0, "",VLOOKUP(A432,'Aux - pivots1'!$A:$E,3,0))</f>
        <v/>
      </c>
      <c r="K432" s="175" t="str">
        <f>IF(VLOOKUP(A432,'Aux - pivots1'!$A:$E,4,0)=0, "",VLOOKUP(A432,'Aux - pivots1'!$A:$E,4,0))</f>
        <v/>
      </c>
      <c r="L432" s="175" t="str">
        <f>IF(VLOOKUP(A432,'Aux - pivots1'!$A:$E,5,0)=0, "",VLOOKUP(A432,'Aux - pivots1'!$A:$E,5,0))</f>
        <v/>
      </c>
      <c r="M432" s="202"/>
    </row>
    <row r="433" spans="1:13" ht="16.2">
      <c r="A433" s="31" t="str">
        <f t="shared" si="9"/>
        <v>lt003_entitytxnmy_elgbl_trnvr_cca</v>
      </c>
      <c r="B433" s="162" t="s">
        <v>28</v>
      </c>
      <c r="C433" s="157" t="s">
        <v>28</v>
      </c>
      <c r="D433" s="153" t="s">
        <v>40</v>
      </c>
      <c r="E433" s="156" t="s">
        <v>323</v>
      </c>
      <c r="F433" s="156" t="s">
        <v>329</v>
      </c>
      <c r="G433" s="155" t="str">
        <f>VLOOKUP(A433,Plano_V3!$A$27:$G$583,7,0)</f>
        <v>7. Por iniciar</v>
      </c>
      <c r="H433" s="155" t="s">
        <v>30</v>
      </c>
      <c r="I433" s="164"/>
      <c r="J433" s="175" t="str">
        <f>IF(VLOOKUP(A433,'Aux - pivots1'!$A:$E,3,0)=0, "",VLOOKUP(A433,'Aux - pivots1'!$A:$E,3,0))</f>
        <v/>
      </c>
      <c r="K433" s="175" t="str">
        <f>IF(VLOOKUP(A433,'Aux - pivots1'!$A:$E,4,0)=0, "",VLOOKUP(A433,'Aux - pivots1'!$A:$E,4,0))</f>
        <v/>
      </c>
      <c r="L433" s="175" t="str">
        <f>IF(VLOOKUP(A433,'Aux - pivots1'!$A:$E,5,0)=0, "",VLOOKUP(A433,'Aux - pivots1'!$A:$E,5,0))</f>
        <v/>
      </c>
      <c r="M433" s="202"/>
    </row>
    <row r="434" spans="1:13" ht="16.2">
      <c r="A434" s="31" t="str">
        <f t="shared" si="9"/>
        <v>lt003_entityenblng_capex_ccm</v>
      </c>
      <c r="B434" s="162" t="s">
        <v>28</v>
      </c>
      <c r="C434" s="157" t="s">
        <v>28</v>
      </c>
      <c r="D434" s="153" t="s">
        <v>40</v>
      </c>
      <c r="E434" s="156" t="s">
        <v>323</v>
      </c>
      <c r="F434" s="156" t="s">
        <v>330</v>
      </c>
      <c r="G434" s="155" t="str">
        <f>VLOOKUP(A434,Plano_V3!$A$27:$G$583,7,0)</f>
        <v>7. Por iniciar</v>
      </c>
      <c r="H434" s="155" t="s">
        <v>30</v>
      </c>
      <c r="I434" s="164"/>
      <c r="J434" s="175" t="str">
        <f>IF(VLOOKUP(A434,'Aux - pivots1'!$A:$E,3,0)=0, "",VLOOKUP(A434,'Aux - pivots1'!$A:$E,3,0))</f>
        <v/>
      </c>
      <c r="K434" s="175" t="str">
        <f>IF(VLOOKUP(A434,'Aux - pivots1'!$A:$E,4,0)=0, "",VLOOKUP(A434,'Aux - pivots1'!$A:$E,4,0))</f>
        <v/>
      </c>
      <c r="L434" s="175" t="str">
        <f>IF(VLOOKUP(A434,'Aux - pivots1'!$A:$E,5,0)=0, "",VLOOKUP(A434,'Aux - pivots1'!$A:$E,5,0))</f>
        <v/>
      </c>
      <c r="M434" s="202"/>
    </row>
    <row r="435" spans="1:13" ht="16.2">
      <c r="A435" s="31" t="str">
        <f t="shared" si="9"/>
        <v>lt003_entityenblng_capex_cca</v>
      </c>
      <c r="B435" s="162" t="s">
        <v>28</v>
      </c>
      <c r="C435" s="157" t="s">
        <v>28</v>
      </c>
      <c r="D435" s="153" t="s">
        <v>40</v>
      </c>
      <c r="E435" s="156" t="s">
        <v>323</v>
      </c>
      <c r="F435" s="156" t="s">
        <v>331</v>
      </c>
      <c r="G435" s="155" t="str">
        <f>VLOOKUP(A435,Plano_V3!$A$27:$G$583,7,0)</f>
        <v>7. Por iniciar</v>
      </c>
      <c r="H435" s="155" t="s">
        <v>30</v>
      </c>
      <c r="I435" s="164"/>
      <c r="J435" s="175" t="str">
        <f>IF(VLOOKUP(A435,'Aux - pivots1'!$A:$E,3,0)=0, "",VLOOKUP(A435,'Aux - pivots1'!$A:$E,3,0))</f>
        <v/>
      </c>
      <c r="K435" s="175" t="str">
        <f>IF(VLOOKUP(A435,'Aux - pivots1'!$A:$E,4,0)=0, "",VLOOKUP(A435,'Aux - pivots1'!$A:$E,4,0))</f>
        <v/>
      </c>
      <c r="L435" s="175" t="str">
        <f>IF(VLOOKUP(A435,'Aux - pivots1'!$A:$E,5,0)=0, "",VLOOKUP(A435,'Aux - pivots1'!$A:$E,5,0))</f>
        <v/>
      </c>
      <c r="M435" s="202"/>
    </row>
    <row r="436" spans="1:13" ht="16.2">
      <c r="A436" s="31" t="str">
        <f t="shared" si="9"/>
        <v>lt003_entitytrnstnl_capex</v>
      </c>
      <c r="B436" s="162" t="s">
        <v>28</v>
      </c>
      <c r="C436" s="157" t="s">
        <v>28</v>
      </c>
      <c r="D436" s="153" t="s">
        <v>40</v>
      </c>
      <c r="E436" s="156" t="s">
        <v>323</v>
      </c>
      <c r="F436" s="156" t="s">
        <v>332</v>
      </c>
      <c r="G436" s="155" t="str">
        <f>VLOOKUP(A436,Plano_V3!$A$27:$G$583,7,0)</f>
        <v>7. Por iniciar</v>
      </c>
      <c r="H436" s="155" t="s">
        <v>30</v>
      </c>
      <c r="I436" s="164"/>
      <c r="J436" s="175" t="str">
        <f>IF(VLOOKUP(A436,'Aux - pivots1'!$A:$E,3,0)=0, "",VLOOKUP(A436,'Aux - pivots1'!$A:$E,3,0))</f>
        <v/>
      </c>
      <c r="K436" s="175" t="str">
        <f>IF(VLOOKUP(A436,'Aux - pivots1'!$A:$E,4,0)=0, "",VLOOKUP(A436,'Aux - pivots1'!$A:$E,4,0))</f>
        <v/>
      </c>
      <c r="L436" s="175" t="str">
        <f>IF(VLOOKUP(A436,'Aux - pivots1'!$A:$E,5,0)=0, "",VLOOKUP(A436,'Aux - pivots1'!$A:$E,5,0))</f>
        <v/>
      </c>
      <c r="M436" s="202"/>
    </row>
    <row r="437" spans="1:13" ht="16.2">
      <c r="A437" s="31" t="str">
        <f t="shared" si="9"/>
        <v>lt003_entitypure_capex_ccm</v>
      </c>
      <c r="B437" s="162" t="s">
        <v>28</v>
      </c>
      <c r="C437" s="157" t="s">
        <v>28</v>
      </c>
      <c r="D437" s="153" t="s">
        <v>40</v>
      </c>
      <c r="E437" s="156" t="s">
        <v>323</v>
      </c>
      <c r="F437" s="156" t="s">
        <v>333</v>
      </c>
      <c r="G437" s="155" t="str">
        <f>VLOOKUP(A437,Plano_V3!$A$27:$G$583,7,0)</f>
        <v>7. Por iniciar</v>
      </c>
      <c r="H437" s="155" t="s">
        <v>30</v>
      </c>
      <c r="I437" s="164"/>
      <c r="J437" s="175" t="str">
        <f>IF(VLOOKUP(A437,'Aux - pivots1'!$A:$E,3,0)=0, "",VLOOKUP(A437,'Aux - pivots1'!$A:$E,3,0))</f>
        <v/>
      </c>
      <c r="K437" s="175" t="str">
        <f>IF(VLOOKUP(A437,'Aux - pivots1'!$A:$E,4,0)=0, "",VLOOKUP(A437,'Aux - pivots1'!$A:$E,4,0))</f>
        <v/>
      </c>
      <c r="L437" s="175" t="str">
        <f>IF(VLOOKUP(A437,'Aux - pivots1'!$A:$E,5,0)=0, "",VLOOKUP(A437,'Aux - pivots1'!$A:$E,5,0))</f>
        <v/>
      </c>
      <c r="M437" s="202"/>
    </row>
    <row r="438" spans="1:13" ht="16.2">
      <c r="A438" s="31" t="str">
        <f t="shared" si="9"/>
        <v>lt003_entitypure_capex_cca</v>
      </c>
      <c r="B438" s="162" t="s">
        <v>28</v>
      </c>
      <c r="C438" s="157" t="s">
        <v>28</v>
      </c>
      <c r="D438" s="153" t="s">
        <v>40</v>
      </c>
      <c r="E438" s="156" t="s">
        <v>323</v>
      </c>
      <c r="F438" s="156" t="s">
        <v>334</v>
      </c>
      <c r="G438" s="155" t="str">
        <f>VLOOKUP(A438,Plano_V3!$A$27:$G$583,7,0)</f>
        <v>7. Por iniciar</v>
      </c>
      <c r="H438" s="155" t="s">
        <v>30</v>
      </c>
      <c r="I438" s="164"/>
      <c r="J438" s="175" t="str">
        <f>IF(VLOOKUP(A438,'Aux - pivots1'!$A:$E,3,0)=0, "",VLOOKUP(A438,'Aux - pivots1'!$A:$E,3,0))</f>
        <v/>
      </c>
      <c r="K438" s="175" t="str">
        <f>IF(VLOOKUP(A438,'Aux - pivots1'!$A:$E,4,0)=0, "",VLOOKUP(A438,'Aux - pivots1'!$A:$E,4,0))</f>
        <v/>
      </c>
      <c r="L438" s="175" t="str">
        <f>IF(VLOOKUP(A438,'Aux - pivots1'!$A:$E,5,0)=0, "",VLOOKUP(A438,'Aux - pivots1'!$A:$E,5,0))</f>
        <v/>
      </c>
      <c r="M438" s="202"/>
    </row>
    <row r="439" spans="1:13" ht="16.2">
      <c r="A439" s="31" t="str">
        <f t="shared" si="9"/>
        <v>lt003_entityenblng_trnvr_ccm</v>
      </c>
      <c r="B439" s="162" t="s">
        <v>28</v>
      </c>
      <c r="C439" s="157" t="s">
        <v>28</v>
      </c>
      <c r="D439" s="153" t="s">
        <v>40</v>
      </c>
      <c r="E439" s="156" t="s">
        <v>323</v>
      </c>
      <c r="F439" s="156" t="s">
        <v>335</v>
      </c>
      <c r="G439" s="155" t="str">
        <f>VLOOKUP(A439,Plano_V3!$A$27:$G$583,7,0)</f>
        <v>7. Por iniciar</v>
      </c>
      <c r="H439" s="155" t="s">
        <v>30</v>
      </c>
      <c r="I439" s="164"/>
      <c r="J439" s="175" t="str">
        <f>IF(VLOOKUP(A439,'Aux - pivots1'!$A:$E,3,0)=0, "",VLOOKUP(A439,'Aux - pivots1'!$A:$E,3,0))</f>
        <v/>
      </c>
      <c r="K439" s="175" t="str">
        <f>IF(VLOOKUP(A439,'Aux - pivots1'!$A:$E,4,0)=0, "",VLOOKUP(A439,'Aux - pivots1'!$A:$E,4,0))</f>
        <v/>
      </c>
      <c r="L439" s="175" t="str">
        <f>IF(VLOOKUP(A439,'Aux - pivots1'!$A:$E,5,0)=0, "",VLOOKUP(A439,'Aux - pivots1'!$A:$E,5,0))</f>
        <v/>
      </c>
      <c r="M439" s="202"/>
    </row>
    <row r="440" spans="1:13" ht="16.2">
      <c r="A440" s="31" t="str">
        <f t="shared" si="9"/>
        <v>lt003_entityenblng_trnvr_cca</v>
      </c>
      <c r="B440" s="162" t="s">
        <v>28</v>
      </c>
      <c r="C440" s="157" t="s">
        <v>28</v>
      </c>
      <c r="D440" s="153" t="s">
        <v>40</v>
      </c>
      <c r="E440" s="156" t="s">
        <v>323</v>
      </c>
      <c r="F440" s="156" t="s">
        <v>336</v>
      </c>
      <c r="G440" s="155" t="str">
        <f>VLOOKUP(A440,Plano_V3!$A$27:$G$583,7,0)</f>
        <v>7. Por iniciar</v>
      </c>
      <c r="H440" s="155" t="s">
        <v>30</v>
      </c>
      <c r="I440" s="164"/>
      <c r="J440" s="175" t="str">
        <f>IF(VLOOKUP(A440,'Aux - pivots1'!$A:$E,3,0)=0, "",VLOOKUP(A440,'Aux - pivots1'!$A:$E,3,0))</f>
        <v/>
      </c>
      <c r="K440" s="175" t="str">
        <f>IF(VLOOKUP(A440,'Aux - pivots1'!$A:$E,4,0)=0, "",VLOOKUP(A440,'Aux - pivots1'!$A:$E,4,0))</f>
        <v/>
      </c>
      <c r="L440" s="175" t="str">
        <f>IF(VLOOKUP(A440,'Aux - pivots1'!$A:$E,5,0)=0, "",VLOOKUP(A440,'Aux - pivots1'!$A:$E,5,0))</f>
        <v/>
      </c>
      <c r="M440" s="202"/>
    </row>
    <row r="441" spans="1:13" ht="16.2">
      <c r="A441" s="31" t="str">
        <f t="shared" si="9"/>
        <v>lt003_entitytrnstnl_trnvr</v>
      </c>
      <c r="B441" s="162" t="s">
        <v>28</v>
      </c>
      <c r="C441" s="157" t="s">
        <v>28</v>
      </c>
      <c r="D441" s="153" t="s">
        <v>40</v>
      </c>
      <c r="E441" s="156" t="s">
        <v>323</v>
      </c>
      <c r="F441" s="156" t="s">
        <v>337</v>
      </c>
      <c r="G441" s="155" t="str">
        <f>VLOOKUP(A441,Plano_V3!$A$27:$G$583,7,0)</f>
        <v>7. Por iniciar</v>
      </c>
      <c r="H441" s="155" t="s">
        <v>30</v>
      </c>
      <c r="I441" s="164"/>
      <c r="J441" s="175" t="str">
        <f>IF(VLOOKUP(A441,'Aux - pivots1'!$A:$E,3,0)=0, "",VLOOKUP(A441,'Aux - pivots1'!$A:$E,3,0))</f>
        <v/>
      </c>
      <c r="K441" s="175" t="str">
        <f>IF(VLOOKUP(A441,'Aux - pivots1'!$A:$E,4,0)=0, "",VLOOKUP(A441,'Aux - pivots1'!$A:$E,4,0))</f>
        <v/>
      </c>
      <c r="L441" s="175" t="str">
        <f>IF(VLOOKUP(A441,'Aux - pivots1'!$A:$E,5,0)=0, "",VLOOKUP(A441,'Aux - pivots1'!$A:$E,5,0))</f>
        <v/>
      </c>
      <c r="M441" s="202"/>
    </row>
    <row r="442" spans="1:13" ht="16.2">
      <c r="A442" s="31" t="str">
        <f t="shared" si="9"/>
        <v>lt003_entitypure_trnvr_ccm</v>
      </c>
      <c r="B442" s="162" t="s">
        <v>28</v>
      </c>
      <c r="C442" s="157" t="s">
        <v>28</v>
      </c>
      <c r="D442" s="153" t="s">
        <v>40</v>
      </c>
      <c r="E442" s="156" t="s">
        <v>323</v>
      </c>
      <c r="F442" s="156" t="s">
        <v>338</v>
      </c>
      <c r="G442" s="155" t="str">
        <f>VLOOKUP(A442,Plano_V3!$A$27:$G$583,7,0)</f>
        <v>7. Por iniciar</v>
      </c>
      <c r="H442" s="155" t="s">
        <v>30</v>
      </c>
      <c r="I442" s="164"/>
      <c r="J442" s="175" t="str">
        <f>IF(VLOOKUP(A442,'Aux - pivots1'!$A:$E,3,0)=0, "",VLOOKUP(A442,'Aux - pivots1'!$A:$E,3,0))</f>
        <v/>
      </c>
      <c r="K442" s="175" t="str">
        <f>IF(VLOOKUP(A442,'Aux - pivots1'!$A:$E,4,0)=0, "",VLOOKUP(A442,'Aux - pivots1'!$A:$E,4,0))</f>
        <v/>
      </c>
      <c r="L442" s="175" t="str">
        <f>IF(VLOOKUP(A442,'Aux - pivots1'!$A:$E,5,0)=0, "",VLOOKUP(A442,'Aux - pivots1'!$A:$E,5,0))</f>
        <v/>
      </c>
      <c r="M442" s="202"/>
    </row>
    <row r="443" spans="1:13" ht="16.2">
      <c r="A443" s="31" t="str">
        <f t="shared" si="9"/>
        <v>lt003_entitypure_trnvr_cca</v>
      </c>
      <c r="B443" s="162" t="s">
        <v>28</v>
      </c>
      <c r="C443" s="157" t="s">
        <v>28</v>
      </c>
      <c r="D443" s="153" t="s">
        <v>40</v>
      </c>
      <c r="E443" s="156" t="s">
        <v>323</v>
      </c>
      <c r="F443" s="156" t="s">
        <v>339</v>
      </c>
      <c r="G443" s="155" t="str">
        <f>VLOOKUP(A443,Plano_V3!$A$27:$G$583,7,0)</f>
        <v>7. Por iniciar</v>
      </c>
      <c r="H443" s="155" t="s">
        <v>30</v>
      </c>
      <c r="I443" s="164"/>
      <c r="J443" s="175" t="str">
        <f>IF(VLOOKUP(A443,'Aux - pivots1'!$A:$E,3,0)=0, "",VLOOKUP(A443,'Aux - pivots1'!$A:$E,3,0))</f>
        <v/>
      </c>
      <c r="K443" s="175" t="str">
        <f>IF(VLOOKUP(A443,'Aux - pivots1'!$A:$E,4,0)=0, "",VLOOKUP(A443,'Aux - pivots1'!$A:$E,4,0))</f>
        <v/>
      </c>
      <c r="L443" s="175" t="str">
        <f>IF(VLOOKUP(A443,'Aux - pivots1'!$A:$E,5,0)=0, "",VLOOKUP(A443,'Aux - pivots1'!$A:$E,5,0))</f>
        <v/>
      </c>
      <c r="M443" s="202"/>
    </row>
    <row r="444" spans="1:13" ht="16.2">
      <c r="A444" s="31" t="str">
        <f t="shared" si="9"/>
        <v>lt003_entityflg_nfrd_applcblty</v>
      </c>
      <c r="B444" s="162" t="s">
        <v>28</v>
      </c>
      <c r="C444" s="157" t="s">
        <v>28</v>
      </c>
      <c r="D444" s="153" t="s">
        <v>40</v>
      </c>
      <c r="E444" s="156" t="s">
        <v>323</v>
      </c>
      <c r="F444" s="156" t="s">
        <v>340</v>
      </c>
      <c r="G444" s="155" t="str">
        <f>VLOOKUP(A444,Plano_V3!$A$27:$G$583,7,0)</f>
        <v>7. Por iniciar</v>
      </c>
      <c r="H444" s="155" t="s">
        <v>30</v>
      </c>
      <c r="I444" s="164"/>
      <c r="J444" s="175" t="str">
        <f>IF(VLOOKUP(A444,'Aux - pivots1'!$A:$E,3,0)=0, "",VLOOKUP(A444,'Aux - pivots1'!$A:$E,3,0))</f>
        <v/>
      </c>
      <c r="K444" s="175" t="str">
        <f>IF(VLOOKUP(A444,'Aux - pivots1'!$A:$E,4,0)=0, "",VLOOKUP(A444,'Aux - pivots1'!$A:$E,4,0))</f>
        <v/>
      </c>
      <c r="L444" s="175" t="str">
        <f>IF(VLOOKUP(A444,'Aux - pivots1'!$A:$E,5,0)=0, "",VLOOKUP(A444,'Aux - pivots1'!$A:$E,5,0))</f>
        <v/>
      </c>
      <c r="M444" s="202"/>
    </row>
    <row r="445" spans="1:13" ht="16.2">
      <c r="A445" s="31" t="str">
        <f t="shared" si="9"/>
        <v>lt003_entitycntrprty_emssns_scp1</v>
      </c>
      <c r="B445" s="162" t="s">
        <v>28</v>
      </c>
      <c r="C445" s="157" t="s">
        <v>28</v>
      </c>
      <c r="D445" s="153" t="s">
        <v>40</v>
      </c>
      <c r="E445" s="156" t="s">
        <v>323</v>
      </c>
      <c r="F445" s="156" t="s">
        <v>341</v>
      </c>
      <c r="G445" s="155" t="str">
        <f>VLOOKUP(A445,Plano_V3!$A$27:$G$583,7,0)</f>
        <v>7. Por iniciar</v>
      </c>
      <c r="H445" s="155" t="s">
        <v>30</v>
      </c>
      <c r="I445" s="164"/>
      <c r="J445" s="175" t="str">
        <f>IF(VLOOKUP(A445,'Aux - pivots1'!$A:$E,3,0)=0, "",VLOOKUP(A445,'Aux - pivots1'!$A:$E,3,0))</f>
        <v/>
      </c>
      <c r="K445" s="175" t="str">
        <f>IF(VLOOKUP(A445,'Aux - pivots1'!$A:$E,4,0)=0, "",VLOOKUP(A445,'Aux - pivots1'!$A:$E,4,0))</f>
        <v/>
      </c>
      <c r="L445" s="175" t="str">
        <f>IF(VLOOKUP(A445,'Aux - pivots1'!$A:$E,5,0)=0, "",VLOOKUP(A445,'Aux - pivots1'!$A:$E,5,0))</f>
        <v/>
      </c>
      <c r="M445" s="202"/>
    </row>
    <row r="446" spans="1:13" ht="16.2">
      <c r="A446" s="31" t="str">
        <f t="shared" si="9"/>
        <v>lt003_entitycntrprty_emssns_scp2</v>
      </c>
      <c r="B446" s="162" t="s">
        <v>28</v>
      </c>
      <c r="C446" s="157" t="s">
        <v>28</v>
      </c>
      <c r="D446" s="153" t="s">
        <v>40</v>
      </c>
      <c r="E446" s="156" t="s">
        <v>323</v>
      </c>
      <c r="F446" s="156" t="s">
        <v>342</v>
      </c>
      <c r="G446" s="155" t="str">
        <f>VLOOKUP(A446,Plano_V3!$A$27:$G$583,7,0)</f>
        <v>7. Por iniciar</v>
      </c>
      <c r="H446" s="155" t="s">
        <v>30</v>
      </c>
      <c r="I446" s="164"/>
      <c r="J446" s="175" t="str">
        <f>IF(VLOOKUP(A446,'Aux - pivots1'!$A:$E,3,0)=0, "",VLOOKUP(A446,'Aux - pivots1'!$A:$E,3,0))</f>
        <v/>
      </c>
      <c r="K446" s="175" t="str">
        <f>IF(VLOOKUP(A446,'Aux - pivots1'!$A:$E,4,0)=0, "",VLOOKUP(A446,'Aux - pivots1'!$A:$E,4,0))</f>
        <v/>
      </c>
      <c r="L446" s="175" t="str">
        <f>IF(VLOOKUP(A446,'Aux - pivots1'!$A:$E,5,0)=0, "",VLOOKUP(A446,'Aux - pivots1'!$A:$E,5,0))</f>
        <v/>
      </c>
      <c r="M446" s="202"/>
    </row>
    <row r="447" spans="1:13" ht="16.2">
      <c r="A447" s="31" t="str">
        <f t="shared" si="9"/>
        <v>lt003_entitycntrprty_emssns_scp3</v>
      </c>
      <c r="B447" s="162" t="s">
        <v>28</v>
      </c>
      <c r="C447" s="157" t="s">
        <v>28</v>
      </c>
      <c r="D447" s="153" t="s">
        <v>40</v>
      </c>
      <c r="E447" s="156" t="s">
        <v>323</v>
      </c>
      <c r="F447" s="156" t="s">
        <v>343</v>
      </c>
      <c r="G447" s="155" t="str">
        <f>VLOOKUP(A447,Plano_V3!$A$27:$G$583,7,0)</f>
        <v>7. Por iniciar</v>
      </c>
      <c r="H447" s="155" t="s">
        <v>30</v>
      </c>
      <c r="I447" s="164"/>
      <c r="J447" s="175" t="str">
        <f>IF(VLOOKUP(A447,'Aux - pivots1'!$A:$E,3,0)=0, "",VLOOKUP(A447,'Aux - pivots1'!$A:$E,3,0))</f>
        <v/>
      </c>
      <c r="K447" s="175" t="str">
        <f>IF(VLOOKUP(A447,'Aux - pivots1'!$A:$E,4,0)=0, "",VLOOKUP(A447,'Aux - pivots1'!$A:$E,4,0))</f>
        <v/>
      </c>
      <c r="L447" s="175" t="str">
        <f>IF(VLOOKUP(A447,'Aux - pivots1'!$A:$E,5,0)=0, "",VLOOKUP(A447,'Aux - pivots1'!$A:$E,5,0))</f>
        <v/>
      </c>
      <c r="M447" s="202"/>
    </row>
    <row r="448" spans="1:13" ht="16.2">
      <c r="A448" s="31" t="str">
        <f t="shared" si="9"/>
        <v>lt003_entityflg_excldd_eu_prs_algnd_bnchmrk</v>
      </c>
      <c r="B448" s="162" t="s">
        <v>28</v>
      </c>
      <c r="C448" s="157" t="s">
        <v>28</v>
      </c>
      <c r="D448" s="153" t="s">
        <v>40</v>
      </c>
      <c r="E448" s="156" t="s">
        <v>323</v>
      </c>
      <c r="F448" s="156" t="s">
        <v>344</v>
      </c>
      <c r="G448" s="155" t="str">
        <f>VLOOKUP(A448,Plano_V3!$A$27:$G$583,7,0)</f>
        <v>7. Por iniciar</v>
      </c>
      <c r="H448" s="155" t="s">
        <v>30</v>
      </c>
      <c r="I448" s="164"/>
      <c r="J448" s="175" t="str">
        <f>IF(VLOOKUP(A448,'Aux - pivots1'!$A:$E,3,0)=0, "",VLOOKUP(A448,'Aux - pivots1'!$A:$E,3,0))</f>
        <v/>
      </c>
      <c r="K448" s="175" t="str">
        <f>IF(VLOOKUP(A448,'Aux - pivots1'!$A:$E,4,0)=0, "",VLOOKUP(A448,'Aux - pivots1'!$A:$E,4,0))</f>
        <v/>
      </c>
      <c r="L448" s="175" t="str">
        <f>IF(VLOOKUP(A448,'Aux - pivots1'!$A:$E,5,0)=0, "",VLOOKUP(A448,'Aux - pivots1'!$A:$E,5,0))</f>
        <v/>
      </c>
      <c r="M448" s="202"/>
    </row>
    <row r="449" spans="1:13" ht="16.2">
      <c r="A449" s="31" t="str">
        <f t="shared" si="9"/>
        <v>lt003_entityflg_act_physcl_rsk</v>
      </c>
      <c r="B449" s="162" t="s">
        <v>28</v>
      </c>
      <c r="C449" s="157" t="s">
        <v>28</v>
      </c>
      <c r="D449" s="153" t="s">
        <v>40</v>
      </c>
      <c r="E449" s="156" t="s">
        <v>323</v>
      </c>
      <c r="F449" s="156" t="s">
        <v>345</v>
      </c>
      <c r="G449" s="155" t="str">
        <f>VLOOKUP(A449,Plano_V3!$A$27:$G$583,7,0)</f>
        <v>7. Por iniciar</v>
      </c>
      <c r="H449" s="155" t="s">
        <v>30</v>
      </c>
      <c r="I449" s="164"/>
      <c r="J449" s="175" t="str">
        <f>IF(VLOOKUP(A449,'Aux - pivots1'!$A:$E,3,0)=0, "",VLOOKUP(A449,'Aux - pivots1'!$A:$E,3,0))</f>
        <v/>
      </c>
      <c r="K449" s="175" t="str">
        <f>IF(VLOOKUP(A449,'Aux - pivots1'!$A:$E,4,0)=0, "",VLOOKUP(A449,'Aux - pivots1'!$A:$E,4,0))</f>
        <v/>
      </c>
      <c r="L449" s="175" t="str">
        <f>IF(VLOOKUP(A449,'Aux - pivots1'!$A:$E,5,0)=0, "",VLOOKUP(A449,'Aux - pivots1'!$A:$E,5,0))</f>
        <v/>
      </c>
      <c r="M449" s="202"/>
    </row>
    <row r="450" spans="1:13" ht="16.2">
      <c r="A450" s="31" t="str">
        <f t="shared" si="9"/>
        <v>lt003_entityflg_chrnc_physcl_rsk</v>
      </c>
      <c r="B450" s="162" t="s">
        <v>28</v>
      </c>
      <c r="C450" s="157" t="s">
        <v>28</v>
      </c>
      <c r="D450" s="153" t="s">
        <v>40</v>
      </c>
      <c r="E450" s="156" t="s">
        <v>323</v>
      </c>
      <c r="F450" s="156" t="s">
        <v>346</v>
      </c>
      <c r="G450" s="155" t="str">
        <f>VLOOKUP(A450,Plano_V3!$A$27:$G$583,7,0)</f>
        <v>7. Por iniciar</v>
      </c>
      <c r="H450" s="155" t="s">
        <v>30</v>
      </c>
      <c r="I450" s="164"/>
      <c r="J450" s="175" t="str">
        <f>IF(VLOOKUP(A450,'Aux - pivots1'!$A:$E,3,0)=0, "",VLOOKUP(A450,'Aux - pivots1'!$A:$E,3,0))</f>
        <v/>
      </c>
      <c r="K450" s="175" t="str">
        <f>IF(VLOOKUP(A450,'Aux - pivots1'!$A:$E,4,0)=0, "",VLOOKUP(A450,'Aux - pivots1'!$A:$E,4,0))</f>
        <v/>
      </c>
      <c r="L450" s="175" t="str">
        <f>IF(VLOOKUP(A450,'Aux - pivots1'!$A:$E,5,0)=0, "",VLOOKUP(A450,'Aux - pivots1'!$A:$E,5,0))</f>
        <v/>
      </c>
      <c r="M450" s="202"/>
    </row>
    <row r="451" spans="1:13" ht="16.2">
      <c r="A451" s="31" t="str">
        <f t="shared" si="9"/>
        <v>lt003_entitypst_cd</v>
      </c>
      <c r="B451" s="162" t="s">
        <v>28</v>
      </c>
      <c r="C451" s="157" t="s">
        <v>28</v>
      </c>
      <c r="D451" s="153" t="s">
        <v>40</v>
      </c>
      <c r="E451" s="156" t="s">
        <v>323</v>
      </c>
      <c r="F451" s="156" t="s">
        <v>347</v>
      </c>
      <c r="G451" s="155" t="str">
        <f>VLOOKUP(A451,Plano_V3!$A$27:$G$583,7,0)</f>
        <v>7. Por iniciar</v>
      </c>
      <c r="H451" s="155" t="s">
        <v>30</v>
      </c>
      <c r="I451" s="164"/>
      <c r="J451" s="175" t="str">
        <f>IF(VLOOKUP(A451,'Aux - pivots1'!$A:$E,3,0)=0, "",VLOOKUP(A451,'Aux - pivots1'!$A:$E,3,0))</f>
        <v/>
      </c>
      <c r="K451" s="175" t="str">
        <f>IF(VLOOKUP(A451,'Aux - pivots1'!$A:$E,4,0)=0, "",VLOOKUP(A451,'Aux - pivots1'!$A:$E,4,0))</f>
        <v/>
      </c>
      <c r="L451" s="175" t="str">
        <f>IF(VLOOKUP(A451,'Aux - pivots1'!$A:$E,5,0)=0, "",VLOOKUP(A451,'Aux - pivots1'!$A:$E,5,0))</f>
        <v/>
      </c>
      <c r="M451" s="202"/>
    </row>
    <row r="452" spans="1:13" ht="16.2">
      <c r="A452" s="31" t="str">
        <f t="shared" si="9"/>
        <v>lt003_entityesg_sbsctr</v>
      </c>
      <c r="B452" s="162" t="s">
        <v>28</v>
      </c>
      <c r="C452" s="157" t="s">
        <v>28</v>
      </c>
      <c r="D452" s="153" t="s">
        <v>40</v>
      </c>
      <c r="E452" s="156" t="s">
        <v>323</v>
      </c>
      <c r="F452" s="156" t="s">
        <v>348</v>
      </c>
      <c r="G452" s="155" t="str">
        <f>VLOOKUP(A452,Plano_V3!$A$27:$G$583,7,0)</f>
        <v>7. Por iniciar</v>
      </c>
      <c r="H452" s="155" t="s">
        <v>30</v>
      </c>
      <c r="I452" s="164"/>
      <c r="J452" s="175" t="str">
        <f>IF(VLOOKUP(A452,'Aux - pivots1'!$A:$E,3,0)=0, "",VLOOKUP(A452,'Aux - pivots1'!$A:$E,3,0))</f>
        <v/>
      </c>
      <c r="K452" s="175" t="str">
        <f>IF(VLOOKUP(A452,'Aux - pivots1'!$A:$E,4,0)=0, "",VLOOKUP(A452,'Aux - pivots1'!$A:$E,4,0))</f>
        <v/>
      </c>
      <c r="L452" s="175" t="str">
        <f>IF(VLOOKUP(A452,'Aux - pivots1'!$A:$E,5,0)=0, "",VLOOKUP(A452,'Aux - pivots1'!$A:$E,5,0))</f>
        <v/>
      </c>
      <c r="M452" s="202"/>
    </row>
    <row r="453" spans="1:13" ht="16.2">
      <c r="A453" s="31" t="str">
        <f t="shared" si="9"/>
        <v>lt003_entityttl_lblty</v>
      </c>
      <c r="B453" s="162" t="s">
        <v>28</v>
      </c>
      <c r="C453" s="157" t="s">
        <v>28</v>
      </c>
      <c r="D453" s="153" t="s">
        <v>40</v>
      </c>
      <c r="E453" s="156" t="s">
        <v>323</v>
      </c>
      <c r="F453" s="156" t="s">
        <v>349</v>
      </c>
      <c r="G453" s="155" t="str">
        <f>VLOOKUP(A453,Plano_V3!$A$27:$G$583,7,0)</f>
        <v>7. Por iniciar</v>
      </c>
      <c r="H453" s="155" t="s">
        <v>30</v>
      </c>
      <c r="I453" s="164"/>
      <c r="J453" s="175" t="str">
        <f>IF(VLOOKUP(A453,'Aux - pivots1'!$A:$E,3,0)=0, "",VLOOKUP(A453,'Aux - pivots1'!$A:$E,3,0))</f>
        <v/>
      </c>
      <c r="K453" s="175" t="str">
        <f>IF(VLOOKUP(A453,'Aux - pivots1'!$A:$E,4,0)=0, "",VLOOKUP(A453,'Aux - pivots1'!$A:$E,4,0))</f>
        <v/>
      </c>
      <c r="L453" s="175" t="str">
        <f>IF(VLOOKUP(A453,'Aux - pivots1'!$A:$E,5,0)=0, "",VLOOKUP(A453,'Aux - pivots1'!$A:$E,5,0))</f>
        <v/>
      </c>
      <c r="M453" s="202"/>
    </row>
    <row r="454" spans="1:13" ht="16.2">
      <c r="A454" s="31" t="str">
        <f t="shared" si="9"/>
        <v>lt003_entityisin</v>
      </c>
      <c r="B454" s="162" t="s">
        <v>28</v>
      </c>
      <c r="C454" s="157" t="s">
        <v>28</v>
      </c>
      <c r="D454" s="153" t="s">
        <v>40</v>
      </c>
      <c r="E454" s="156" t="s">
        <v>323</v>
      </c>
      <c r="F454" s="156" t="s">
        <v>230</v>
      </c>
      <c r="G454" s="155" t="str">
        <f>VLOOKUP(A454,Plano_V3!$A$27:$G$583,7,0)</f>
        <v>7. Por iniciar</v>
      </c>
      <c r="H454" s="155" t="s">
        <v>30</v>
      </c>
      <c r="I454" s="164"/>
      <c r="J454" s="175" t="str">
        <f>IF(VLOOKUP(A454,'Aux - pivots1'!$A:$E,3,0)=0, "",VLOOKUP(A454,'Aux - pivots1'!$A:$E,3,0))</f>
        <v/>
      </c>
      <c r="K454" s="175" t="str">
        <f>IF(VLOOKUP(A454,'Aux - pivots1'!$A:$E,4,0)=0, "",VLOOKUP(A454,'Aux - pivots1'!$A:$E,4,0))</f>
        <v/>
      </c>
      <c r="L454" s="175" t="str">
        <f>IF(VLOOKUP(A454,'Aux - pivots1'!$A:$E,5,0)=0, "",VLOOKUP(A454,'Aux - pivots1'!$A:$E,5,0))</f>
        <v/>
      </c>
      <c r="M454" s="202"/>
    </row>
    <row r="455" spans="1:13" ht="16.2">
      <c r="A455" s="31" t="str">
        <f t="shared" si="9"/>
        <v>lt003_entitygrp_annl_trnvr_le</v>
      </c>
      <c r="B455" s="162" t="s">
        <v>28</v>
      </c>
      <c r="C455" s="157" t="s">
        <v>28</v>
      </c>
      <c r="D455" s="153" t="s">
        <v>40</v>
      </c>
      <c r="E455" s="156" t="s">
        <v>323</v>
      </c>
      <c r="F455" s="156" t="s">
        <v>350</v>
      </c>
      <c r="G455" s="155" t="str">
        <f>VLOOKUP(A455,Plano_V3!$A$27:$G$583,7,0)</f>
        <v>7. Por iniciar</v>
      </c>
      <c r="H455" s="155" t="s">
        <v>30</v>
      </c>
      <c r="I455" s="164"/>
      <c r="J455" s="175" t="str">
        <f>IF(VLOOKUP(A455,'Aux - pivots1'!$A:$E,3,0)=0, "",VLOOKUP(A455,'Aux - pivots1'!$A:$E,3,0))</f>
        <v/>
      </c>
      <c r="K455" s="175" t="str">
        <f>IF(VLOOKUP(A455,'Aux - pivots1'!$A:$E,4,0)=0, "",VLOOKUP(A455,'Aux - pivots1'!$A:$E,4,0))</f>
        <v/>
      </c>
      <c r="L455" s="175" t="str">
        <f>IF(VLOOKUP(A455,'Aux - pivots1'!$A:$E,5,0)=0, "",VLOOKUP(A455,'Aux - pivots1'!$A:$E,5,0))</f>
        <v/>
      </c>
      <c r="M455" s="202"/>
    </row>
    <row r="456" spans="1:13" ht="16.2">
      <c r="A456" s="31" t="str">
        <f t="shared" si="9"/>
        <v>lt003_entitygrp_ttl_lblty</v>
      </c>
      <c r="B456" s="162" t="s">
        <v>28</v>
      </c>
      <c r="C456" s="157" t="s">
        <v>28</v>
      </c>
      <c r="D456" s="153" t="s">
        <v>40</v>
      </c>
      <c r="E456" s="156" t="s">
        <v>323</v>
      </c>
      <c r="F456" s="156" t="s">
        <v>351</v>
      </c>
      <c r="G456" s="155" t="str">
        <f>VLOOKUP(A456,Plano_V3!$A$27:$G$583,7,0)</f>
        <v>7. Por iniciar</v>
      </c>
      <c r="H456" s="155" t="s">
        <v>30</v>
      </c>
      <c r="I456" s="164"/>
      <c r="J456" s="175" t="str">
        <f>IF(VLOOKUP(A456,'Aux - pivots1'!$A:$E,3,0)=0, "",VLOOKUP(A456,'Aux - pivots1'!$A:$E,3,0))</f>
        <v/>
      </c>
      <c r="K456" s="175" t="str">
        <f>IF(VLOOKUP(A456,'Aux - pivots1'!$A:$E,4,0)=0, "",VLOOKUP(A456,'Aux - pivots1'!$A:$E,4,0))</f>
        <v/>
      </c>
      <c r="L456" s="175" t="str">
        <f>IF(VLOOKUP(A456,'Aux - pivots1'!$A:$E,5,0)=0, "",VLOOKUP(A456,'Aux - pivots1'!$A:$E,5,0))</f>
        <v/>
      </c>
      <c r="M456" s="202"/>
    </row>
    <row r="457" spans="1:13" ht="16.2">
      <c r="A457" s="31" t="str">
        <f t="shared" si="9"/>
        <v>lt003_entityflg_grp_nfrd_applcblty</v>
      </c>
      <c r="B457" s="162" t="s">
        <v>28</v>
      </c>
      <c r="C457" s="157" t="s">
        <v>28</v>
      </c>
      <c r="D457" s="153" t="s">
        <v>40</v>
      </c>
      <c r="E457" s="156" t="s">
        <v>323</v>
      </c>
      <c r="F457" s="156" t="s">
        <v>352</v>
      </c>
      <c r="G457" s="155" t="str">
        <f>VLOOKUP(A457,Plano_V3!$A$27:$G$583,7,0)</f>
        <v>7. Por iniciar</v>
      </c>
      <c r="H457" s="155" t="s">
        <v>30</v>
      </c>
      <c r="I457" s="164"/>
      <c r="J457" s="175" t="str">
        <f>IF(VLOOKUP(A457,'Aux - pivots1'!$A:$E,3,0)=0, "",VLOOKUP(A457,'Aux - pivots1'!$A:$E,3,0))</f>
        <v/>
      </c>
      <c r="K457" s="175" t="str">
        <f>IF(VLOOKUP(A457,'Aux - pivots1'!$A:$E,4,0)=0, "",VLOOKUP(A457,'Aux - pivots1'!$A:$E,4,0))</f>
        <v/>
      </c>
      <c r="L457" s="175" t="str">
        <f>IF(VLOOKUP(A457,'Aux - pivots1'!$A:$E,5,0)=0, "",VLOOKUP(A457,'Aux - pivots1'!$A:$E,5,0))</f>
        <v/>
      </c>
      <c r="M457" s="202"/>
    </row>
    <row r="458" spans="1:13" ht="16.2">
      <c r="A458" s="31" t="str">
        <f t="shared" si="9"/>
        <v>lt003_entitygrp_emssns_scp1</v>
      </c>
      <c r="B458" s="162" t="s">
        <v>28</v>
      </c>
      <c r="C458" s="157" t="s">
        <v>28</v>
      </c>
      <c r="D458" s="153" t="s">
        <v>40</v>
      </c>
      <c r="E458" s="156" t="s">
        <v>323</v>
      </c>
      <c r="F458" s="156" t="s">
        <v>353</v>
      </c>
      <c r="G458" s="155" t="str">
        <f>VLOOKUP(A458,Plano_V3!$A$27:$G$583,7,0)</f>
        <v>7. Por iniciar</v>
      </c>
      <c r="H458" s="155" t="s">
        <v>30</v>
      </c>
      <c r="I458" s="164"/>
      <c r="J458" s="175" t="str">
        <f>IF(VLOOKUP(A458,'Aux - pivots1'!$A:$E,3,0)=0, "",VLOOKUP(A458,'Aux - pivots1'!$A:$E,3,0))</f>
        <v/>
      </c>
      <c r="K458" s="175" t="str">
        <f>IF(VLOOKUP(A458,'Aux - pivots1'!$A:$E,4,0)=0, "",VLOOKUP(A458,'Aux - pivots1'!$A:$E,4,0))</f>
        <v/>
      </c>
      <c r="L458" s="175" t="str">
        <f>IF(VLOOKUP(A458,'Aux - pivots1'!$A:$E,5,0)=0, "",VLOOKUP(A458,'Aux - pivots1'!$A:$E,5,0))</f>
        <v/>
      </c>
      <c r="M458" s="202"/>
    </row>
    <row r="459" spans="1:13" ht="16.2">
      <c r="A459" s="31" t="str">
        <f t="shared" si="9"/>
        <v>lt003_entitygrp_emssns_scp2</v>
      </c>
      <c r="B459" s="162" t="s">
        <v>28</v>
      </c>
      <c r="C459" s="157" t="s">
        <v>28</v>
      </c>
      <c r="D459" s="153" t="s">
        <v>40</v>
      </c>
      <c r="E459" s="156" t="s">
        <v>323</v>
      </c>
      <c r="F459" s="156" t="s">
        <v>354</v>
      </c>
      <c r="G459" s="155" t="str">
        <f>VLOOKUP(A459,Plano_V3!$A$27:$G$583,7,0)</f>
        <v>7. Por iniciar</v>
      </c>
      <c r="H459" s="155" t="s">
        <v>30</v>
      </c>
      <c r="I459" s="164"/>
      <c r="J459" s="175" t="str">
        <f>IF(VLOOKUP(A459,'Aux - pivots1'!$A:$E,3,0)=0, "",VLOOKUP(A459,'Aux - pivots1'!$A:$E,3,0))</f>
        <v/>
      </c>
      <c r="K459" s="175" t="str">
        <f>IF(VLOOKUP(A459,'Aux - pivots1'!$A:$E,4,0)=0, "",VLOOKUP(A459,'Aux - pivots1'!$A:$E,4,0))</f>
        <v/>
      </c>
      <c r="L459" s="175" t="str">
        <f>IF(VLOOKUP(A459,'Aux - pivots1'!$A:$E,5,0)=0, "",VLOOKUP(A459,'Aux - pivots1'!$A:$E,5,0))</f>
        <v/>
      </c>
      <c r="M459" s="202"/>
    </row>
    <row r="460" spans="1:13" ht="16.2">
      <c r="A460" s="31" t="str">
        <f t="shared" si="9"/>
        <v>lt003_entitygrp_emssns_scp3</v>
      </c>
      <c r="B460" s="162" t="s">
        <v>28</v>
      </c>
      <c r="C460" s="157" t="s">
        <v>28</v>
      </c>
      <c r="D460" s="153" t="s">
        <v>40</v>
      </c>
      <c r="E460" s="156" t="s">
        <v>323</v>
      </c>
      <c r="F460" s="156" t="s">
        <v>355</v>
      </c>
      <c r="G460" s="155" t="str">
        <f>VLOOKUP(A460,Plano_V3!$A$27:$G$583,7,0)</f>
        <v>7. Por iniciar</v>
      </c>
      <c r="H460" s="155" t="s">
        <v>30</v>
      </c>
      <c r="I460" s="164"/>
      <c r="J460" s="175" t="str">
        <f>IF(VLOOKUP(A460,'Aux - pivots1'!$A:$E,3,0)=0, "",VLOOKUP(A460,'Aux - pivots1'!$A:$E,3,0))</f>
        <v/>
      </c>
      <c r="K460" s="175" t="str">
        <f>IF(VLOOKUP(A460,'Aux - pivots1'!$A:$E,4,0)=0, "",VLOOKUP(A460,'Aux - pivots1'!$A:$E,4,0))</f>
        <v/>
      </c>
      <c r="L460" s="175" t="str">
        <f>IF(VLOOKUP(A460,'Aux - pivots1'!$A:$E,5,0)=0, "",VLOOKUP(A460,'Aux - pivots1'!$A:$E,5,0))</f>
        <v/>
      </c>
      <c r="M460" s="202"/>
    </row>
    <row r="461" spans="1:13" ht="16.2">
      <c r="A461" s="31" t="str">
        <f t="shared" si="9"/>
        <v>lt004_protectiontyp_ep_scr</v>
      </c>
      <c r="B461" s="162" t="s">
        <v>28</v>
      </c>
      <c r="C461" s="157" t="s">
        <v>28</v>
      </c>
      <c r="D461" s="153" t="s">
        <v>40</v>
      </c>
      <c r="E461" s="156" t="s">
        <v>356</v>
      </c>
      <c r="F461" s="156" t="s">
        <v>357</v>
      </c>
      <c r="G461" s="155" t="str">
        <f>VLOOKUP(A461,Plano_V3!$A$27:$G$583,7,0)</f>
        <v>7. Por iniciar</v>
      </c>
      <c r="H461" s="155" t="s">
        <v>30</v>
      </c>
      <c r="I461" s="164"/>
      <c r="J461" s="175" t="str">
        <f>IF(VLOOKUP(A461,'Aux - pivots1'!$A:$E,3,0)=0, "",VLOOKUP(A461,'Aux - pivots1'!$A:$E,3,0))</f>
        <v/>
      </c>
      <c r="K461" s="175" t="str">
        <f>IF(VLOOKUP(A461,'Aux - pivots1'!$A:$E,4,0)=0, "",VLOOKUP(A461,'Aux - pivots1'!$A:$E,4,0))</f>
        <v/>
      </c>
      <c r="L461" s="175" t="str">
        <f>IF(VLOOKUP(A461,'Aux - pivots1'!$A:$E,5,0)=0, "",VLOOKUP(A461,'Aux - pivots1'!$A:$E,5,0))</f>
        <v/>
      </c>
      <c r="M461" s="202"/>
    </row>
    <row r="462" spans="1:13" ht="16.2">
      <c r="A462" s="31" t="str">
        <f t="shared" si="9"/>
        <v>lt004_protectionep_scr</v>
      </c>
      <c r="B462" s="162" t="s">
        <v>28</v>
      </c>
      <c r="C462" s="157" t="s">
        <v>28</v>
      </c>
      <c r="D462" s="153" t="s">
        <v>40</v>
      </c>
      <c r="E462" s="156" t="s">
        <v>356</v>
      </c>
      <c r="F462" s="156" t="s">
        <v>358</v>
      </c>
      <c r="G462" s="155" t="str">
        <f>VLOOKUP(A462,Plano_V3!$A$27:$G$583,7,0)</f>
        <v>7. Por iniciar</v>
      </c>
      <c r="H462" s="155" t="s">
        <v>30</v>
      </c>
      <c r="I462" s="164"/>
      <c r="J462" s="175" t="str">
        <f>IF(VLOOKUP(A462,'Aux - pivots1'!$A:$E,3,0)=0, "",VLOOKUP(A462,'Aux - pivots1'!$A:$E,3,0))</f>
        <v/>
      </c>
      <c r="K462" s="175" t="str">
        <f>IF(VLOOKUP(A462,'Aux - pivots1'!$A:$E,4,0)=0, "",VLOOKUP(A462,'Aux - pivots1'!$A:$E,4,0))</f>
        <v/>
      </c>
      <c r="L462" s="175" t="str">
        <f>IF(VLOOKUP(A462,'Aux - pivots1'!$A:$E,5,0)=0, "",VLOOKUP(A462,'Aux - pivots1'!$A:$E,5,0))</f>
        <v/>
      </c>
      <c r="M462" s="202"/>
    </row>
    <row r="463" spans="1:13" ht="16.2">
      <c r="A463" s="31" t="str">
        <f t="shared" si="9"/>
        <v>lt004_protectiontyp_epc_lbl</v>
      </c>
      <c r="B463" s="162" t="s">
        <v>28</v>
      </c>
      <c r="C463" s="157" t="s">
        <v>28</v>
      </c>
      <c r="D463" s="153" t="s">
        <v>40</v>
      </c>
      <c r="E463" s="156" t="s">
        <v>356</v>
      </c>
      <c r="F463" s="156" t="s">
        <v>359</v>
      </c>
      <c r="G463" s="155" t="str">
        <f>VLOOKUP(A463,Plano_V3!$A$27:$G$583,7,0)</f>
        <v>7. Por iniciar</v>
      </c>
      <c r="H463" s="155" t="s">
        <v>30</v>
      </c>
      <c r="I463" s="164"/>
      <c r="J463" s="175" t="str">
        <f>IF(VLOOKUP(A463,'Aux - pivots1'!$A:$E,3,0)=0, "",VLOOKUP(A463,'Aux - pivots1'!$A:$E,3,0))</f>
        <v/>
      </c>
      <c r="K463" s="175" t="str">
        <f>IF(VLOOKUP(A463,'Aux - pivots1'!$A:$E,4,0)=0, "",VLOOKUP(A463,'Aux - pivots1'!$A:$E,4,0))</f>
        <v/>
      </c>
      <c r="L463" s="175" t="str">
        <f>IF(VLOOKUP(A463,'Aux - pivots1'!$A:$E,5,0)=0, "",VLOOKUP(A463,'Aux - pivots1'!$A:$E,5,0))</f>
        <v/>
      </c>
      <c r="M463" s="202"/>
    </row>
    <row r="464" spans="1:13" ht="16.2">
      <c r="A464" s="31" t="str">
        <f t="shared" si="9"/>
        <v>lt004_protectionepc_lbl</v>
      </c>
      <c r="B464" s="162" t="s">
        <v>28</v>
      </c>
      <c r="C464" s="157" t="s">
        <v>28</v>
      </c>
      <c r="D464" s="153" t="s">
        <v>40</v>
      </c>
      <c r="E464" s="156" t="s">
        <v>356</v>
      </c>
      <c r="F464" s="156" t="s">
        <v>360</v>
      </c>
      <c r="G464" s="155" t="str">
        <f>VLOOKUP(A464,Plano_V3!$A$27:$G$583,7,0)</f>
        <v>7. Por iniciar</v>
      </c>
      <c r="H464" s="155" t="s">
        <v>30</v>
      </c>
      <c r="I464" s="164"/>
      <c r="J464" s="175" t="str">
        <f>IF(VLOOKUP(A464,'Aux - pivots1'!$A:$E,3,0)=0, "",VLOOKUP(A464,'Aux - pivots1'!$A:$E,3,0))</f>
        <v/>
      </c>
      <c r="K464" s="175" t="str">
        <f>IF(VLOOKUP(A464,'Aux - pivots1'!$A:$E,4,0)=0, "",VLOOKUP(A464,'Aux - pivots1'!$A:$E,4,0))</f>
        <v/>
      </c>
      <c r="L464" s="175" t="str">
        <f>IF(VLOOKUP(A464,'Aux - pivots1'!$A:$E,5,0)=0, "",VLOOKUP(A464,'Aux - pivots1'!$A:$E,5,0))</f>
        <v/>
      </c>
      <c r="M464" s="202"/>
    </row>
    <row r="465" spans="1:13" ht="16.2">
      <c r="A465" s="31" t="str">
        <f t="shared" si="9"/>
        <v>lt004_protectionemssns_scp1_prtctn</v>
      </c>
      <c r="B465" s="162" t="s">
        <v>28</v>
      </c>
      <c r="C465" s="157" t="s">
        <v>28</v>
      </c>
      <c r="D465" s="153" t="s">
        <v>40</v>
      </c>
      <c r="E465" s="156" t="s">
        <v>356</v>
      </c>
      <c r="F465" s="156" t="s">
        <v>361</v>
      </c>
      <c r="G465" s="155" t="str">
        <f>VLOOKUP(A465,Plano_V3!$A$27:$G$583,7,0)</f>
        <v>7. Por iniciar</v>
      </c>
      <c r="H465" s="155" t="s">
        <v>30</v>
      </c>
      <c r="I465" s="164"/>
      <c r="J465" s="175" t="str">
        <f>IF(VLOOKUP(A465,'Aux - pivots1'!$A:$E,3,0)=0, "",VLOOKUP(A465,'Aux - pivots1'!$A:$E,3,0))</f>
        <v/>
      </c>
      <c r="K465" s="175" t="str">
        <f>IF(VLOOKUP(A465,'Aux - pivots1'!$A:$E,4,0)=0, "",VLOOKUP(A465,'Aux - pivots1'!$A:$E,4,0))</f>
        <v/>
      </c>
      <c r="L465" s="175" t="str">
        <f>IF(VLOOKUP(A465,'Aux - pivots1'!$A:$E,5,0)=0, "",VLOOKUP(A465,'Aux - pivots1'!$A:$E,5,0))</f>
        <v/>
      </c>
      <c r="M465" s="202"/>
    </row>
    <row r="466" spans="1:13" ht="16.2">
      <c r="A466" s="31" t="str">
        <f t="shared" ref="A466:A529" si="10">E466&amp;F466</f>
        <v>lt004_protectionemssns_scp2_prtctn</v>
      </c>
      <c r="B466" s="162" t="s">
        <v>28</v>
      </c>
      <c r="C466" s="157" t="s">
        <v>28</v>
      </c>
      <c r="D466" s="153" t="s">
        <v>40</v>
      </c>
      <c r="E466" s="156" t="s">
        <v>356</v>
      </c>
      <c r="F466" s="156" t="s">
        <v>362</v>
      </c>
      <c r="G466" s="155" t="str">
        <f>VLOOKUP(A466,Plano_V3!$A$27:$G$583,7,0)</f>
        <v>7. Por iniciar</v>
      </c>
      <c r="H466" s="155" t="s">
        <v>30</v>
      </c>
      <c r="I466" s="164"/>
      <c r="J466" s="175" t="str">
        <f>IF(VLOOKUP(A466,'Aux - pivots1'!$A:$E,3,0)=0, "",VLOOKUP(A466,'Aux - pivots1'!$A:$E,3,0))</f>
        <v/>
      </c>
      <c r="K466" s="175" t="str">
        <f>IF(VLOOKUP(A466,'Aux - pivots1'!$A:$E,4,0)=0, "",VLOOKUP(A466,'Aux - pivots1'!$A:$E,4,0))</f>
        <v/>
      </c>
      <c r="L466" s="175" t="str">
        <f>IF(VLOOKUP(A466,'Aux - pivots1'!$A:$E,5,0)=0, "",VLOOKUP(A466,'Aux - pivots1'!$A:$E,5,0))</f>
        <v/>
      </c>
      <c r="M466" s="202"/>
    </row>
    <row r="467" spans="1:13" ht="16.2">
      <c r="A467" s="31" t="str">
        <f t="shared" si="10"/>
        <v>lt004_protectionemssns_scp3_prtctn</v>
      </c>
      <c r="B467" s="162" t="s">
        <v>28</v>
      </c>
      <c r="C467" s="157" t="s">
        <v>28</v>
      </c>
      <c r="D467" s="153" t="s">
        <v>40</v>
      </c>
      <c r="E467" s="156" t="s">
        <v>356</v>
      </c>
      <c r="F467" s="156" t="s">
        <v>363</v>
      </c>
      <c r="G467" s="155" t="str">
        <f>VLOOKUP(A467,Plano_V3!$A$27:$G$583,7,0)</f>
        <v>7. Por iniciar</v>
      </c>
      <c r="H467" s="155" t="s">
        <v>30</v>
      </c>
      <c r="I467" s="164"/>
      <c r="J467" s="175" t="str">
        <f>IF(VLOOKUP(A467,'Aux - pivots1'!$A:$E,3,0)=0, "",VLOOKUP(A467,'Aux - pivots1'!$A:$E,3,0))</f>
        <v/>
      </c>
      <c r="K467" s="175" t="str">
        <f>IF(VLOOKUP(A467,'Aux - pivots1'!$A:$E,4,0)=0, "",VLOOKUP(A467,'Aux - pivots1'!$A:$E,4,0))</f>
        <v/>
      </c>
      <c r="L467" s="175" t="str">
        <f>IF(VLOOKUP(A467,'Aux - pivots1'!$A:$E,5,0)=0, "",VLOOKUP(A467,'Aux - pivots1'!$A:$E,5,0))</f>
        <v/>
      </c>
      <c r="M467" s="202"/>
    </row>
    <row r="468" spans="1:13" ht="16.2">
      <c r="A468" s="31" t="str">
        <f t="shared" si="10"/>
        <v>lt004_protectionmthd_usd_prtctn_scp_1</v>
      </c>
      <c r="B468" s="162" t="s">
        <v>28</v>
      </c>
      <c r="C468" s="157" t="s">
        <v>28</v>
      </c>
      <c r="D468" s="153" t="s">
        <v>40</v>
      </c>
      <c r="E468" s="156" t="s">
        <v>356</v>
      </c>
      <c r="F468" s="156" t="s">
        <v>364</v>
      </c>
      <c r="G468" s="155" t="str">
        <f>VLOOKUP(A468,Plano_V3!$A$27:$G$583,7,0)</f>
        <v>7. Por iniciar</v>
      </c>
      <c r="H468" s="155" t="s">
        <v>30</v>
      </c>
      <c r="I468" s="164"/>
      <c r="J468" s="175" t="str">
        <f>IF(VLOOKUP(A468,'Aux - pivots1'!$A:$E,3,0)=0, "",VLOOKUP(A468,'Aux - pivots1'!$A:$E,3,0))</f>
        <v/>
      </c>
      <c r="K468" s="175" t="str">
        <f>IF(VLOOKUP(A468,'Aux - pivots1'!$A:$E,4,0)=0, "",VLOOKUP(A468,'Aux - pivots1'!$A:$E,4,0))</f>
        <v/>
      </c>
      <c r="L468" s="175" t="str">
        <f>IF(VLOOKUP(A468,'Aux - pivots1'!$A:$E,5,0)=0, "",VLOOKUP(A468,'Aux - pivots1'!$A:$E,5,0))</f>
        <v/>
      </c>
      <c r="M468" s="202"/>
    </row>
    <row r="469" spans="1:13" ht="16.2">
      <c r="A469" s="31" t="str">
        <f t="shared" si="10"/>
        <v>lt004_protectionmthd_usd_prtctn_scp_2</v>
      </c>
      <c r="B469" s="162" t="s">
        <v>28</v>
      </c>
      <c r="C469" s="157" t="s">
        <v>28</v>
      </c>
      <c r="D469" s="153" t="s">
        <v>40</v>
      </c>
      <c r="E469" s="156" t="s">
        <v>356</v>
      </c>
      <c r="F469" s="156" t="s">
        <v>365</v>
      </c>
      <c r="G469" s="155" t="str">
        <f>VLOOKUP(A469,Plano_V3!$A$27:$G$583,7,0)</f>
        <v>7. Por iniciar</v>
      </c>
      <c r="H469" s="155" t="s">
        <v>30</v>
      </c>
      <c r="I469" s="164"/>
      <c r="J469" s="175" t="str">
        <f>IF(VLOOKUP(A469,'Aux - pivots1'!$A:$E,3,0)=0, "",VLOOKUP(A469,'Aux - pivots1'!$A:$E,3,0))</f>
        <v/>
      </c>
      <c r="K469" s="175" t="str">
        <f>IF(VLOOKUP(A469,'Aux - pivots1'!$A:$E,4,0)=0, "",VLOOKUP(A469,'Aux - pivots1'!$A:$E,4,0))</f>
        <v/>
      </c>
      <c r="L469" s="175" t="str">
        <f>IF(VLOOKUP(A469,'Aux - pivots1'!$A:$E,5,0)=0, "",VLOOKUP(A469,'Aux - pivots1'!$A:$E,5,0))</f>
        <v/>
      </c>
      <c r="M469" s="202"/>
    </row>
    <row r="470" spans="1:13" ht="16.2">
      <c r="A470" s="31" t="str">
        <f t="shared" si="10"/>
        <v>lt004_protectionmthd_usd_prtctn_scp_3</v>
      </c>
      <c r="B470" s="162" t="s">
        <v>28</v>
      </c>
      <c r="C470" s="157" t="s">
        <v>28</v>
      </c>
      <c r="D470" s="153" t="s">
        <v>40</v>
      </c>
      <c r="E470" s="156" t="s">
        <v>356</v>
      </c>
      <c r="F470" s="156" t="s">
        <v>366</v>
      </c>
      <c r="G470" s="155" t="str">
        <f>VLOOKUP(A470,Plano_V3!$A$27:$G$583,7,0)</f>
        <v>7. Por iniciar</v>
      </c>
      <c r="H470" s="155" t="s">
        <v>30</v>
      </c>
      <c r="I470" s="164"/>
      <c r="J470" s="175" t="str">
        <f>IF(VLOOKUP(A470,'Aux - pivots1'!$A:$E,3,0)=0, "",VLOOKUP(A470,'Aux - pivots1'!$A:$E,3,0))</f>
        <v/>
      </c>
      <c r="K470" s="175" t="str">
        <f>IF(VLOOKUP(A470,'Aux - pivots1'!$A:$E,4,0)=0, "",VLOOKUP(A470,'Aux - pivots1'!$A:$E,4,0))</f>
        <v/>
      </c>
      <c r="L470" s="175" t="str">
        <f>IF(VLOOKUP(A470,'Aux - pivots1'!$A:$E,5,0)=0, "",VLOOKUP(A470,'Aux - pivots1'!$A:$E,5,0))</f>
        <v/>
      </c>
      <c r="M470" s="202"/>
    </row>
    <row r="471" spans="1:13" ht="16.2">
      <c r="A471" s="31" t="str">
        <f t="shared" si="10"/>
        <v>lt004_protectionflg_act_physcl_rsk</v>
      </c>
      <c r="B471" s="162" t="s">
        <v>28</v>
      </c>
      <c r="C471" s="157" t="s">
        <v>28</v>
      </c>
      <c r="D471" s="153" t="s">
        <v>40</v>
      </c>
      <c r="E471" s="156" t="s">
        <v>356</v>
      </c>
      <c r="F471" s="156" t="s">
        <v>345</v>
      </c>
      <c r="G471" s="155" t="str">
        <f>VLOOKUP(A471,Plano_V3!$A$27:$G$583,7,0)</f>
        <v>4. Validação EF</v>
      </c>
      <c r="H471" s="155" t="s">
        <v>479</v>
      </c>
      <c r="I471" s="164"/>
      <c r="J471" s="175" t="str">
        <f>IF(VLOOKUP(A471,'Aux - pivots1'!$A:$E,3,0)=0, "",VLOOKUP(A471,'Aux - pivots1'!$A:$E,3,0))</f>
        <v/>
      </c>
      <c r="K471" s="175" t="str">
        <f>IF(VLOOKUP(A471,'Aux - pivots1'!$A:$E,4,0)=0, "",VLOOKUP(A471,'Aux - pivots1'!$A:$E,4,0))</f>
        <v/>
      </c>
      <c r="L471" s="175" t="str">
        <f>IF(VLOOKUP(A471,'Aux - pivots1'!$A:$E,5,0)=0, "",VLOOKUP(A471,'Aux - pivots1'!$A:$E,5,0))</f>
        <v/>
      </c>
      <c r="M471" s="202"/>
    </row>
    <row r="472" spans="1:13" ht="16.2">
      <c r="A472" s="31" t="str">
        <f t="shared" si="10"/>
        <v>lt004_protectionflg_chrnc_physcl_rsk</v>
      </c>
      <c r="B472" s="162" t="s">
        <v>28</v>
      </c>
      <c r="C472" s="157" t="s">
        <v>28</v>
      </c>
      <c r="D472" s="153" t="s">
        <v>40</v>
      </c>
      <c r="E472" s="156" t="s">
        <v>356</v>
      </c>
      <c r="F472" s="156" t="s">
        <v>346</v>
      </c>
      <c r="G472" s="155" t="str">
        <f>VLOOKUP(A472,Plano_V3!$A$27:$G$583,7,0)</f>
        <v>4. Validação EF</v>
      </c>
      <c r="H472" s="155" t="s">
        <v>479</v>
      </c>
      <c r="I472" s="164"/>
      <c r="J472" s="175" t="str">
        <f>IF(VLOOKUP(A472,'Aux - pivots1'!$A:$E,3,0)=0, "",VLOOKUP(A472,'Aux - pivots1'!$A:$E,3,0))</f>
        <v/>
      </c>
      <c r="K472" s="175" t="str">
        <f>IF(VLOOKUP(A472,'Aux - pivots1'!$A:$E,4,0)=0, "",VLOOKUP(A472,'Aux - pivots1'!$A:$E,4,0))</f>
        <v/>
      </c>
      <c r="L472" s="175" t="str">
        <f>IF(VLOOKUP(A472,'Aux - pivots1'!$A:$E,5,0)=0, "",VLOOKUP(A472,'Aux - pivots1'!$A:$E,5,0))</f>
        <v/>
      </c>
      <c r="M472" s="202"/>
    </row>
    <row r="473" spans="1:13" ht="16.2">
      <c r="A473" s="31" t="str">
        <f t="shared" si="10"/>
        <v>lt002_instrumentrsk_mtgtd_cct</v>
      </c>
      <c r="B473" s="162" t="s">
        <v>28</v>
      </c>
      <c r="C473" s="157" t="s">
        <v>28</v>
      </c>
      <c r="D473" s="153" t="s">
        <v>40</v>
      </c>
      <c r="E473" s="156" t="s">
        <v>367</v>
      </c>
      <c r="F473" s="156" t="s">
        <v>368</v>
      </c>
      <c r="G473" s="155" t="str">
        <f>VLOOKUP(A473,Plano_V3!$A$27:$G$583,7,0)</f>
        <v>7. Por iniciar</v>
      </c>
      <c r="H473" s="155" t="s">
        <v>30</v>
      </c>
      <c r="I473" s="164"/>
      <c r="J473" s="175" t="str">
        <f>IF(VLOOKUP(A473,'Aux - pivots1'!$A:$E,3,0)=0, "",VLOOKUP(A473,'Aux - pivots1'!$A:$E,3,0))</f>
        <v/>
      </c>
      <c r="K473" s="175" t="str">
        <f>IF(VLOOKUP(A473,'Aux - pivots1'!$A:$E,4,0)=0, "",VLOOKUP(A473,'Aux - pivots1'!$A:$E,4,0))</f>
        <v/>
      </c>
      <c r="L473" s="175" t="str">
        <f>IF(VLOOKUP(A473,'Aux - pivots1'!$A:$E,5,0)=0, "",VLOOKUP(A473,'Aux - pivots1'!$A:$E,5,0))</f>
        <v/>
      </c>
      <c r="M473" s="202"/>
    </row>
    <row r="474" spans="1:13" ht="16.2">
      <c r="A474" s="31" t="str">
        <f t="shared" si="10"/>
        <v>lt002_instrumentrsk_mtgtd_ccp</v>
      </c>
      <c r="B474" s="162" t="s">
        <v>28</v>
      </c>
      <c r="C474" s="157" t="s">
        <v>28</v>
      </c>
      <c r="D474" s="153" t="s">
        <v>40</v>
      </c>
      <c r="E474" s="156" t="s">
        <v>367</v>
      </c>
      <c r="F474" s="156" t="s">
        <v>369</v>
      </c>
      <c r="G474" s="155" t="str">
        <f>VLOOKUP(A474,Plano_V3!$A$27:$G$583,7,0)</f>
        <v>7. Por iniciar</v>
      </c>
      <c r="H474" s="155" t="s">
        <v>30</v>
      </c>
      <c r="I474" s="164"/>
      <c r="J474" s="175" t="str">
        <f>IF(VLOOKUP(A474,'Aux - pivots1'!$A:$E,3,0)=0, "",VLOOKUP(A474,'Aux - pivots1'!$A:$E,3,0))</f>
        <v/>
      </c>
      <c r="K474" s="175" t="str">
        <f>IF(VLOOKUP(A474,'Aux - pivots1'!$A:$E,4,0)=0, "",VLOOKUP(A474,'Aux - pivots1'!$A:$E,4,0))</f>
        <v/>
      </c>
      <c r="L474" s="175" t="str">
        <f>IF(VLOOKUP(A474,'Aux - pivots1'!$A:$E,5,0)=0, "",VLOOKUP(A474,'Aux - pivots1'!$A:$E,5,0))</f>
        <v/>
      </c>
      <c r="M474" s="202"/>
    </row>
    <row r="475" spans="1:13" ht="16.2">
      <c r="A475" s="31" t="str">
        <f t="shared" si="10"/>
        <v>lt002_instrumentenvrnmntl_objctv</v>
      </c>
      <c r="B475" s="162" t="s">
        <v>28</v>
      </c>
      <c r="C475" s="157" t="s">
        <v>28</v>
      </c>
      <c r="D475" s="153" t="s">
        <v>40</v>
      </c>
      <c r="E475" s="156" t="s">
        <v>367</v>
      </c>
      <c r="F475" s="156" t="s">
        <v>370</v>
      </c>
      <c r="G475" s="155" t="str">
        <f>VLOOKUP(A475,Plano_V3!$A$27:$G$583,7,0)</f>
        <v>7. Por iniciar</v>
      </c>
      <c r="H475" s="155" t="s">
        <v>30</v>
      </c>
      <c r="I475" s="164"/>
      <c r="J475" s="175" t="str">
        <f>IF(VLOOKUP(A475,'Aux - pivots1'!$A:$E,3,0)=0, "",VLOOKUP(A475,'Aux - pivots1'!$A:$E,3,0))</f>
        <v/>
      </c>
      <c r="K475" s="175" t="str">
        <f>IF(VLOOKUP(A475,'Aux - pivots1'!$A:$E,4,0)=0, "",VLOOKUP(A475,'Aux - pivots1'!$A:$E,4,0))</f>
        <v/>
      </c>
      <c r="L475" s="175" t="str">
        <f>IF(VLOOKUP(A475,'Aux - pivots1'!$A:$E,5,0)=0, "",VLOOKUP(A475,'Aux - pivots1'!$A:$E,5,0))</f>
        <v/>
      </c>
      <c r="M475" s="202"/>
    </row>
    <row r="476" spans="1:13" ht="16.2">
      <c r="A476" s="31" t="str">
        <f t="shared" si="10"/>
        <v>lt002_instrumenttyp_actvty</v>
      </c>
      <c r="B476" s="162" t="s">
        <v>28</v>
      </c>
      <c r="C476" s="157" t="s">
        <v>28</v>
      </c>
      <c r="D476" s="153" t="s">
        <v>40</v>
      </c>
      <c r="E476" s="156" t="s">
        <v>367</v>
      </c>
      <c r="F476" s="156" t="s">
        <v>371</v>
      </c>
      <c r="G476" s="155" t="str">
        <f>VLOOKUP(A476,Plano_V3!$A$27:$G$583,7,0)</f>
        <v>7. Por iniciar</v>
      </c>
      <c r="H476" s="155" t="s">
        <v>30</v>
      </c>
      <c r="I476" s="164"/>
      <c r="J476" s="175" t="str">
        <f>IF(VLOOKUP(A476,'Aux - pivots1'!$A:$E,3,0)=0, "",VLOOKUP(A476,'Aux - pivots1'!$A:$E,3,0))</f>
        <v/>
      </c>
      <c r="K476" s="175" t="str">
        <f>IF(VLOOKUP(A476,'Aux - pivots1'!$A:$E,4,0)=0, "",VLOOKUP(A476,'Aux - pivots1'!$A:$E,4,0))</f>
        <v/>
      </c>
      <c r="L476" s="175" t="str">
        <f>IF(VLOOKUP(A476,'Aux - pivots1'!$A:$E,5,0)=0, "",VLOOKUP(A476,'Aux - pivots1'!$A:$E,5,0))</f>
        <v/>
      </c>
      <c r="M476" s="202"/>
    </row>
    <row r="477" spans="1:13" ht="16.2">
      <c r="A477" s="31" t="str">
        <f t="shared" si="10"/>
        <v>lt002_instrumentlns_clltrlzd_clssfctn</v>
      </c>
      <c r="B477" s="162" t="s">
        <v>28</v>
      </c>
      <c r="C477" s="157" t="s">
        <v>28</v>
      </c>
      <c r="D477" s="153" t="s">
        <v>40</v>
      </c>
      <c r="E477" s="156" t="s">
        <v>367</v>
      </c>
      <c r="F477" s="156" t="s">
        <v>372</v>
      </c>
      <c r="G477" s="155" t="str">
        <f>VLOOKUP(A477,Plano_V3!$A$27:$G$583,7,0)</f>
        <v>7. Por iniciar</v>
      </c>
      <c r="H477" s="155" t="s">
        <v>30</v>
      </c>
      <c r="I477" s="164"/>
      <c r="J477" s="175" t="str">
        <f>IF(VLOOKUP(A477,'Aux - pivots1'!$A:$E,3,0)=0, "",VLOOKUP(A477,'Aux - pivots1'!$A:$E,3,0))</f>
        <v/>
      </c>
      <c r="K477" s="175" t="str">
        <f>IF(VLOOKUP(A477,'Aux - pivots1'!$A:$E,4,0)=0, "",VLOOKUP(A477,'Aux - pivots1'!$A:$E,4,0))</f>
        <v/>
      </c>
      <c r="L477" s="175" t="str">
        <f>IF(VLOOKUP(A477,'Aux - pivots1'!$A:$E,5,0)=0, "",VLOOKUP(A477,'Aux - pivots1'!$A:$E,5,0))</f>
        <v/>
      </c>
      <c r="M477" s="202"/>
    </row>
    <row r="478" spans="1:13" ht="16.2">
      <c r="A478" s="31" t="str">
        <f t="shared" si="10"/>
        <v>lt002_instrumentmthd_usd_instrmnt_scp_1</v>
      </c>
      <c r="B478" s="162" t="s">
        <v>28</v>
      </c>
      <c r="C478" s="157" t="s">
        <v>28</v>
      </c>
      <c r="D478" s="153" t="s">
        <v>40</v>
      </c>
      <c r="E478" s="156" t="s">
        <v>367</v>
      </c>
      <c r="F478" s="156" t="s">
        <v>373</v>
      </c>
      <c r="G478" s="155" t="str">
        <f>VLOOKUP(A478,Plano_V3!$A$27:$G$583,7,0)</f>
        <v>7. Por iniciar</v>
      </c>
      <c r="H478" s="155" t="s">
        <v>30</v>
      </c>
      <c r="I478" s="164"/>
      <c r="J478" s="175" t="str">
        <f>IF(VLOOKUP(A478,'Aux - pivots1'!$A:$E,3,0)=0, "",VLOOKUP(A478,'Aux - pivots1'!$A:$E,3,0))</f>
        <v/>
      </c>
      <c r="K478" s="175" t="str">
        <f>IF(VLOOKUP(A478,'Aux - pivots1'!$A:$E,4,0)=0, "",VLOOKUP(A478,'Aux - pivots1'!$A:$E,4,0))</f>
        <v/>
      </c>
      <c r="L478" s="175" t="str">
        <f>IF(VLOOKUP(A478,'Aux - pivots1'!$A:$E,5,0)=0, "",VLOOKUP(A478,'Aux - pivots1'!$A:$E,5,0))</f>
        <v/>
      </c>
      <c r="M478" s="202"/>
    </row>
    <row r="479" spans="1:13" ht="16.2">
      <c r="A479" s="31" t="str">
        <f t="shared" si="10"/>
        <v>lt002_instrumentmthd_usd_instrmnt_scp_2</v>
      </c>
      <c r="B479" s="162" t="s">
        <v>28</v>
      </c>
      <c r="C479" s="157" t="s">
        <v>28</v>
      </c>
      <c r="D479" s="153" t="s">
        <v>40</v>
      </c>
      <c r="E479" s="156" t="s">
        <v>367</v>
      </c>
      <c r="F479" s="156" t="s">
        <v>374</v>
      </c>
      <c r="G479" s="155" t="str">
        <f>VLOOKUP(A479,Plano_V3!$A$27:$G$583,7,0)</f>
        <v>7. Por iniciar</v>
      </c>
      <c r="H479" s="155" t="s">
        <v>30</v>
      </c>
      <c r="I479" s="164"/>
      <c r="J479" s="175" t="str">
        <f>IF(VLOOKUP(A479,'Aux - pivots1'!$A:$E,3,0)=0, "",VLOOKUP(A479,'Aux - pivots1'!$A:$E,3,0))</f>
        <v/>
      </c>
      <c r="K479" s="175" t="str">
        <f>IF(VLOOKUP(A479,'Aux - pivots1'!$A:$E,4,0)=0, "",VLOOKUP(A479,'Aux - pivots1'!$A:$E,4,0))</f>
        <v/>
      </c>
      <c r="L479" s="175" t="str">
        <f>IF(VLOOKUP(A479,'Aux - pivots1'!$A:$E,5,0)=0, "",VLOOKUP(A479,'Aux - pivots1'!$A:$E,5,0))</f>
        <v/>
      </c>
      <c r="M479" s="202"/>
    </row>
    <row r="480" spans="1:13" ht="16.2">
      <c r="A480" s="31" t="str">
        <f t="shared" si="10"/>
        <v>lt002_instrumentmthd_usd_instrmnt_scp_3</v>
      </c>
      <c r="B480" s="162" t="s">
        <v>28</v>
      </c>
      <c r="C480" s="157" t="s">
        <v>28</v>
      </c>
      <c r="D480" s="153" t="s">
        <v>40</v>
      </c>
      <c r="E480" s="156" t="s">
        <v>367</v>
      </c>
      <c r="F480" s="156" t="s">
        <v>375</v>
      </c>
      <c r="G480" s="155" t="str">
        <f>VLOOKUP(A480,Plano_V3!$A$27:$G$583,7,0)</f>
        <v>7. Por iniciar</v>
      </c>
      <c r="H480" s="155" t="s">
        <v>30</v>
      </c>
      <c r="I480" s="164"/>
      <c r="J480" s="175" t="str">
        <f>IF(VLOOKUP(A480,'Aux - pivots1'!$A:$E,3,0)=0, "",VLOOKUP(A480,'Aux - pivots1'!$A:$E,3,0))</f>
        <v/>
      </c>
      <c r="K480" s="175" t="str">
        <f>IF(VLOOKUP(A480,'Aux - pivots1'!$A:$E,4,0)=0, "",VLOOKUP(A480,'Aux - pivots1'!$A:$E,4,0))</f>
        <v/>
      </c>
      <c r="L480" s="175" t="str">
        <f>IF(VLOOKUP(A480,'Aux - pivots1'!$A:$E,5,0)=0, "",VLOOKUP(A480,'Aux - pivots1'!$A:$E,5,0))</f>
        <v/>
      </c>
      <c r="M480" s="202"/>
    </row>
    <row r="481" spans="1:13" ht="16.2">
      <c r="A481" s="31" t="str">
        <f t="shared" si="10"/>
        <v>lt002_instrumentsstnbl_ctgry_txnmy</v>
      </c>
      <c r="B481" s="162" t="s">
        <v>28</v>
      </c>
      <c r="C481" s="157" t="s">
        <v>28</v>
      </c>
      <c r="D481" s="153" t="s">
        <v>40</v>
      </c>
      <c r="E481" s="156" t="s">
        <v>367</v>
      </c>
      <c r="F481" s="156" t="s">
        <v>376</v>
      </c>
      <c r="G481" s="155" t="str">
        <f>VLOOKUP(A481,Plano_V3!$A$27:$G$583,7,0)</f>
        <v>7. Por iniciar</v>
      </c>
      <c r="H481" s="155" t="s">
        <v>30</v>
      </c>
      <c r="I481" s="164"/>
      <c r="J481" s="175" t="str">
        <f>IF(VLOOKUP(A481,'Aux - pivots1'!$A:$E,3,0)=0, "",VLOOKUP(A481,'Aux - pivots1'!$A:$E,3,0))</f>
        <v/>
      </c>
      <c r="K481" s="175" t="str">
        <f>IF(VLOOKUP(A481,'Aux - pivots1'!$A:$E,4,0)=0, "",VLOOKUP(A481,'Aux - pivots1'!$A:$E,4,0))</f>
        <v/>
      </c>
      <c r="L481" s="175" t="str">
        <f>IF(VLOOKUP(A481,'Aux - pivots1'!$A:$E,5,0)=0, "",VLOOKUP(A481,'Aux - pivots1'!$A:$E,5,0))</f>
        <v/>
      </c>
      <c r="M481" s="202"/>
    </row>
    <row r="482" spans="1:13" ht="16.2">
      <c r="A482" s="31" t="str">
        <f t="shared" si="10"/>
        <v>lt825_mthd_usd_instrmntambito</v>
      </c>
      <c r="B482" s="162" t="s">
        <v>28</v>
      </c>
      <c r="C482" s="157" t="s">
        <v>28</v>
      </c>
      <c r="D482" s="153" t="s">
        <v>40</v>
      </c>
      <c r="E482" s="156" t="s">
        <v>377</v>
      </c>
      <c r="F482" s="156" t="s">
        <v>378</v>
      </c>
      <c r="G482" s="155" t="str">
        <f>VLOOKUP(A482,Plano_V3!$A$27:$G$583,7,0)</f>
        <v>7. Por iniciar</v>
      </c>
      <c r="H482" s="155" t="s">
        <v>30</v>
      </c>
      <c r="I482" s="164"/>
      <c r="J482" s="175" t="str">
        <f>IF(VLOOKUP(A482,'Aux - pivots1'!$A:$E,3,0)=0, "",VLOOKUP(A482,'Aux - pivots1'!$A:$E,3,0))</f>
        <v/>
      </c>
      <c r="K482" s="175" t="str">
        <f>IF(VLOOKUP(A482,'Aux - pivots1'!$A:$E,4,0)=0, "",VLOOKUP(A482,'Aux - pivots1'!$A:$E,4,0))</f>
        <v/>
      </c>
      <c r="L482" s="175" t="str">
        <f>IF(VLOOKUP(A482,'Aux - pivots1'!$A:$E,5,0)=0, "",VLOOKUP(A482,'Aux - pivots1'!$A:$E,5,0))</f>
        <v/>
      </c>
      <c r="M482" s="202"/>
    </row>
    <row r="483" spans="1:13" ht="16.2">
      <c r="A483" s="31" t="str">
        <f t="shared" si="10"/>
        <v>lt825_mthd_usd_instrmntref_date</v>
      </c>
      <c r="B483" s="162" t="s">
        <v>28</v>
      </c>
      <c r="C483" s="157" t="s">
        <v>28</v>
      </c>
      <c r="D483" s="153" t="s">
        <v>40</v>
      </c>
      <c r="E483" s="156" t="s">
        <v>377</v>
      </c>
      <c r="F483" s="156" t="s">
        <v>73</v>
      </c>
      <c r="G483" s="155" t="str">
        <f>VLOOKUP(A483,Plano_V3!$A$27:$G$583,7,0)</f>
        <v>7. Por iniciar</v>
      </c>
      <c r="H483" s="155" t="s">
        <v>30</v>
      </c>
      <c r="I483" s="164"/>
      <c r="J483" s="175" t="str">
        <f>IF(VLOOKUP(A483,'Aux - pivots1'!$A:$E,3,0)=0, "",VLOOKUP(A483,'Aux - pivots1'!$A:$E,3,0))</f>
        <v/>
      </c>
      <c r="K483" s="175" t="str">
        <f>IF(VLOOKUP(A483,'Aux - pivots1'!$A:$E,4,0)=0, "",VLOOKUP(A483,'Aux - pivots1'!$A:$E,4,0))</f>
        <v/>
      </c>
      <c r="L483" s="175" t="str">
        <f>IF(VLOOKUP(A483,'Aux - pivots1'!$A:$E,5,0)=0, "",VLOOKUP(A483,'Aux - pivots1'!$A:$E,5,0))</f>
        <v/>
      </c>
      <c r="M483" s="202"/>
    </row>
    <row r="484" spans="1:13" ht="16.2">
      <c r="A484" s="31" t="str">
        <f t="shared" si="10"/>
        <v>lt825_mthd_usd_instrmntordem</v>
      </c>
      <c r="B484" s="162" t="s">
        <v>28</v>
      </c>
      <c r="C484" s="157" t="s">
        <v>28</v>
      </c>
      <c r="D484" s="153" t="s">
        <v>40</v>
      </c>
      <c r="E484" s="156" t="s">
        <v>377</v>
      </c>
      <c r="F484" s="156" t="s">
        <v>322</v>
      </c>
      <c r="G484" s="155" t="str">
        <f>VLOOKUP(A484,Plano_V3!$A$27:$G$583,7,0)</f>
        <v>7. Por iniciar</v>
      </c>
      <c r="H484" s="155" t="s">
        <v>30</v>
      </c>
      <c r="I484" s="164"/>
      <c r="J484" s="175" t="str">
        <f>IF(VLOOKUP(A484,'Aux - pivots1'!$A:$E,3,0)=0, "",VLOOKUP(A484,'Aux - pivots1'!$A:$E,3,0))</f>
        <v/>
      </c>
      <c r="K484" s="175" t="str">
        <f>IF(VLOOKUP(A484,'Aux - pivots1'!$A:$E,4,0)=0, "",VLOOKUP(A484,'Aux - pivots1'!$A:$E,4,0))</f>
        <v/>
      </c>
      <c r="L484" s="175" t="str">
        <f>IF(VLOOKUP(A484,'Aux - pivots1'!$A:$E,5,0)=0, "",VLOOKUP(A484,'Aux - pivots1'!$A:$E,5,0))</f>
        <v/>
      </c>
      <c r="M484" s="202"/>
    </row>
    <row r="485" spans="1:13" ht="16.2">
      <c r="A485" s="31" t="str">
        <f t="shared" si="10"/>
        <v>lt825_mthd_usd_instrmnttabela</v>
      </c>
      <c r="B485" s="162" t="s">
        <v>28</v>
      </c>
      <c r="C485" s="157" t="s">
        <v>28</v>
      </c>
      <c r="D485" s="153" t="s">
        <v>40</v>
      </c>
      <c r="E485" s="156" t="s">
        <v>377</v>
      </c>
      <c r="F485" s="156" t="s">
        <v>379</v>
      </c>
      <c r="G485" s="155" t="str">
        <f>VLOOKUP(A485,Plano_V3!$A$27:$G$583,7,0)</f>
        <v>7. Por iniciar</v>
      </c>
      <c r="H485" s="155" t="s">
        <v>30</v>
      </c>
      <c r="I485" s="164"/>
      <c r="J485" s="175" t="str">
        <f>IF(VLOOKUP(A485,'Aux - pivots1'!$A:$E,3,0)=0, "",VLOOKUP(A485,'Aux - pivots1'!$A:$E,3,0))</f>
        <v/>
      </c>
      <c r="K485" s="175" t="str">
        <f>IF(VLOOKUP(A485,'Aux - pivots1'!$A:$E,4,0)=0, "",VLOOKUP(A485,'Aux - pivots1'!$A:$E,4,0))</f>
        <v/>
      </c>
      <c r="L485" s="175" t="str">
        <f>IF(VLOOKUP(A485,'Aux - pivots1'!$A:$E,5,0)=0, "",VLOOKUP(A485,'Aux - pivots1'!$A:$E,5,0))</f>
        <v/>
      </c>
      <c r="M485" s="202"/>
    </row>
    <row r="486" spans="1:13" ht="16.2">
      <c r="A486" s="31" t="str">
        <f t="shared" si="10"/>
        <v>lt825_mthd_usd_instrmntorigem_scp1_emss</v>
      </c>
      <c r="B486" s="162" t="s">
        <v>28</v>
      </c>
      <c r="C486" s="157" t="s">
        <v>28</v>
      </c>
      <c r="D486" s="153" t="s">
        <v>40</v>
      </c>
      <c r="E486" s="156" t="s">
        <v>377</v>
      </c>
      <c r="F486" s="156" t="s">
        <v>306</v>
      </c>
      <c r="G486" s="155" t="str">
        <f>VLOOKUP(A486,Plano_V3!$A$27:$G$583,7,0)</f>
        <v>7. Por iniciar</v>
      </c>
      <c r="H486" s="155" t="s">
        <v>30</v>
      </c>
      <c r="I486" s="164"/>
      <c r="J486" s="175" t="str">
        <f>IF(VLOOKUP(A486,'Aux - pivots1'!$A:$E,3,0)=0, "",VLOOKUP(A486,'Aux - pivots1'!$A:$E,3,0))</f>
        <v/>
      </c>
      <c r="K486" s="175" t="str">
        <f>IF(VLOOKUP(A486,'Aux - pivots1'!$A:$E,4,0)=0, "",VLOOKUP(A486,'Aux - pivots1'!$A:$E,4,0))</f>
        <v/>
      </c>
      <c r="L486" s="175" t="str">
        <f>IF(VLOOKUP(A486,'Aux - pivots1'!$A:$E,5,0)=0, "",VLOOKUP(A486,'Aux - pivots1'!$A:$E,5,0))</f>
        <v/>
      </c>
      <c r="M486" s="202"/>
    </row>
    <row r="487" spans="1:13" ht="16.2">
      <c r="A487" s="31" t="str">
        <f t="shared" si="10"/>
        <v>lt825_mthd_usd_instrmntorigem_scp2_emss</v>
      </c>
      <c r="B487" s="162" t="s">
        <v>28</v>
      </c>
      <c r="C487" s="157" t="s">
        <v>28</v>
      </c>
      <c r="D487" s="153" t="s">
        <v>40</v>
      </c>
      <c r="E487" s="156" t="s">
        <v>377</v>
      </c>
      <c r="F487" s="156" t="s">
        <v>307</v>
      </c>
      <c r="G487" s="155" t="str">
        <f>VLOOKUP(A487,Plano_V3!$A$27:$G$583,7,0)</f>
        <v>7. Por iniciar</v>
      </c>
      <c r="H487" s="155" t="s">
        <v>30</v>
      </c>
      <c r="I487" s="164"/>
      <c r="J487" s="175" t="str">
        <f>IF(VLOOKUP(A487,'Aux - pivots1'!$A:$E,3,0)=0, "",VLOOKUP(A487,'Aux - pivots1'!$A:$E,3,0))</f>
        <v/>
      </c>
      <c r="K487" s="175" t="str">
        <f>IF(VLOOKUP(A487,'Aux - pivots1'!$A:$E,4,0)=0, "",VLOOKUP(A487,'Aux - pivots1'!$A:$E,4,0))</f>
        <v/>
      </c>
      <c r="L487" s="175" t="str">
        <f>IF(VLOOKUP(A487,'Aux - pivots1'!$A:$E,5,0)=0, "",VLOOKUP(A487,'Aux - pivots1'!$A:$E,5,0))</f>
        <v/>
      </c>
      <c r="M487" s="202"/>
    </row>
    <row r="488" spans="1:13" ht="16.2">
      <c r="A488" s="31" t="str">
        <f t="shared" si="10"/>
        <v>lt825_mthd_usd_instrmntorigem_scp3_emss</v>
      </c>
      <c r="B488" s="162" t="s">
        <v>28</v>
      </c>
      <c r="C488" s="157" t="s">
        <v>28</v>
      </c>
      <c r="D488" s="153" t="s">
        <v>40</v>
      </c>
      <c r="E488" s="156" t="s">
        <v>377</v>
      </c>
      <c r="F488" s="156" t="s">
        <v>308</v>
      </c>
      <c r="G488" s="155" t="str">
        <f>VLOOKUP(A488,Plano_V3!$A$27:$G$583,7,0)</f>
        <v>7. Por iniciar</v>
      </c>
      <c r="H488" s="155" t="s">
        <v>30</v>
      </c>
      <c r="I488" s="164"/>
      <c r="J488" s="175" t="str">
        <f>IF(VLOOKUP(A488,'Aux - pivots1'!$A:$E,3,0)=0, "",VLOOKUP(A488,'Aux - pivots1'!$A:$E,3,0))</f>
        <v/>
      </c>
      <c r="K488" s="175" t="str">
        <f>IF(VLOOKUP(A488,'Aux - pivots1'!$A:$E,4,0)=0, "",VLOOKUP(A488,'Aux - pivots1'!$A:$E,4,0))</f>
        <v/>
      </c>
      <c r="L488" s="175" t="str">
        <f>IF(VLOOKUP(A488,'Aux - pivots1'!$A:$E,5,0)=0, "",VLOOKUP(A488,'Aux - pivots1'!$A:$E,5,0))</f>
        <v/>
      </c>
      <c r="M488" s="202"/>
    </row>
    <row r="489" spans="1:13" ht="16.2">
      <c r="A489" s="31" t="str">
        <f t="shared" si="10"/>
        <v>lt825_mthd_usd_instrmntmthd_usd_instrmnt_scp_1</v>
      </c>
      <c r="B489" s="162" t="s">
        <v>28</v>
      </c>
      <c r="C489" s="157" t="s">
        <v>28</v>
      </c>
      <c r="D489" s="153" t="s">
        <v>40</v>
      </c>
      <c r="E489" s="156" t="s">
        <v>377</v>
      </c>
      <c r="F489" s="156" t="s">
        <v>373</v>
      </c>
      <c r="G489" s="155" t="str">
        <f>VLOOKUP(A489,Plano_V3!$A$27:$G$583,7,0)</f>
        <v>7. Por iniciar</v>
      </c>
      <c r="H489" s="155" t="s">
        <v>30</v>
      </c>
      <c r="I489" s="164"/>
      <c r="J489" s="175" t="str">
        <f>IF(VLOOKUP(A489,'Aux - pivots1'!$A:$E,3,0)=0, "",VLOOKUP(A489,'Aux - pivots1'!$A:$E,3,0))</f>
        <v/>
      </c>
      <c r="K489" s="175" t="str">
        <f>IF(VLOOKUP(A489,'Aux - pivots1'!$A:$E,4,0)=0, "",VLOOKUP(A489,'Aux - pivots1'!$A:$E,4,0))</f>
        <v/>
      </c>
      <c r="L489" s="175" t="str">
        <f>IF(VLOOKUP(A489,'Aux - pivots1'!$A:$E,5,0)=0, "",VLOOKUP(A489,'Aux - pivots1'!$A:$E,5,0))</f>
        <v/>
      </c>
      <c r="M489" s="202"/>
    </row>
    <row r="490" spans="1:13" ht="16.2">
      <c r="A490" s="31" t="str">
        <f t="shared" si="10"/>
        <v>lt825_mthd_usd_instrmntmthd_usd_instrmnt_scp_2</v>
      </c>
      <c r="B490" s="162" t="s">
        <v>28</v>
      </c>
      <c r="C490" s="157" t="s">
        <v>28</v>
      </c>
      <c r="D490" s="153" t="s">
        <v>40</v>
      </c>
      <c r="E490" s="156" t="s">
        <v>377</v>
      </c>
      <c r="F490" s="156" t="s">
        <v>374</v>
      </c>
      <c r="G490" s="155" t="str">
        <f>VLOOKUP(A490,Plano_V3!$A$27:$G$583,7,0)</f>
        <v>7. Por iniciar</v>
      </c>
      <c r="H490" s="155" t="s">
        <v>30</v>
      </c>
      <c r="I490" s="164"/>
      <c r="J490" s="175" t="str">
        <f>IF(VLOOKUP(A490,'Aux - pivots1'!$A:$E,3,0)=0, "",VLOOKUP(A490,'Aux - pivots1'!$A:$E,3,0))</f>
        <v/>
      </c>
      <c r="K490" s="175" t="str">
        <f>IF(VLOOKUP(A490,'Aux - pivots1'!$A:$E,4,0)=0, "",VLOOKUP(A490,'Aux - pivots1'!$A:$E,4,0))</f>
        <v/>
      </c>
      <c r="L490" s="175" t="str">
        <f>IF(VLOOKUP(A490,'Aux - pivots1'!$A:$E,5,0)=0, "",VLOOKUP(A490,'Aux - pivots1'!$A:$E,5,0))</f>
        <v/>
      </c>
      <c r="M490" s="202"/>
    </row>
    <row r="491" spans="1:13" ht="16.2">
      <c r="A491" s="31" t="str">
        <f t="shared" si="10"/>
        <v>lt825_mthd_usd_instrmntmthd_usd_instrmnt_scp_3</v>
      </c>
      <c r="B491" s="162" t="s">
        <v>28</v>
      </c>
      <c r="C491" s="157" t="s">
        <v>28</v>
      </c>
      <c r="D491" s="153" t="s">
        <v>40</v>
      </c>
      <c r="E491" s="156" t="s">
        <v>377</v>
      </c>
      <c r="F491" s="156" t="s">
        <v>375</v>
      </c>
      <c r="G491" s="155" t="str">
        <f>VLOOKUP(A491,Plano_V3!$A$27:$G$583,7,0)</f>
        <v>7. Por iniciar</v>
      </c>
      <c r="H491" s="155" t="s">
        <v>30</v>
      </c>
      <c r="I491" s="164"/>
      <c r="J491" s="175" t="str">
        <f>IF(VLOOKUP(A491,'Aux - pivots1'!$A:$E,3,0)=0, "",VLOOKUP(A491,'Aux - pivots1'!$A:$E,3,0))</f>
        <v/>
      </c>
      <c r="K491" s="175" t="str">
        <f>IF(VLOOKUP(A491,'Aux - pivots1'!$A:$E,4,0)=0, "",VLOOKUP(A491,'Aux - pivots1'!$A:$E,4,0))</f>
        <v/>
      </c>
      <c r="L491" s="175" t="str">
        <f>IF(VLOOKUP(A491,'Aux - pivots1'!$A:$E,5,0)=0, "",VLOOKUP(A491,'Aux - pivots1'!$A:$E,5,0))</f>
        <v/>
      </c>
      <c r="M491" s="202"/>
    </row>
    <row r="492" spans="1:13" ht="16.2">
      <c r="A492" s="31" t="str">
        <f t="shared" si="10"/>
        <v>lt826_esg_sbsctrambito</v>
      </c>
      <c r="B492" s="162" t="s">
        <v>28</v>
      </c>
      <c r="C492" s="157" t="s">
        <v>28</v>
      </c>
      <c r="D492" s="153" t="s">
        <v>40</v>
      </c>
      <c r="E492" s="156" t="s">
        <v>380</v>
      </c>
      <c r="F492" s="156" t="s">
        <v>378</v>
      </c>
      <c r="G492" s="155" t="str">
        <f>VLOOKUP(A492,Plano_V3!$A$27:$G$583,7,0)</f>
        <v>7. Por iniciar</v>
      </c>
      <c r="H492" s="155" t="s">
        <v>30</v>
      </c>
      <c r="I492" s="164"/>
      <c r="J492" s="175" t="str">
        <f>IF(VLOOKUP(A492,'Aux - pivots1'!$A:$E,3,0)=0, "",VLOOKUP(A492,'Aux - pivots1'!$A:$E,3,0))</f>
        <v/>
      </c>
      <c r="K492" s="175" t="str">
        <f>IF(VLOOKUP(A492,'Aux - pivots1'!$A:$E,4,0)=0, "",VLOOKUP(A492,'Aux - pivots1'!$A:$E,4,0))</f>
        <v/>
      </c>
      <c r="L492" s="175" t="str">
        <f>IF(VLOOKUP(A492,'Aux - pivots1'!$A:$E,5,0)=0, "",VLOOKUP(A492,'Aux - pivots1'!$A:$E,5,0))</f>
        <v/>
      </c>
      <c r="M492" s="202"/>
    </row>
    <row r="493" spans="1:13" ht="16.2">
      <c r="A493" s="31" t="str">
        <f t="shared" si="10"/>
        <v>lt826_esg_sbsctrref_date</v>
      </c>
      <c r="B493" s="162" t="s">
        <v>28</v>
      </c>
      <c r="C493" s="157" t="s">
        <v>28</v>
      </c>
      <c r="D493" s="153" t="s">
        <v>40</v>
      </c>
      <c r="E493" s="156" t="s">
        <v>380</v>
      </c>
      <c r="F493" s="156" t="s">
        <v>73</v>
      </c>
      <c r="G493" s="155" t="str">
        <f>VLOOKUP(A493,Plano_V3!$A$27:$G$583,7,0)</f>
        <v>7. Por iniciar</v>
      </c>
      <c r="H493" s="155" t="s">
        <v>30</v>
      </c>
      <c r="I493" s="164"/>
      <c r="J493" s="175" t="str">
        <f>IF(VLOOKUP(A493,'Aux - pivots1'!$A:$E,3,0)=0, "",VLOOKUP(A493,'Aux - pivots1'!$A:$E,3,0))</f>
        <v/>
      </c>
      <c r="K493" s="175" t="str">
        <f>IF(VLOOKUP(A493,'Aux - pivots1'!$A:$E,4,0)=0, "",VLOOKUP(A493,'Aux - pivots1'!$A:$E,4,0))</f>
        <v/>
      </c>
      <c r="L493" s="175" t="str">
        <f>IF(VLOOKUP(A493,'Aux - pivots1'!$A:$E,5,0)=0, "",VLOOKUP(A493,'Aux - pivots1'!$A:$E,5,0))</f>
        <v/>
      </c>
      <c r="M493" s="202"/>
    </row>
    <row r="494" spans="1:13" ht="16.2">
      <c r="A494" s="31" t="str">
        <f t="shared" si="10"/>
        <v>lt826_esg_sbsctrordem</v>
      </c>
      <c r="B494" s="162" t="s">
        <v>28</v>
      </c>
      <c r="C494" s="157" t="s">
        <v>28</v>
      </c>
      <c r="D494" s="153" t="s">
        <v>40</v>
      </c>
      <c r="E494" s="156" t="s">
        <v>380</v>
      </c>
      <c r="F494" s="156" t="s">
        <v>322</v>
      </c>
      <c r="G494" s="155" t="str">
        <f>VLOOKUP(A494,Plano_V3!$A$27:$G$583,7,0)</f>
        <v>7. Por iniciar</v>
      </c>
      <c r="H494" s="155" t="s">
        <v>30</v>
      </c>
      <c r="I494" s="164"/>
      <c r="J494" s="175" t="str">
        <f>IF(VLOOKUP(A494,'Aux - pivots1'!$A:$E,3,0)=0, "",VLOOKUP(A494,'Aux - pivots1'!$A:$E,3,0))</f>
        <v/>
      </c>
      <c r="K494" s="175" t="str">
        <f>IF(VLOOKUP(A494,'Aux - pivots1'!$A:$E,4,0)=0, "",VLOOKUP(A494,'Aux - pivots1'!$A:$E,4,0))</f>
        <v/>
      </c>
      <c r="L494" s="175" t="str">
        <f>IF(VLOOKUP(A494,'Aux - pivots1'!$A:$E,5,0)=0, "",VLOOKUP(A494,'Aux - pivots1'!$A:$E,5,0))</f>
        <v/>
      </c>
      <c r="M494" s="202"/>
    </row>
    <row r="495" spans="1:13" ht="16.2">
      <c r="A495" s="31" t="str">
        <f t="shared" si="10"/>
        <v>lt826_esg_sbsctrnace_code</v>
      </c>
      <c r="B495" s="162" t="s">
        <v>28</v>
      </c>
      <c r="C495" s="157" t="s">
        <v>28</v>
      </c>
      <c r="D495" s="153" t="s">
        <v>40</v>
      </c>
      <c r="E495" s="156" t="s">
        <v>380</v>
      </c>
      <c r="F495" s="156" t="s">
        <v>381</v>
      </c>
      <c r="G495" s="155" t="str">
        <f>VLOOKUP(A495,Plano_V3!$A$27:$G$583,7,0)</f>
        <v>7. Por iniciar</v>
      </c>
      <c r="H495" s="155" t="s">
        <v>30</v>
      </c>
      <c r="I495" s="164"/>
      <c r="J495" s="175" t="str">
        <f>IF(VLOOKUP(A495,'Aux - pivots1'!$A:$E,3,0)=0, "",VLOOKUP(A495,'Aux - pivots1'!$A:$E,3,0))</f>
        <v/>
      </c>
      <c r="K495" s="175" t="str">
        <f>IF(VLOOKUP(A495,'Aux - pivots1'!$A:$E,4,0)=0, "",VLOOKUP(A495,'Aux - pivots1'!$A:$E,4,0))</f>
        <v/>
      </c>
      <c r="L495" s="175" t="str">
        <f>IF(VLOOKUP(A495,'Aux - pivots1'!$A:$E,5,0)=0, "",VLOOKUP(A495,'Aux - pivots1'!$A:$E,5,0))</f>
        <v/>
      </c>
      <c r="M495" s="202"/>
    </row>
    <row r="496" spans="1:13" ht="16.2">
      <c r="A496" s="31" t="str">
        <f t="shared" si="10"/>
        <v>lt826_esg_sbsctrcontraparte</v>
      </c>
      <c r="B496" s="162" t="s">
        <v>28</v>
      </c>
      <c r="C496" s="157" t="s">
        <v>28</v>
      </c>
      <c r="D496" s="153" t="s">
        <v>40</v>
      </c>
      <c r="E496" s="156" t="s">
        <v>380</v>
      </c>
      <c r="F496" s="156" t="s">
        <v>382</v>
      </c>
      <c r="G496" s="155" t="str">
        <f>VLOOKUP(A496,Plano_V3!$A$27:$G$583,7,0)</f>
        <v>7. Por iniciar</v>
      </c>
      <c r="H496" s="155" t="s">
        <v>30</v>
      </c>
      <c r="I496" s="164"/>
      <c r="J496" s="175" t="str">
        <f>IF(VLOOKUP(A496,'Aux - pivots1'!$A:$E,3,0)=0, "",VLOOKUP(A496,'Aux - pivots1'!$A:$E,3,0))</f>
        <v/>
      </c>
      <c r="K496" s="175" t="str">
        <f>IF(VLOOKUP(A496,'Aux - pivots1'!$A:$E,4,0)=0, "",VLOOKUP(A496,'Aux - pivots1'!$A:$E,4,0))</f>
        <v/>
      </c>
      <c r="L496" s="175" t="str">
        <f>IF(VLOOKUP(A496,'Aux - pivots1'!$A:$E,5,0)=0, "",VLOOKUP(A496,'Aux - pivots1'!$A:$E,5,0))</f>
        <v/>
      </c>
      <c r="M496" s="202"/>
    </row>
    <row r="497" spans="1:13" ht="16.2">
      <c r="A497" s="31" t="str">
        <f t="shared" si="10"/>
        <v>lt826_esg_sbsctrcnatureza_juri</v>
      </c>
      <c r="B497" s="162" t="s">
        <v>28</v>
      </c>
      <c r="C497" s="157" t="s">
        <v>28</v>
      </c>
      <c r="D497" s="153" t="s">
        <v>40</v>
      </c>
      <c r="E497" s="156" t="s">
        <v>380</v>
      </c>
      <c r="F497" s="156" t="s">
        <v>383</v>
      </c>
      <c r="G497" s="155" t="str">
        <f>VLOOKUP(A497,Plano_V3!$A$27:$G$583,7,0)</f>
        <v>7. Por iniciar</v>
      </c>
      <c r="H497" s="155" t="s">
        <v>30</v>
      </c>
      <c r="I497" s="164"/>
      <c r="J497" s="175" t="str">
        <f>IF(VLOOKUP(A497,'Aux - pivots1'!$A:$E,3,0)=0, "",VLOOKUP(A497,'Aux - pivots1'!$A:$E,3,0))</f>
        <v/>
      </c>
      <c r="K497" s="175" t="str">
        <f>IF(VLOOKUP(A497,'Aux - pivots1'!$A:$E,4,0)=0, "",VLOOKUP(A497,'Aux - pivots1'!$A:$E,4,0))</f>
        <v/>
      </c>
      <c r="L497" s="175" t="str">
        <f>IF(VLOOKUP(A497,'Aux - pivots1'!$A:$E,5,0)=0, "",VLOOKUP(A497,'Aux - pivots1'!$A:$E,5,0))</f>
        <v/>
      </c>
      <c r="M497" s="202"/>
    </row>
    <row r="498" spans="1:13" ht="16.2">
      <c r="A498" s="31" t="str">
        <f t="shared" si="10"/>
        <v>lt826_esg_sbsctridcomb</v>
      </c>
      <c r="B498" s="162" t="s">
        <v>28</v>
      </c>
      <c r="C498" s="157" t="s">
        <v>28</v>
      </c>
      <c r="D498" s="153" t="s">
        <v>40</v>
      </c>
      <c r="E498" s="156" t="s">
        <v>380</v>
      </c>
      <c r="F498" s="156" t="s">
        <v>384</v>
      </c>
      <c r="G498" s="155" t="str">
        <f>VLOOKUP(A498,Plano_V3!$A$27:$G$583,7,0)</f>
        <v>7. Por iniciar</v>
      </c>
      <c r="H498" s="155" t="s">
        <v>30</v>
      </c>
      <c r="I498" s="164"/>
      <c r="J498" s="175" t="str">
        <f>IF(VLOOKUP(A498,'Aux - pivots1'!$A:$E,3,0)=0, "",VLOOKUP(A498,'Aux - pivots1'!$A:$E,3,0))</f>
        <v/>
      </c>
      <c r="K498" s="175" t="str">
        <f>IF(VLOOKUP(A498,'Aux - pivots1'!$A:$E,4,0)=0, "",VLOOKUP(A498,'Aux - pivots1'!$A:$E,4,0))</f>
        <v/>
      </c>
      <c r="L498" s="175" t="str">
        <f>IF(VLOOKUP(A498,'Aux - pivots1'!$A:$E,5,0)=0, "",VLOOKUP(A498,'Aux - pivots1'!$A:$E,5,0))</f>
        <v/>
      </c>
      <c r="M498" s="202"/>
    </row>
    <row r="499" spans="1:13" ht="16.2">
      <c r="A499" s="31" t="str">
        <f t="shared" si="10"/>
        <v>lt826_esg_sbsctresg_sbsctr</v>
      </c>
      <c r="B499" s="162" t="s">
        <v>28</v>
      </c>
      <c r="C499" s="157" t="s">
        <v>28</v>
      </c>
      <c r="D499" s="153" t="s">
        <v>40</v>
      </c>
      <c r="E499" s="156" t="s">
        <v>380</v>
      </c>
      <c r="F499" s="156" t="s">
        <v>348</v>
      </c>
      <c r="G499" s="155" t="str">
        <f>VLOOKUP(A499,Plano_V3!$A$27:$G$583,7,0)</f>
        <v>7. Por iniciar</v>
      </c>
      <c r="H499" s="155" t="s">
        <v>30</v>
      </c>
      <c r="I499" s="164"/>
      <c r="J499" s="175" t="str">
        <f>IF(VLOOKUP(A499,'Aux - pivots1'!$A:$E,3,0)=0, "",VLOOKUP(A499,'Aux - pivots1'!$A:$E,3,0))</f>
        <v/>
      </c>
      <c r="K499" s="175" t="str">
        <f>IF(VLOOKUP(A499,'Aux - pivots1'!$A:$E,4,0)=0, "",VLOOKUP(A499,'Aux - pivots1'!$A:$E,4,0))</f>
        <v/>
      </c>
      <c r="L499" s="175" t="str">
        <f>IF(VLOOKUP(A499,'Aux - pivots1'!$A:$E,5,0)=0, "",VLOOKUP(A499,'Aux - pivots1'!$A:$E,5,0))</f>
        <v/>
      </c>
      <c r="M499" s="202"/>
    </row>
    <row r="500" spans="1:13" ht="16.2">
      <c r="A500" s="31" t="str">
        <f t="shared" si="10"/>
        <v>lt826_esg_sbsctrdescrição</v>
      </c>
      <c r="B500" s="162" t="s">
        <v>28</v>
      </c>
      <c r="C500" s="157" t="s">
        <v>28</v>
      </c>
      <c r="D500" s="153" t="s">
        <v>40</v>
      </c>
      <c r="E500" s="156" t="s">
        <v>380</v>
      </c>
      <c r="F500" s="156" t="s">
        <v>385</v>
      </c>
      <c r="G500" s="155" t="str">
        <f>VLOOKUP(A500,Plano_V3!$A$27:$G$583,7,0)</f>
        <v>7. Por iniciar</v>
      </c>
      <c r="H500" s="155" t="s">
        <v>30</v>
      </c>
      <c r="I500" s="164"/>
      <c r="J500" s="175" t="str">
        <f>IF(VLOOKUP(A500,'Aux - pivots1'!$A:$E,3,0)=0, "",VLOOKUP(A500,'Aux - pivots1'!$A:$E,3,0))</f>
        <v/>
      </c>
      <c r="K500" s="175" t="str">
        <f>IF(VLOOKUP(A500,'Aux - pivots1'!$A:$E,4,0)=0, "",VLOOKUP(A500,'Aux - pivots1'!$A:$E,4,0))</f>
        <v/>
      </c>
      <c r="L500" s="175" t="str">
        <f>IF(VLOOKUP(A500,'Aux - pivots1'!$A:$E,5,0)=0, "",VLOOKUP(A500,'Aux - pivots1'!$A:$E,5,0))</f>
        <v/>
      </c>
      <c r="M500" s="202"/>
    </row>
    <row r="501" spans="1:13" ht="16.2">
      <c r="A501" s="31" t="str">
        <f t="shared" si="10"/>
        <v>lt002_instrumentdt_rfrnc</v>
      </c>
      <c r="B501" s="162" t="s">
        <v>28</v>
      </c>
      <c r="C501" s="157" t="s">
        <v>28</v>
      </c>
      <c r="D501" s="153" t="s">
        <v>40</v>
      </c>
      <c r="E501" s="156" t="s">
        <v>367</v>
      </c>
      <c r="F501" s="156" t="s">
        <v>386</v>
      </c>
      <c r="G501" s="155" t="str">
        <f>VLOOKUP(A501,Plano_V3!$A$27:$G$583,7,0)</f>
        <v>1. Concluído</v>
      </c>
      <c r="H501" s="155" t="s">
        <v>477</v>
      </c>
      <c r="I501" s="164" t="s">
        <v>504</v>
      </c>
      <c r="J501" s="175" t="str">
        <f>IF(VLOOKUP(A501,'Aux - pivots1'!$A:$E,3,0)=0, "",VLOOKUP(A501,'Aux - pivots1'!$A:$E,3,0))</f>
        <v/>
      </c>
      <c r="K501" s="175" t="str">
        <f>IF(VLOOKUP(A501,'Aux - pivots1'!$A:$E,4,0)=0, "",VLOOKUP(A501,'Aux - pivots1'!$A:$E,4,0))</f>
        <v/>
      </c>
      <c r="L501" s="175" t="str">
        <f>IF(VLOOKUP(A501,'Aux - pivots1'!$A:$E,5,0)=0, "",VLOOKUP(A501,'Aux - pivots1'!$A:$E,5,0))</f>
        <v/>
      </c>
      <c r="M501" s="202"/>
    </row>
    <row r="502" spans="1:13" ht="16.2">
      <c r="A502" s="31" t="str">
        <f t="shared" si="10"/>
        <v>lt002_instrumentinstrmnt_id</v>
      </c>
      <c r="B502" s="162" t="s">
        <v>28</v>
      </c>
      <c r="C502" s="157" t="s">
        <v>28</v>
      </c>
      <c r="D502" s="153" t="s">
        <v>40</v>
      </c>
      <c r="E502" s="156" t="s">
        <v>367</v>
      </c>
      <c r="F502" s="156" t="s">
        <v>388</v>
      </c>
      <c r="G502" s="155" t="str">
        <f>VLOOKUP(A502,Plano_V3!$A$27:$G$583,7,0)</f>
        <v>1. Concluído</v>
      </c>
      <c r="H502" s="155" t="s">
        <v>477</v>
      </c>
      <c r="I502" s="164" t="s">
        <v>504</v>
      </c>
      <c r="J502" s="175" t="str">
        <f>IF(VLOOKUP(A502,'Aux - pivots1'!$A:$E,3,0)=0, "",VLOOKUP(A502,'Aux - pivots1'!$A:$E,3,0))</f>
        <v/>
      </c>
      <c r="K502" s="175" t="str">
        <f>IF(VLOOKUP(A502,'Aux - pivots1'!$A:$E,4,0)=0, "",VLOOKUP(A502,'Aux - pivots1'!$A:$E,4,0))</f>
        <v/>
      </c>
      <c r="L502" s="175" t="str">
        <f>IF(VLOOKUP(A502,'Aux - pivots1'!$A:$E,5,0)=0, "",VLOOKUP(A502,'Aux - pivots1'!$A:$E,5,0))</f>
        <v/>
      </c>
      <c r="M502" s="202"/>
    </row>
    <row r="503" spans="1:13" ht="16.2">
      <c r="A503" s="31" t="str">
        <f t="shared" si="10"/>
        <v>lt002_instrumentdt_incptn</v>
      </c>
      <c r="B503" s="162" t="s">
        <v>28</v>
      </c>
      <c r="C503" s="157" t="s">
        <v>28</v>
      </c>
      <c r="D503" s="153" t="s">
        <v>40</v>
      </c>
      <c r="E503" s="156" t="s">
        <v>367</v>
      </c>
      <c r="F503" s="156" t="s">
        <v>389</v>
      </c>
      <c r="G503" s="155" t="str">
        <f>VLOOKUP(A503,Plano_V3!$A$27:$G$583,7,0)</f>
        <v>1. Concluído</v>
      </c>
      <c r="H503" s="155" t="s">
        <v>477</v>
      </c>
      <c r="I503" s="164" t="s">
        <v>504</v>
      </c>
      <c r="J503" s="175" t="str">
        <f>IF(VLOOKUP(A503,'Aux - pivots1'!$A:$E,3,0)=0, "",VLOOKUP(A503,'Aux - pivots1'!$A:$E,3,0))</f>
        <v/>
      </c>
      <c r="K503" s="175" t="str">
        <f>IF(VLOOKUP(A503,'Aux - pivots1'!$A:$E,4,0)=0, "",VLOOKUP(A503,'Aux - pivots1'!$A:$E,4,0))</f>
        <v/>
      </c>
      <c r="L503" s="175" t="str">
        <f>IF(VLOOKUP(A503,'Aux - pivots1'!$A:$E,5,0)=0, "",VLOOKUP(A503,'Aux - pivots1'!$A:$E,5,0))</f>
        <v/>
      </c>
      <c r="M503" s="202"/>
    </row>
    <row r="504" spans="1:13" ht="16.2">
      <c r="A504" s="31" t="str">
        <f t="shared" si="10"/>
        <v>lt002_instrumentdflt_stts_instrmnt</v>
      </c>
      <c r="B504" s="162" t="s">
        <v>28</v>
      </c>
      <c r="C504" s="157" t="s">
        <v>28</v>
      </c>
      <c r="D504" s="153" t="s">
        <v>40</v>
      </c>
      <c r="E504" s="156" t="s">
        <v>367</v>
      </c>
      <c r="F504" s="156" t="s">
        <v>390</v>
      </c>
      <c r="G504" s="155" t="str">
        <f>VLOOKUP(A504,Plano_V3!$A$27:$G$583,7,0)</f>
        <v>1. Concluído</v>
      </c>
      <c r="H504" s="155" t="s">
        <v>477</v>
      </c>
      <c r="I504" s="164" t="s">
        <v>504</v>
      </c>
      <c r="J504" s="175" t="str">
        <f>IF(VLOOKUP(A504,'Aux - pivots1'!$A:$E,3,0)=0, "",VLOOKUP(A504,'Aux - pivots1'!$A:$E,3,0))</f>
        <v/>
      </c>
      <c r="K504" s="175" t="str">
        <f>IF(VLOOKUP(A504,'Aux - pivots1'!$A:$E,4,0)=0, "",VLOOKUP(A504,'Aux - pivots1'!$A:$E,4,0))</f>
        <v/>
      </c>
      <c r="L504" s="175" t="str">
        <f>IF(VLOOKUP(A504,'Aux - pivots1'!$A:$E,5,0)=0, "",VLOOKUP(A504,'Aux - pivots1'!$A:$E,5,0))</f>
        <v/>
      </c>
      <c r="M504" s="202"/>
    </row>
    <row r="505" spans="1:13" ht="16.2">
      <c r="A505" s="31" t="str">
        <f t="shared" si="10"/>
        <v>lt002_instrumentimprmnt_stts</v>
      </c>
      <c r="B505" s="162" t="s">
        <v>28</v>
      </c>
      <c r="C505" s="157" t="s">
        <v>28</v>
      </c>
      <c r="D505" s="153" t="s">
        <v>40</v>
      </c>
      <c r="E505" s="156" t="s">
        <v>367</v>
      </c>
      <c r="F505" s="156" t="s">
        <v>391</v>
      </c>
      <c r="G505" s="155" t="str">
        <f>VLOOKUP(A505,Plano_V3!$A$27:$G$583,7,0)</f>
        <v>1. Concluído</v>
      </c>
      <c r="H505" s="155" t="s">
        <v>477</v>
      </c>
      <c r="I505" s="164" t="s">
        <v>504</v>
      </c>
      <c r="J505" s="175" t="str">
        <f>IF(VLOOKUP(A505,'Aux - pivots1'!$A:$E,3,0)=0, "",VLOOKUP(A505,'Aux - pivots1'!$A:$E,3,0))</f>
        <v/>
      </c>
      <c r="K505" s="175" t="str">
        <f>IF(VLOOKUP(A505,'Aux - pivots1'!$A:$E,4,0)=0, "",VLOOKUP(A505,'Aux - pivots1'!$A:$E,4,0))</f>
        <v/>
      </c>
      <c r="L505" s="175" t="str">
        <f>IF(VLOOKUP(A505,'Aux - pivots1'!$A:$E,5,0)=0, "",VLOOKUP(A505,'Aux - pivots1'!$A:$E,5,0))</f>
        <v/>
      </c>
      <c r="M505" s="202"/>
    </row>
    <row r="506" spans="1:13" ht="16.2">
      <c r="A506" s="31" t="str">
        <f t="shared" si="10"/>
        <v>lt002_instrumentprfrmng_stts</v>
      </c>
      <c r="B506" s="162" t="s">
        <v>28</v>
      </c>
      <c r="C506" s="157" t="s">
        <v>28</v>
      </c>
      <c r="D506" s="153" t="s">
        <v>40</v>
      </c>
      <c r="E506" s="156" t="s">
        <v>367</v>
      </c>
      <c r="F506" s="156" t="s">
        <v>392</v>
      </c>
      <c r="G506" s="155" t="str">
        <f>VLOOKUP(A506,Plano_V3!$A$27:$G$583,7,0)</f>
        <v>1. Concluído</v>
      </c>
      <c r="H506" s="155" t="s">
        <v>477</v>
      </c>
      <c r="I506" s="164" t="s">
        <v>504</v>
      </c>
      <c r="J506" s="175" t="str">
        <f>IF(VLOOKUP(A506,'Aux - pivots1'!$A:$E,3,0)=0, "",VLOOKUP(A506,'Aux - pivots1'!$A:$E,3,0))</f>
        <v/>
      </c>
      <c r="K506" s="175" t="str">
        <f>IF(VLOOKUP(A506,'Aux - pivots1'!$A:$E,4,0)=0, "",VLOOKUP(A506,'Aux - pivots1'!$A:$E,4,0))</f>
        <v/>
      </c>
      <c r="L506" s="175" t="str">
        <f>IF(VLOOKUP(A506,'Aux - pivots1'!$A:$E,5,0)=0, "",VLOOKUP(A506,'Aux - pivots1'!$A:$E,5,0))</f>
        <v/>
      </c>
      <c r="M506" s="202"/>
    </row>
    <row r="507" spans="1:13" ht="16.2">
      <c r="A507" s="31" t="str">
        <f t="shared" si="10"/>
        <v>lt002_instrumentprjct_fnnc_ln</v>
      </c>
      <c r="B507" s="162" t="s">
        <v>28</v>
      </c>
      <c r="C507" s="157" t="s">
        <v>28</v>
      </c>
      <c r="D507" s="153" t="s">
        <v>40</v>
      </c>
      <c r="E507" s="156" t="s">
        <v>367</v>
      </c>
      <c r="F507" s="156" t="s">
        <v>393</v>
      </c>
      <c r="G507" s="155" t="str">
        <f>VLOOKUP(A507,Plano_V3!$A$27:$G$583,7,0)</f>
        <v>1. Concluído</v>
      </c>
      <c r="H507" s="155" t="s">
        <v>477</v>
      </c>
      <c r="I507" s="164" t="s">
        <v>504</v>
      </c>
      <c r="J507" s="175" t="str">
        <f>IF(VLOOKUP(A507,'Aux - pivots1'!$A:$E,3,0)=0, "",VLOOKUP(A507,'Aux - pivots1'!$A:$E,3,0))</f>
        <v/>
      </c>
      <c r="K507" s="175" t="str">
        <f>IF(VLOOKUP(A507,'Aux - pivots1'!$A:$E,4,0)=0, "",VLOOKUP(A507,'Aux - pivots1'!$A:$E,4,0))</f>
        <v/>
      </c>
      <c r="L507" s="175" t="str">
        <f>IF(VLOOKUP(A507,'Aux - pivots1'!$A:$E,5,0)=0, "",VLOOKUP(A507,'Aux - pivots1'!$A:$E,5,0))</f>
        <v/>
      </c>
      <c r="M507" s="202"/>
    </row>
    <row r="508" spans="1:13" ht="16.2">
      <c r="A508" s="31" t="str">
        <f t="shared" si="10"/>
        <v>lt002_instrumenttyp_instrmnt</v>
      </c>
      <c r="B508" s="162" t="s">
        <v>28</v>
      </c>
      <c r="C508" s="157" t="s">
        <v>28</v>
      </c>
      <c r="D508" s="153" t="s">
        <v>40</v>
      </c>
      <c r="E508" s="156" t="s">
        <v>367</v>
      </c>
      <c r="F508" s="156" t="s">
        <v>394</v>
      </c>
      <c r="G508" s="155" t="str">
        <f>VLOOKUP(A508,Plano_V3!$A$27:$G$583,7,0)</f>
        <v>1. Concluído</v>
      </c>
      <c r="H508" s="155" t="s">
        <v>477</v>
      </c>
      <c r="I508" s="164" t="s">
        <v>504</v>
      </c>
      <c r="J508" s="175" t="str">
        <f>IF(VLOOKUP(A508,'Aux - pivots1'!$A:$E,3,0)=0, "",VLOOKUP(A508,'Aux - pivots1'!$A:$E,3,0))</f>
        <v/>
      </c>
      <c r="K508" s="175" t="str">
        <f>IF(VLOOKUP(A508,'Aux - pivots1'!$A:$E,4,0)=0, "",VLOOKUP(A508,'Aux - pivots1'!$A:$E,4,0))</f>
        <v/>
      </c>
      <c r="L508" s="175" t="str">
        <f>IF(VLOOKUP(A508,'Aux - pivots1'!$A:$E,5,0)=0, "",VLOOKUP(A508,'Aux - pivots1'!$A:$E,5,0))</f>
        <v/>
      </c>
      <c r="M508" s="202"/>
    </row>
    <row r="509" spans="1:13" ht="16.2">
      <c r="A509" s="31" t="str">
        <f t="shared" si="10"/>
        <v>lt002_instrumentgrss_crryng_amnt_instrmnt</v>
      </c>
      <c r="B509" s="162" t="s">
        <v>28</v>
      </c>
      <c r="C509" s="157" t="s">
        <v>28</v>
      </c>
      <c r="D509" s="153" t="s">
        <v>40</v>
      </c>
      <c r="E509" s="156" t="s">
        <v>367</v>
      </c>
      <c r="F509" s="156" t="s">
        <v>395</v>
      </c>
      <c r="G509" s="155" t="str">
        <f>VLOOKUP(A509,Plano_V3!$A$27:$G$583,7,0)</f>
        <v>1. Concluído</v>
      </c>
      <c r="H509" s="155" t="s">
        <v>477</v>
      </c>
      <c r="I509" s="164" t="s">
        <v>504</v>
      </c>
      <c r="J509" s="175" t="str">
        <f>IF(VLOOKUP(A509,'Aux - pivots1'!$A:$E,3,0)=0, "",VLOOKUP(A509,'Aux - pivots1'!$A:$E,3,0))</f>
        <v/>
      </c>
      <c r="K509" s="175" t="str">
        <f>IF(VLOOKUP(A509,'Aux - pivots1'!$A:$E,4,0)=0, "",VLOOKUP(A509,'Aux - pivots1'!$A:$E,4,0))</f>
        <v/>
      </c>
      <c r="L509" s="175" t="str">
        <f>IF(VLOOKUP(A509,'Aux - pivots1'!$A:$E,5,0)=0, "",VLOOKUP(A509,'Aux - pivots1'!$A:$E,5,0))</f>
        <v/>
      </c>
      <c r="M509" s="202"/>
    </row>
    <row r="510" spans="1:13" ht="16.2">
      <c r="A510" s="31" t="str">
        <f t="shared" si="10"/>
        <v>lt002_instrumentaccmltd_chngs_fv_cr_instrmnt</v>
      </c>
      <c r="B510" s="162" t="s">
        <v>28</v>
      </c>
      <c r="C510" s="157" t="s">
        <v>28</v>
      </c>
      <c r="D510" s="153" t="s">
        <v>40</v>
      </c>
      <c r="E510" s="156" t="s">
        <v>367</v>
      </c>
      <c r="F510" s="156" t="s">
        <v>396</v>
      </c>
      <c r="G510" s="155" t="str">
        <f>VLOOKUP(A510,Plano_V3!$A$27:$G$583,7,0)</f>
        <v>1. Concluído</v>
      </c>
      <c r="H510" s="155" t="s">
        <v>477</v>
      </c>
      <c r="I510" s="164" t="s">
        <v>504</v>
      </c>
      <c r="J510" s="175" t="str">
        <f>IF(VLOOKUP(A510,'Aux - pivots1'!$A:$E,3,0)=0, "",VLOOKUP(A510,'Aux - pivots1'!$A:$E,3,0))</f>
        <v/>
      </c>
      <c r="K510" s="175" t="str">
        <f>IF(VLOOKUP(A510,'Aux - pivots1'!$A:$E,4,0)=0, "",VLOOKUP(A510,'Aux - pivots1'!$A:$E,4,0))</f>
        <v/>
      </c>
      <c r="L510" s="175" t="str">
        <f>IF(VLOOKUP(A510,'Aux - pivots1'!$A:$E,5,0)=0, "",VLOOKUP(A510,'Aux - pivots1'!$A:$E,5,0))</f>
        <v/>
      </c>
      <c r="M510" s="202"/>
    </row>
    <row r="511" spans="1:13" ht="16.2">
      <c r="A511" s="31" t="str">
        <f t="shared" si="10"/>
        <v>lt002_instrumentaccntng_clssfctn</v>
      </c>
      <c r="B511" s="162" t="s">
        <v>28</v>
      </c>
      <c r="C511" s="157" t="s">
        <v>28</v>
      </c>
      <c r="D511" s="153" t="s">
        <v>40</v>
      </c>
      <c r="E511" s="156" t="s">
        <v>367</v>
      </c>
      <c r="F511" s="156" t="s">
        <v>397</v>
      </c>
      <c r="G511" s="155" t="str">
        <f>VLOOKUP(A511,Plano_V3!$A$27:$G$583,7,0)</f>
        <v>1. Concluído</v>
      </c>
      <c r="H511" s="155" t="s">
        <v>477</v>
      </c>
      <c r="I511" s="164" t="s">
        <v>504</v>
      </c>
      <c r="J511" s="175" t="str">
        <f>IF(VLOOKUP(A511,'Aux - pivots1'!$A:$E,3,0)=0, "",VLOOKUP(A511,'Aux - pivots1'!$A:$E,3,0))</f>
        <v/>
      </c>
      <c r="K511" s="175" t="str">
        <f>IF(VLOOKUP(A511,'Aux - pivots1'!$A:$E,4,0)=0, "",VLOOKUP(A511,'Aux - pivots1'!$A:$E,4,0))</f>
        <v/>
      </c>
      <c r="L511" s="175" t="str">
        <f>IF(VLOOKUP(A511,'Aux - pivots1'!$A:$E,5,0)=0, "",VLOOKUP(A511,'Aux - pivots1'!$A:$E,5,0))</f>
        <v/>
      </c>
      <c r="M511" s="202"/>
    </row>
    <row r="512" spans="1:13" ht="16.2">
      <c r="A512" s="31" t="str">
        <f t="shared" si="10"/>
        <v>lt002_instrumentdt_lgl_fnl_mtrty</v>
      </c>
      <c r="B512" s="162" t="s">
        <v>28</v>
      </c>
      <c r="C512" s="157" t="s">
        <v>28</v>
      </c>
      <c r="D512" s="153" t="s">
        <v>40</v>
      </c>
      <c r="E512" s="156" t="s">
        <v>367</v>
      </c>
      <c r="F512" s="156" t="s">
        <v>398</v>
      </c>
      <c r="G512" s="155" t="str">
        <f>VLOOKUP(A512,Plano_V3!$A$27:$G$583,7,0)</f>
        <v>1. Concluído</v>
      </c>
      <c r="H512" s="155" t="s">
        <v>477</v>
      </c>
      <c r="I512" s="164" t="s">
        <v>504</v>
      </c>
      <c r="J512" s="175" t="str">
        <f>IF(VLOOKUP(A512,'Aux - pivots1'!$A:$E,3,0)=0, "",VLOOKUP(A512,'Aux - pivots1'!$A:$E,3,0))</f>
        <v/>
      </c>
      <c r="K512" s="175" t="str">
        <f>IF(VLOOKUP(A512,'Aux - pivots1'!$A:$E,4,0)=0, "",VLOOKUP(A512,'Aux - pivots1'!$A:$E,4,0))</f>
        <v/>
      </c>
      <c r="L512" s="175" t="str">
        <f>IF(VLOOKUP(A512,'Aux - pivots1'!$A:$E,5,0)=0, "",VLOOKUP(A512,'Aux - pivots1'!$A:$E,5,0))</f>
        <v/>
      </c>
      <c r="M512" s="202"/>
    </row>
    <row r="513" spans="1:13" ht="16.2">
      <c r="A513" s="31" t="str">
        <f t="shared" si="10"/>
        <v>lt002_instrumentaccmltd_imprmnt_instrmnt</v>
      </c>
      <c r="B513" s="162" t="s">
        <v>28</v>
      </c>
      <c r="C513" s="157" t="s">
        <v>28</v>
      </c>
      <c r="D513" s="153" t="s">
        <v>40</v>
      </c>
      <c r="E513" s="156" t="s">
        <v>367</v>
      </c>
      <c r="F513" s="156" t="s">
        <v>399</v>
      </c>
      <c r="G513" s="155" t="str">
        <f>VLOOKUP(A513,Plano_V3!$A$27:$G$583,7,0)</f>
        <v>1. Concluído</v>
      </c>
      <c r="H513" s="155" t="s">
        <v>477</v>
      </c>
      <c r="I513" s="164" t="s">
        <v>504</v>
      </c>
      <c r="J513" s="175" t="str">
        <f>IF(VLOOKUP(A513,'Aux - pivots1'!$A:$E,3,0)=0, "",VLOOKUP(A513,'Aux - pivots1'!$A:$E,3,0))</f>
        <v/>
      </c>
      <c r="K513" s="175" t="str">
        <f>IF(VLOOKUP(A513,'Aux - pivots1'!$A:$E,4,0)=0, "",VLOOKUP(A513,'Aux - pivots1'!$A:$E,4,0))</f>
        <v/>
      </c>
      <c r="L513" s="175" t="str">
        <f>IF(VLOOKUP(A513,'Aux - pivots1'!$A:$E,5,0)=0, "",VLOOKUP(A513,'Aux - pivots1'!$A:$E,5,0))</f>
        <v/>
      </c>
      <c r="M513" s="202"/>
    </row>
    <row r="514" spans="1:13" ht="16.2">
      <c r="A514" s="31" t="str">
        <f t="shared" si="10"/>
        <v>lt002_instrumentissr_cntry</v>
      </c>
      <c r="B514" s="162" t="s">
        <v>28</v>
      </c>
      <c r="C514" s="157" t="s">
        <v>28</v>
      </c>
      <c r="D514" s="153" t="s">
        <v>40</v>
      </c>
      <c r="E514" s="156" t="s">
        <v>367</v>
      </c>
      <c r="F514" s="156" t="s">
        <v>400</v>
      </c>
      <c r="G514" s="155" t="str">
        <f>VLOOKUP(A514,Plano_V3!$A$27:$G$583,7,0)</f>
        <v>1. Concluído</v>
      </c>
      <c r="H514" s="155" t="s">
        <v>477</v>
      </c>
      <c r="I514" s="164" t="s">
        <v>504</v>
      </c>
      <c r="J514" s="175" t="str">
        <f>IF(VLOOKUP(A514,'Aux - pivots1'!$A:$E,3,0)=0, "",VLOOKUP(A514,'Aux - pivots1'!$A:$E,3,0))</f>
        <v/>
      </c>
      <c r="K514" s="175" t="str">
        <f>IF(VLOOKUP(A514,'Aux - pivots1'!$A:$E,4,0)=0, "",VLOOKUP(A514,'Aux - pivots1'!$A:$E,4,0))</f>
        <v/>
      </c>
      <c r="L514" s="175" t="str">
        <f>IF(VLOOKUP(A514,'Aux - pivots1'!$A:$E,5,0)=0, "",VLOOKUP(A514,'Aux - pivots1'!$A:$E,5,0))</f>
        <v/>
      </c>
      <c r="M514" s="202"/>
    </row>
    <row r="515" spans="1:13" ht="16.2">
      <c r="A515" s="31" t="str">
        <f t="shared" si="10"/>
        <v>lt002_instrumentissr_nace_sctr</v>
      </c>
      <c r="B515" s="162" t="s">
        <v>28</v>
      </c>
      <c r="C515" s="157" t="s">
        <v>28</v>
      </c>
      <c r="D515" s="153" t="s">
        <v>40</v>
      </c>
      <c r="E515" s="156" t="s">
        <v>367</v>
      </c>
      <c r="F515" s="156" t="s">
        <v>401</v>
      </c>
      <c r="G515" s="155" t="str">
        <f>VLOOKUP(A515,Plano_V3!$A$27:$G$583,7,0)</f>
        <v>1. Concluído</v>
      </c>
      <c r="H515" s="155" t="s">
        <v>477</v>
      </c>
      <c r="I515" s="164" t="s">
        <v>504</v>
      </c>
      <c r="J515" s="175" t="str">
        <f>IF(VLOOKUP(A515,'Aux - pivots1'!$A:$E,3,0)=0, "",VLOOKUP(A515,'Aux - pivots1'!$A:$E,3,0))</f>
        <v/>
      </c>
      <c r="K515" s="175" t="str">
        <f>IF(VLOOKUP(A515,'Aux - pivots1'!$A:$E,4,0)=0, "",VLOOKUP(A515,'Aux - pivots1'!$A:$E,4,0))</f>
        <v/>
      </c>
      <c r="L515" s="175" t="str">
        <f>IF(VLOOKUP(A515,'Aux - pivots1'!$A:$E,5,0)=0, "",VLOOKUP(A515,'Aux - pivots1'!$A:$E,5,0))</f>
        <v/>
      </c>
      <c r="M515" s="202"/>
    </row>
    <row r="516" spans="1:13" ht="16.2">
      <c r="A516" s="31" t="str">
        <f t="shared" si="10"/>
        <v>lt002_instrumentprmry_asst_clssf</v>
      </c>
      <c r="B516" s="162" t="s">
        <v>28</v>
      </c>
      <c r="C516" s="157" t="s">
        <v>28</v>
      </c>
      <c r="D516" s="153" t="s">
        <v>40</v>
      </c>
      <c r="E516" s="156" t="s">
        <v>367</v>
      </c>
      <c r="F516" s="156" t="s">
        <v>402</v>
      </c>
      <c r="G516" s="155" t="str">
        <f>VLOOKUP(A516,Plano_V3!$A$27:$G$583,7,0)</f>
        <v>1. Concluído</v>
      </c>
      <c r="H516" s="155" t="s">
        <v>477</v>
      </c>
      <c r="I516" s="164" t="s">
        <v>504</v>
      </c>
      <c r="J516" s="175" t="str">
        <f>IF(VLOOKUP(A516,'Aux - pivots1'!$A:$E,3,0)=0, "",VLOOKUP(A516,'Aux - pivots1'!$A:$E,3,0))</f>
        <v/>
      </c>
      <c r="K516" s="175" t="str">
        <f>IF(VLOOKUP(A516,'Aux - pivots1'!$A:$E,4,0)=0, "",VLOOKUP(A516,'Aux - pivots1'!$A:$E,4,0))</f>
        <v/>
      </c>
      <c r="L516" s="175" t="str">
        <f>IF(VLOOKUP(A516,'Aux - pivots1'!$A:$E,5,0)=0, "",VLOOKUP(A516,'Aux - pivots1'!$A:$E,5,0))</f>
        <v/>
      </c>
      <c r="M516" s="202"/>
    </row>
    <row r="517" spans="1:13" ht="16.2">
      <c r="A517" s="31" t="str">
        <f t="shared" si="10"/>
        <v>lt002_instrumentsubportfolio_id</v>
      </c>
      <c r="B517" s="162" t="s">
        <v>28</v>
      </c>
      <c r="C517" s="157" t="s">
        <v>28</v>
      </c>
      <c r="D517" s="153" t="s">
        <v>40</v>
      </c>
      <c r="E517" s="156" t="s">
        <v>367</v>
      </c>
      <c r="F517" s="156" t="s">
        <v>403</v>
      </c>
      <c r="G517" s="155" t="str">
        <f>VLOOKUP(A517,Plano_V3!$A$27:$G$583,7,0)</f>
        <v>1. Concluído</v>
      </c>
      <c r="H517" s="155" t="s">
        <v>477</v>
      </c>
      <c r="I517" s="164" t="s">
        <v>504</v>
      </c>
      <c r="J517" s="175" t="str">
        <f>IF(VLOOKUP(A517,'Aux - pivots1'!$A:$E,3,0)=0, "",VLOOKUP(A517,'Aux - pivots1'!$A:$E,3,0))</f>
        <v/>
      </c>
      <c r="K517" s="175" t="str">
        <f>IF(VLOOKUP(A517,'Aux - pivots1'!$A:$E,4,0)=0, "",VLOOKUP(A517,'Aux - pivots1'!$A:$E,4,0))</f>
        <v/>
      </c>
      <c r="L517" s="175" t="str">
        <f>IF(VLOOKUP(A517,'Aux - pivots1'!$A:$E,5,0)=0, "",VLOOKUP(A517,'Aux - pivots1'!$A:$E,5,0))</f>
        <v/>
      </c>
      <c r="M517" s="202"/>
    </row>
    <row r="518" spans="1:13" ht="16.2">
      <c r="A518" s="31" t="str">
        <f t="shared" si="10"/>
        <v>lt002_instrumentcod_soc</v>
      </c>
      <c r="B518" s="162" t="s">
        <v>28</v>
      </c>
      <c r="C518" s="157" t="s">
        <v>28</v>
      </c>
      <c r="D518" s="153" t="s">
        <v>40</v>
      </c>
      <c r="E518" s="156" t="s">
        <v>367</v>
      </c>
      <c r="F518" s="156" t="s">
        <v>404</v>
      </c>
      <c r="G518" s="155" t="str">
        <f>VLOOKUP(A518,Plano_V3!$A$27:$G$583,7,0)</f>
        <v>1. Concluído</v>
      </c>
      <c r="H518" s="155" t="s">
        <v>477</v>
      </c>
      <c r="I518" s="164" t="s">
        <v>504</v>
      </c>
      <c r="J518" s="175" t="str">
        <f>IF(VLOOKUP(A518,'Aux - pivots1'!$A:$E,3,0)=0, "",VLOOKUP(A518,'Aux - pivots1'!$A:$E,3,0))</f>
        <v/>
      </c>
      <c r="K518" s="175" t="str">
        <f>IF(VLOOKUP(A518,'Aux - pivots1'!$A:$E,4,0)=0, "",VLOOKUP(A518,'Aux - pivots1'!$A:$E,4,0))</f>
        <v/>
      </c>
      <c r="L518" s="175" t="str">
        <f>IF(VLOOKUP(A518,'Aux - pivots1'!$A:$E,5,0)=0, "",VLOOKUP(A518,'Aux - pivots1'!$A:$E,5,0))</f>
        <v/>
      </c>
      <c r="M518" s="202"/>
    </row>
    <row r="519" spans="1:13" ht="16.2">
      <c r="A519" s="31" t="str">
        <f t="shared" si="10"/>
        <v>lt002_instrumentlcl_instmrnt_id</v>
      </c>
      <c r="B519" s="162" t="s">
        <v>28</v>
      </c>
      <c r="C519" s="157" t="s">
        <v>28</v>
      </c>
      <c r="D519" s="153" t="s">
        <v>40</v>
      </c>
      <c r="E519" s="156" t="s">
        <v>367</v>
      </c>
      <c r="F519" s="156" t="s">
        <v>405</v>
      </c>
      <c r="G519" s="155" t="str">
        <f>VLOOKUP(A519,Plano_V3!$A$27:$G$583,7,0)</f>
        <v>1. Concluído</v>
      </c>
      <c r="H519" s="155" t="s">
        <v>477</v>
      </c>
      <c r="I519" s="164" t="s">
        <v>504</v>
      </c>
      <c r="J519" s="175" t="str">
        <f>IF(VLOOKUP(A519,'Aux - pivots1'!$A:$E,3,0)=0, "",VLOOKUP(A519,'Aux - pivots1'!$A:$E,3,0))</f>
        <v/>
      </c>
      <c r="K519" s="175" t="str">
        <f>IF(VLOOKUP(A519,'Aux - pivots1'!$A:$E,4,0)=0, "",VLOOKUP(A519,'Aux - pivots1'!$A:$E,4,0))</f>
        <v/>
      </c>
      <c r="L519" s="175" t="str">
        <f>IF(VLOOKUP(A519,'Aux - pivots1'!$A:$E,5,0)=0, "",VLOOKUP(A519,'Aux - pivots1'!$A:$E,5,0))</f>
        <v/>
      </c>
      <c r="M519" s="202"/>
    </row>
    <row r="520" spans="1:13" ht="16.2">
      <c r="A520" s="31" t="str">
        <f t="shared" si="10"/>
        <v>lt002_instrumentsstnbl_indctr</v>
      </c>
      <c r="B520" s="162" t="s">
        <v>28</v>
      </c>
      <c r="C520" s="157" t="s">
        <v>28</v>
      </c>
      <c r="D520" s="153" t="s">
        <v>40</v>
      </c>
      <c r="E520" s="156" t="s">
        <v>367</v>
      </c>
      <c r="F520" s="156" t="s">
        <v>406</v>
      </c>
      <c r="G520" s="155" t="str">
        <f>VLOOKUP(A520,Plano_V3!$A$27:$G$583,7,0)</f>
        <v>7. Por iniciar</v>
      </c>
      <c r="H520" s="155" t="s">
        <v>30</v>
      </c>
      <c r="I520" s="164" t="s">
        <v>504</v>
      </c>
      <c r="J520" s="175" t="str">
        <f>IF(VLOOKUP(A520,'Aux - pivots1'!$A:$E,3,0)=0, "",VLOOKUP(A520,'Aux - pivots1'!$A:$E,3,0))</f>
        <v/>
      </c>
      <c r="K520" s="175" t="str">
        <f>IF(VLOOKUP(A520,'Aux - pivots1'!$A:$E,4,0)=0, "",VLOOKUP(A520,'Aux - pivots1'!$A:$E,4,0))</f>
        <v/>
      </c>
      <c r="L520" s="175" t="str">
        <f>IF(VLOOKUP(A520,'Aux - pivots1'!$A:$E,5,0)=0, "",VLOOKUP(A520,'Aux - pivots1'!$A:$E,5,0))</f>
        <v/>
      </c>
      <c r="M520" s="202"/>
    </row>
    <row r="521" spans="1:13" ht="16.2">
      <c r="A521" s="31" t="str">
        <f t="shared" si="10"/>
        <v>lt002_instrumentsstnbl_ctgry</v>
      </c>
      <c r="B521" s="162" t="s">
        <v>28</v>
      </c>
      <c r="C521" s="157" t="s">
        <v>28</v>
      </c>
      <c r="D521" s="153" t="s">
        <v>40</v>
      </c>
      <c r="E521" s="156" t="s">
        <v>367</v>
      </c>
      <c r="F521" s="156" t="s">
        <v>407</v>
      </c>
      <c r="G521" s="155" t="str">
        <f>VLOOKUP(A521,Plano_V3!$A$27:$G$583,7,0)</f>
        <v>7. Por iniciar</v>
      </c>
      <c r="H521" s="155" t="s">
        <v>30</v>
      </c>
      <c r="I521" s="164" t="s">
        <v>504</v>
      </c>
      <c r="J521" s="175" t="str">
        <f>IF(VLOOKUP(A521,'Aux - pivots1'!$A:$E,3,0)=0, "",VLOOKUP(A521,'Aux - pivots1'!$A:$E,3,0))</f>
        <v/>
      </c>
      <c r="K521" s="175" t="str">
        <f>IF(VLOOKUP(A521,'Aux - pivots1'!$A:$E,4,0)=0, "",VLOOKUP(A521,'Aux - pivots1'!$A:$E,4,0))</f>
        <v/>
      </c>
      <c r="L521" s="175" t="str">
        <f>IF(VLOOKUP(A521,'Aux - pivots1'!$A:$E,5,0)=0, "",VLOOKUP(A521,'Aux - pivots1'!$A:$E,5,0))</f>
        <v/>
      </c>
      <c r="M521" s="202"/>
    </row>
    <row r="522" spans="1:13" ht="16.2">
      <c r="A522" s="31" t="str">
        <f t="shared" si="10"/>
        <v>lt002_instrumentgrss_intrst_incm</v>
      </c>
      <c r="B522" s="162" t="s">
        <v>28</v>
      </c>
      <c r="C522" s="157" t="s">
        <v>28</v>
      </c>
      <c r="D522" s="153" t="s">
        <v>40</v>
      </c>
      <c r="E522" s="156" t="s">
        <v>367</v>
      </c>
      <c r="F522" s="156" t="s">
        <v>408</v>
      </c>
      <c r="G522" s="155" t="str">
        <f>VLOOKUP(A522,Plano_V3!$A$27:$G$583,7,0)</f>
        <v>7. Por iniciar</v>
      </c>
      <c r="H522" s="155" t="s">
        <v>30</v>
      </c>
      <c r="I522" s="164" t="s">
        <v>504</v>
      </c>
      <c r="J522" s="175" t="str">
        <f>IF(VLOOKUP(A522,'Aux - pivots1'!$A:$E,3,0)=0, "",VLOOKUP(A522,'Aux - pivots1'!$A:$E,3,0))</f>
        <v/>
      </c>
      <c r="K522" s="175" t="str">
        <f>IF(VLOOKUP(A522,'Aux - pivots1'!$A:$E,4,0)=0, "",VLOOKUP(A522,'Aux - pivots1'!$A:$E,4,0))</f>
        <v/>
      </c>
      <c r="L522" s="175" t="str">
        <f>IF(VLOOKUP(A522,'Aux - pivots1'!$A:$E,5,0)=0, "",VLOOKUP(A522,'Aux - pivots1'!$A:$E,5,0))</f>
        <v/>
      </c>
      <c r="M522" s="202"/>
    </row>
    <row r="523" spans="1:13" ht="16.2">
      <c r="A523" s="31" t="str">
        <f t="shared" si="10"/>
        <v>lt002_instrumentgrss_cmmssn_incm</v>
      </c>
      <c r="B523" s="162" t="s">
        <v>28</v>
      </c>
      <c r="C523" s="157" t="s">
        <v>28</v>
      </c>
      <c r="D523" s="153" t="s">
        <v>40</v>
      </c>
      <c r="E523" s="156" t="s">
        <v>367</v>
      </c>
      <c r="F523" s="156" t="s">
        <v>409</v>
      </c>
      <c r="G523" s="155" t="str">
        <f>VLOOKUP(A523,Plano_V3!$A$27:$G$583,7,0)</f>
        <v>7. Por iniciar</v>
      </c>
      <c r="H523" s="155" t="s">
        <v>30</v>
      </c>
      <c r="I523" s="164" t="s">
        <v>504</v>
      </c>
      <c r="J523" s="175" t="str">
        <f>IF(VLOOKUP(A523,'Aux - pivots1'!$A:$E,3,0)=0, "",VLOOKUP(A523,'Aux - pivots1'!$A:$E,3,0))</f>
        <v/>
      </c>
      <c r="K523" s="175" t="str">
        <f>IF(VLOOKUP(A523,'Aux - pivots1'!$A:$E,4,0)=0, "",VLOOKUP(A523,'Aux - pivots1'!$A:$E,4,0))</f>
        <v/>
      </c>
      <c r="L523" s="175" t="str">
        <f>IF(VLOOKUP(A523,'Aux - pivots1'!$A:$E,5,0)=0, "",VLOOKUP(A523,'Aux - pivots1'!$A:$E,5,0))</f>
        <v/>
      </c>
      <c r="M523" s="202"/>
    </row>
    <row r="524" spans="1:13" ht="16.2">
      <c r="A524" s="31" t="str">
        <f t="shared" si="10"/>
        <v>lt002_instrumentgrss_cmmssn_incm_off_blnc</v>
      </c>
      <c r="B524" s="162" t="s">
        <v>28</v>
      </c>
      <c r="C524" s="157" t="s">
        <v>28</v>
      </c>
      <c r="D524" s="153" t="s">
        <v>40</v>
      </c>
      <c r="E524" s="156" t="s">
        <v>367</v>
      </c>
      <c r="F524" s="156" t="s">
        <v>410</v>
      </c>
      <c r="G524" s="155" t="str">
        <f>VLOOKUP(A524,Plano_V3!$A$27:$G$583,7,0)</f>
        <v>7. Por iniciar</v>
      </c>
      <c r="H524" s="155" t="s">
        <v>30</v>
      </c>
      <c r="I524" s="164" t="s">
        <v>504</v>
      </c>
      <c r="J524" s="175" t="str">
        <f>IF(VLOOKUP(A524,'Aux - pivots1'!$A:$E,3,0)=0, "",VLOOKUP(A524,'Aux - pivots1'!$A:$E,3,0))</f>
        <v/>
      </c>
      <c r="K524" s="175" t="str">
        <f>IF(VLOOKUP(A524,'Aux - pivots1'!$A:$E,4,0)=0, "",VLOOKUP(A524,'Aux - pivots1'!$A:$E,4,0))</f>
        <v/>
      </c>
      <c r="L524" s="175" t="str">
        <f>IF(VLOOKUP(A524,'Aux - pivots1'!$A:$E,5,0)=0, "",VLOOKUP(A524,'Aux - pivots1'!$A:$E,5,0))</f>
        <v/>
      </c>
      <c r="M524" s="202"/>
    </row>
    <row r="525" spans="1:13" ht="16.2">
      <c r="A525" s="31" t="str">
        <f t="shared" si="10"/>
        <v>lt002_instrumentidcmb</v>
      </c>
      <c r="B525" s="162" t="s">
        <v>28</v>
      </c>
      <c r="C525" s="157" t="s">
        <v>28</v>
      </c>
      <c r="D525" s="153" t="s">
        <v>40</v>
      </c>
      <c r="E525" s="156" t="s">
        <v>367</v>
      </c>
      <c r="F525" s="156" t="s">
        <v>411</v>
      </c>
      <c r="G525" s="155" t="str">
        <f>VLOOKUP(A525,Plano_V3!$A$27:$G$583,7,0)</f>
        <v>1. Concluído</v>
      </c>
      <c r="H525" s="155" t="s">
        <v>477</v>
      </c>
      <c r="I525" s="164" t="s">
        <v>504</v>
      </c>
      <c r="J525" s="175" t="str">
        <f>IF(VLOOKUP(A525,'Aux - pivots1'!$A:$E,3,0)=0, "",VLOOKUP(A525,'Aux - pivots1'!$A:$E,3,0))</f>
        <v/>
      </c>
      <c r="K525" s="175" t="str">
        <f>IF(VLOOKUP(A525,'Aux - pivots1'!$A:$E,4,0)=0, "",VLOOKUP(A525,'Aux - pivots1'!$A:$E,4,0))</f>
        <v/>
      </c>
      <c r="L525" s="175" t="str">
        <f>IF(VLOOKUP(A525,'Aux - pivots1'!$A:$E,5,0)=0, "",VLOOKUP(A525,'Aux - pivots1'!$A:$E,5,0))</f>
        <v/>
      </c>
      <c r="M525" s="202"/>
    </row>
    <row r="526" spans="1:13" ht="16.2">
      <c r="A526" s="31" t="str">
        <f t="shared" si="10"/>
        <v>lt003_entitycntry</v>
      </c>
      <c r="B526" s="162" t="s">
        <v>28</v>
      </c>
      <c r="C526" s="157" t="s">
        <v>28</v>
      </c>
      <c r="D526" s="153" t="s">
        <v>40</v>
      </c>
      <c r="E526" s="156" t="s">
        <v>323</v>
      </c>
      <c r="F526" s="156" t="s">
        <v>412</v>
      </c>
      <c r="G526" s="155" t="str">
        <f>VLOOKUP(A526,Plano_V3!$A$27:$G$583,7,0)</f>
        <v>1. Concluído</v>
      </c>
      <c r="H526" s="155" t="s">
        <v>477</v>
      </c>
      <c r="I526" s="164" t="s">
        <v>504</v>
      </c>
      <c r="J526" s="175" t="str">
        <f>IF(VLOOKUP(A526,'Aux - pivots1'!$A:$E,3,0)=0, "",VLOOKUP(A526,'Aux - pivots1'!$A:$E,3,0))</f>
        <v/>
      </c>
      <c r="K526" s="175" t="str">
        <f>IF(VLOOKUP(A526,'Aux - pivots1'!$A:$E,4,0)=0, "",VLOOKUP(A526,'Aux - pivots1'!$A:$E,4,0))</f>
        <v/>
      </c>
      <c r="L526" s="175" t="str">
        <f>IF(VLOOKUP(A526,'Aux - pivots1'!$A:$E,5,0)=0, "",VLOOKUP(A526,'Aux - pivots1'!$A:$E,5,0))</f>
        <v/>
      </c>
      <c r="M526" s="202"/>
    </row>
    <row r="527" spans="1:13" ht="16.2">
      <c r="A527" s="31" t="str">
        <f t="shared" si="10"/>
        <v>lt003_entitydt_rfrnc</v>
      </c>
      <c r="B527" s="162" t="s">
        <v>28</v>
      </c>
      <c r="C527" s="157" t="s">
        <v>28</v>
      </c>
      <c r="D527" s="153" t="s">
        <v>40</v>
      </c>
      <c r="E527" s="156" t="s">
        <v>323</v>
      </c>
      <c r="F527" s="156" t="s">
        <v>386</v>
      </c>
      <c r="G527" s="155" t="str">
        <f>VLOOKUP(A527,Plano_V3!$A$27:$G$583,7,0)</f>
        <v>1. Concluído</v>
      </c>
      <c r="H527" s="155" t="s">
        <v>477</v>
      </c>
      <c r="I527" s="164" t="s">
        <v>504</v>
      </c>
      <c r="J527" s="175" t="str">
        <f>IF(VLOOKUP(A527,'Aux - pivots1'!$A:$E,3,0)=0, "",VLOOKUP(A527,'Aux - pivots1'!$A:$E,3,0))</f>
        <v/>
      </c>
      <c r="K527" s="175" t="str">
        <f>IF(VLOOKUP(A527,'Aux - pivots1'!$A:$E,4,0)=0, "",VLOOKUP(A527,'Aux - pivots1'!$A:$E,4,0))</f>
        <v/>
      </c>
      <c r="L527" s="175" t="str">
        <f>IF(VLOOKUP(A527,'Aux - pivots1'!$A:$E,5,0)=0, "",VLOOKUP(A527,'Aux - pivots1'!$A:$E,5,0))</f>
        <v/>
      </c>
      <c r="M527" s="202"/>
    </row>
    <row r="528" spans="1:13" ht="16.2">
      <c r="A528" s="31" t="str">
        <f t="shared" si="10"/>
        <v>lt003_entityentty_id</v>
      </c>
      <c r="B528" s="162" t="s">
        <v>28</v>
      </c>
      <c r="C528" s="157" t="s">
        <v>28</v>
      </c>
      <c r="D528" s="153" t="s">
        <v>40</v>
      </c>
      <c r="E528" s="156" t="s">
        <v>323</v>
      </c>
      <c r="F528" s="156" t="s">
        <v>413</v>
      </c>
      <c r="G528" s="155" t="str">
        <f>VLOOKUP(A528,Plano_V3!$A$27:$G$583,7,0)</f>
        <v>1. Concluído</v>
      </c>
      <c r="H528" s="155" t="s">
        <v>477</v>
      </c>
      <c r="I528" s="164" t="s">
        <v>504</v>
      </c>
      <c r="J528" s="175" t="str">
        <f>IF(VLOOKUP(A528,'Aux - pivots1'!$A:$E,3,0)=0, "",VLOOKUP(A528,'Aux - pivots1'!$A:$E,3,0))</f>
        <v/>
      </c>
      <c r="K528" s="175" t="str">
        <f>IF(VLOOKUP(A528,'Aux - pivots1'!$A:$E,4,0)=0, "",VLOOKUP(A528,'Aux - pivots1'!$A:$E,4,0))</f>
        <v/>
      </c>
      <c r="L528" s="175" t="str">
        <f>IF(VLOOKUP(A528,'Aux - pivots1'!$A:$E,5,0)=0, "",VLOOKUP(A528,'Aux - pivots1'!$A:$E,5,0))</f>
        <v/>
      </c>
      <c r="M528" s="202"/>
    </row>
    <row r="529" spans="1:13" ht="16.2">
      <c r="A529" s="31" t="str">
        <f t="shared" si="10"/>
        <v>lt003_entitylei</v>
      </c>
      <c r="B529" s="162" t="s">
        <v>28</v>
      </c>
      <c r="C529" s="157" t="s">
        <v>28</v>
      </c>
      <c r="D529" s="153" t="s">
        <v>40</v>
      </c>
      <c r="E529" s="156" t="s">
        <v>323</v>
      </c>
      <c r="F529" s="156" t="s">
        <v>414</v>
      </c>
      <c r="G529" s="155" t="str">
        <f>VLOOKUP(A529,Plano_V3!$A$27:$G$583,7,0)</f>
        <v>1. Concluído</v>
      </c>
      <c r="H529" s="155" t="s">
        <v>477</v>
      </c>
      <c r="I529" s="164" t="s">
        <v>504</v>
      </c>
      <c r="J529" s="175" t="str">
        <f>IF(VLOOKUP(A529,'Aux - pivots1'!$A:$E,3,0)=0, "",VLOOKUP(A529,'Aux - pivots1'!$A:$E,3,0))</f>
        <v/>
      </c>
      <c r="K529" s="175" t="str">
        <f>IF(VLOOKUP(A529,'Aux - pivots1'!$A:$E,4,0)=0, "",VLOOKUP(A529,'Aux - pivots1'!$A:$E,4,0))</f>
        <v/>
      </c>
      <c r="L529" s="175" t="str">
        <f>IF(VLOOKUP(A529,'Aux - pivots1'!$A:$E,5,0)=0, "",VLOOKUP(A529,'Aux - pivots1'!$A:$E,5,0))</f>
        <v/>
      </c>
      <c r="M529" s="202"/>
    </row>
    <row r="530" spans="1:13" ht="16.2">
      <c r="A530" s="31" t="str">
        <f t="shared" ref="A530:A593" si="11">E530&amp;F530</f>
        <v>lt003_entityecnmc_actvty</v>
      </c>
      <c r="B530" s="162" t="s">
        <v>28</v>
      </c>
      <c r="C530" s="157" t="s">
        <v>28</v>
      </c>
      <c r="D530" s="153" t="s">
        <v>40</v>
      </c>
      <c r="E530" s="156" t="s">
        <v>323</v>
      </c>
      <c r="F530" s="156" t="s">
        <v>415</v>
      </c>
      <c r="G530" s="155" t="str">
        <f>VLOOKUP(A530,Plano_V3!$A$27:$G$583,7,0)</f>
        <v>1. Concluído</v>
      </c>
      <c r="H530" s="155" t="s">
        <v>477</v>
      </c>
      <c r="I530" s="164" t="s">
        <v>504</v>
      </c>
      <c r="J530" s="175" t="str">
        <f>IF(VLOOKUP(A530,'Aux - pivots1'!$A:$E,3,0)=0, "",VLOOKUP(A530,'Aux - pivots1'!$A:$E,3,0))</f>
        <v/>
      </c>
      <c r="K530" s="175" t="str">
        <f>IF(VLOOKUP(A530,'Aux - pivots1'!$A:$E,4,0)=0, "",VLOOKUP(A530,'Aux - pivots1'!$A:$E,4,0))</f>
        <v/>
      </c>
      <c r="L530" s="175" t="str">
        <f>IF(VLOOKUP(A530,'Aux - pivots1'!$A:$E,5,0)=0, "",VLOOKUP(A530,'Aux - pivots1'!$A:$E,5,0))</f>
        <v/>
      </c>
      <c r="M530" s="202"/>
    </row>
    <row r="531" spans="1:13" ht="16.2">
      <c r="A531" s="31" t="str">
        <f t="shared" si="11"/>
        <v>lt003_entitygrp_eqty</v>
      </c>
      <c r="B531" s="162" t="s">
        <v>28</v>
      </c>
      <c r="C531" s="157" t="s">
        <v>28</v>
      </c>
      <c r="D531" s="153" t="s">
        <v>40</v>
      </c>
      <c r="E531" s="156" t="s">
        <v>323</v>
      </c>
      <c r="F531" s="156" t="s">
        <v>416</v>
      </c>
      <c r="G531" s="155" t="str">
        <f>VLOOKUP(A531,Plano_V3!$A$27:$G$583,7,0)</f>
        <v>1. Concluído</v>
      </c>
      <c r="H531" s="155" t="s">
        <v>477</v>
      </c>
      <c r="I531" s="164" t="s">
        <v>504</v>
      </c>
      <c r="J531" s="175" t="str">
        <f>IF(VLOOKUP(A531,'Aux - pivots1'!$A:$E,3,0)=0, "",VLOOKUP(A531,'Aux - pivots1'!$A:$E,3,0))</f>
        <v/>
      </c>
      <c r="K531" s="175" t="str">
        <f>IF(VLOOKUP(A531,'Aux - pivots1'!$A:$E,4,0)=0, "",VLOOKUP(A531,'Aux - pivots1'!$A:$E,4,0))</f>
        <v/>
      </c>
      <c r="L531" s="175" t="str">
        <f>IF(VLOOKUP(A531,'Aux - pivots1'!$A:$E,5,0)=0, "",VLOOKUP(A531,'Aux - pivots1'!$A:$E,5,0))</f>
        <v/>
      </c>
      <c r="M531" s="202"/>
    </row>
    <row r="532" spans="1:13" ht="16.2">
      <c r="A532" s="31" t="str">
        <f t="shared" si="11"/>
        <v>lt003_entityannl_trnvr_le</v>
      </c>
      <c r="B532" s="162" t="s">
        <v>28</v>
      </c>
      <c r="C532" s="157" t="s">
        <v>28</v>
      </c>
      <c r="D532" s="153" t="s">
        <v>40</v>
      </c>
      <c r="E532" s="156" t="s">
        <v>323</v>
      </c>
      <c r="F532" s="156" t="s">
        <v>417</v>
      </c>
      <c r="G532" s="155" t="str">
        <f>VLOOKUP(A532,Plano_V3!$A$27:$G$583,7,0)</f>
        <v>1. Concluído</v>
      </c>
      <c r="H532" s="155" t="s">
        <v>477</v>
      </c>
      <c r="I532" s="164" t="s">
        <v>504</v>
      </c>
      <c r="J532" s="175" t="str">
        <f>IF(VLOOKUP(A532,'Aux - pivots1'!$A:$E,3,0)=0, "",VLOOKUP(A532,'Aux - pivots1'!$A:$E,3,0))</f>
        <v/>
      </c>
      <c r="K532" s="175" t="str">
        <f>IF(VLOOKUP(A532,'Aux - pivots1'!$A:$E,4,0)=0, "",VLOOKUP(A532,'Aux - pivots1'!$A:$E,4,0))</f>
        <v/>
      </c>
      <c r="L532" s="175" t="str">
        <f>IF(VLOOKUP(A532,'Aux - pivots1'!$A:$E,5,0)=0, "",VLOOKUP(A532,'Aux - pivots1'!$A:$E,5,0))</f>
        <v/>
      </c>
      <c r="M532" s="202"/>
    </row>
    <row r="533" spans="1:13" ht="16.2">
      <c r="A533" s="31" t="str">
        <f t="shared" si="11"/>
        <v>lt003_entityeqty</v>
      </c>
      <c r="B533" s="162" t="s">
        <v>28</v>
      </c>
      <c r="C533" s="157" t="s">
        <v>28</v>
      </c>
      <c r="D533" s="153" t="s">
        <v>40</v>
      </c>
      <c r="E533" s="156" t="s">
        <v>323</v>
      </c>
      <c r="F533" s="156" t="s">
        <v>418</v>
      </c>
      <c r="G533" s="155" t="str">
        <f>VLOOKUP(A533,Plano_V3!$A$27:$G$583,7,0)</f>
        <v>1. Concluído</v>
      </c>
      <c r="H533" s="155" t="s">
        <v>477</v>
      </c>
      <c r="I533" s="164" t="s">
        <v>504</v>
      </c>
      <c r="J533" s="175" t="str">
        <f>IF(VLOOKUP(A533,'Aux - pivots1'!$A:$E,3,0)=0, "",VLOOKUP(A533,'Aux - pivots1'!$A:$E,3,0))</f>
        <v/>
      </c>
      <c r="K533" s="175" t="str">
        <f>IF(VLOOKUP(A533,'Aux - pivots1'!$A:$E,4,0)=0, "",VLOOKUP(A533,'Aux - pivots1'!$A:$E,4,0))</f>
        <v/>
      </c>
      <c r="L533" s="175" t="str">
        <f>IF(VLOOKUP(A533,'Aux - pivots1'!$A:$E,5,0)=0, "",VLOOKUP(A533,'Aux - pivots1'!$A:$E,5,0))</f>
        <v/>
      </c>
      <c r="M533" s="202"/>
    </row>
    <row r="534" spans="1:13" ht="16.2">
      <c r="A534" s="31" t="str">
        <f t="shared" si="11"/>
        <v>lt003_entitygrp_ttl_dbt</v>
      </c>
      <c r="B534" s="162" t="s">
        <v>28</v>
      </c>
      <c r="C534" s="157" t="s">
        <v>28</v>
      </c>
      <c r="D534" s="153" t="s">
        <v>40</v>
      </c>
      <c r="E534" s="156" t="s">
        <v>323</v>
      </c>
      <c r="F534" s="156" t="s">
        <v>419</v>
      </c>
      <c r="G534" s="155" t="str">
        <f>VLOOKUP(A534,Plano_V3!$A$27:$G$583,7,0)</f>
        <v>1. Concluído</v>
      </c>
      <c r="H534" s="155" t="s">
        <v>477</v>
      </c>
      <c r="I534" s="164" t="s">
        <v>504</v>
      </c>
      <c r="J534" s="175" t="str">
        <f>IF(VLOOKUP(A534,'Aux - pivots1'!$A:$E,3,0)=0, "",VLOOKUP(A534,'Aux - pivots1'!$A:$E,3,0))</f>
        <v/>
      </c>
      <c r="K534" s="175" t="str">
        <f>IF(VLOOKUP(A534,'Aux - pivots1'!$A:$E,4,0)=0, "",VLOOKUP(A534,'Aux - pivots1'!$A:$E,4,0))</f>
        <v/>
      </c>
      <c r="L534" s="175" t="str">
        <f>IF(VLOOKUP(A534,'Aux - pivots1'!$A:$E,5,0)=0, "",VLOOKUP(A534,'Aux - pivots1'!$A:$E,5,0))</f>
        <v/>
      </c>
      <c r="M534" s="202"/>
    </row>
    <row r="535" spans="1:13" ht="16.2">
      <c r="A535" s="31" t="str">
        <f t="shared" si="11"/>
        <v>lt003_entityttl_dbt</v>
      </c>
      <c r="B535" s="162" t="s">
        <v>28</v>
      </c>
      <c r="C535" s="157" t="s">
        <v>28</v>
      </c>
      <c r="D535" s="153" t="s">
        <v>40</v>
      </c>
      <c r="E535" s="156" t="s">
        <v>323</v>
      </c>
      <c r="F535" s="156" t="s">
        <v>420</v>
      </c>
      <c r="G535" s="155" t="str">
        <f>VLOOKUP(A535,Plano_V3!$A$27:$G$583,7,0)</f>
        <v>1. Concluído</v>
      </c>
      <c r="H535" s="155" t="s">
        <v>477</v>
      </c>
      <c r="I535" s="164" t="s">
        <v>504</v>
      </c>
      <c r="J535" s="175" t="str">
        <f>IF(VLOOKUP(A535,'Aux - pivots1'!$A:$E,3,0)=0, "",VLOOKUP(A535,'Aux - pivots1'!$A:$E,3,0))</f>
        <v/>
      </c>
      <c r="K535" s="175" t="str">
        <f>IF(VLOOKUP(A535,'Aux - pivots1'!$A:$E,4,0)=0, "",VLOOKUP(A535,'Aux - pivots1'!$A:$E,4,0))</f>
        <v/>
      </c>
      <c r="L535" s="175" t="str">
        <f>IF(VLOOKUP(A535,'Aux - pivots1'!$A:$E,5,0)=0, "",VLOOKUP(A535,'Aux - pivots1'!$A:$E,5,0))</f>
        <v/>
      </c>
      <c r="M535" s="202"/>
    </row>
    <row r="536" spans="1:13" ht="16.2">
      <c r="A536" s="31" t="str">
        <f t="shared" si="11"/>
        <v>lt003_entitycod_soc</v>
      </c>
      <c r="B536" s="162" t="s">
        <v>28</v>
      </c>
      <c r="C536" s="157" t="s">
        <v>28</v>
      </c>
      <c r="D536" s="153" t="s">
        <v>40</v>
      </c>
      <c r="E536" s="156" t="s">
        <v>323</v>
      </c>
      <c r="F536" s="156" t="s">
        <v>404</v>
      </c>
      <c r="G536" s="155" t="str">
        <f>VLOOKUP(A536,Plano_V3!$A$27:$G$583,7,0)</f>
        <v>1. Concluído</v>
      </c>
      <c r="H536" s="155" t="s">
        <v>477</v>
      </c>
      <c r="I536" s="164" t="s">
        <v>504</v>
      </c>
      <c r="J536" s="175" t="str">
        <f>IF(VLOOKUP(A536,'Aux - pivots1'!$A:$E,3,0)=0, "",VLOOKUP(A536,'Aux - pivots1'!$A:$E,3,0))</f>
        <v/>
      </c>
      <c r="K536" s="175" t="str">
        <f>IF(VLOOKUP(A536,'Aux - pivots1'!$A:$E,4,0)=0, "",VLOOKUP(A536,'Aux - pivots1'!$A:$E,4,0))</f>
        <v/>
      </c>
      <c r="L536" s="175" t="str">
        <f>IF(VLOOKUP(A536,'Aux - pivots1'!$A:$E,5,0)=0, "",VLOOKUP(A536,'Aux - pivots1'!$A:$E,5,0))</f>
        <v/>
      </c>
      <c r="M536" s="202"/>
    </row>
    <row r="537" spans="1:13" ht="16.2">
      <c r="A537" s="31" t="str">
        <f t="shared" si="11"/>
        <v>lt004_protectiondt_rfrnc</v>
      </c>
      <c r="B537" s="162" t="s">
        <v>28</v>
      </c>
      <c r="C537" s="157" t="s">
        <v>28</v>
      </c>
      <c r="D537" s="153" t="s">
        <v>40</v>
      </c>
      <c r="E537" s="156" t="s">
        <v>356</v>
      </c>
      <c r="F537" s="156" t="s">
        <v>386</v>
      </c>
      <c r="G537" s="155" t="str">
        <f>VLOOKUP(A537,Plano_V3!$A$27:$G$583,7,0)</f>
        <v>1. Concluído</v>
      </c>
      <c r="H537" s="155" t="s">
        <v>477</v>
      </c>
      <c r="I537" s="164" t="s">
        <v>504</v>
      </c>
      <c r="J537" s="175" t="str">
        <f>IF(VLOOKUP(A537,'Aux - pivots1'!$A:$E,3,0)=0, "",VLOOKUP(A537,'Aux - pivots1'!$A:$E,3,0))</f>
        <v/>
      </c>
      <c r="K537" s="175" t="str">
        <f>IF(VLOOKUP(A537,'Aux - pivots1'!$A:$E,4,0)=0, "",VLOOKUP(A537,'Aux - pivots1'!$A:$E,4,0))</f>
        <v/>
      </c>
      <c r="L537" s="175" t="str">
        <f>IF(VLOOKUP(A537,'Aux - pivots1'!$A:$E,5,0)=0, "",VLOOKUP(A537,'Aux - pivots1'!$A:$E,5,0))</f>
        <v/>
      </c>
      <c r="M537" s="202"/>
    </row>
    <row r="538" spans="1:13" ht="16.2">
      <c r="A538" s="31" t="str">
        <f t="shared" si="11"/>
        <v>lt004_protectionprtctn_id</v>
      </c>
      <c r="B538" s="162" t="s">
        <v>28</v>
      </c>
      <c r="C538" s="157" t="s">
        <v>28</v>
      </c>
      <c r="D538" s="153" t="s">
        <v>40</v>
      </c>
      <c r="E538" s="156" t="s">
        <v>356</v>
      </c>
      <c r="F538" s="156" t="s">
        <v>421</v>
      </c>
      <c r="G538" s="155" t="str">
        <f>VLOOKUP(A538,Plano_V3!$A$27:$G$583,7,0)</f>
        <v>4. Validação EF</v>
      </c>
      <c r="H538" s="155" t="s">
        <v>479</v>
      </c>
      <c r="I538" s="164" t="s">
        <v>504</v>
      </c>
      <c r="J538" s="175" t="str">
        <f>IF(VLOOKUP(A538,'Aux - pivots1'!$A:$E,3,0)=0, "",VLOOKUP(A538,'Aux - pivots1'!$A:$E,3,0))</f>
        <v/>
      </c>
      <c r="K538" s="175" t="str">
        <f>IF(VLOOKUP(A538,'Aux - pivots1'!$A:$E,4,0)=0, "",VLOOKUP(A538,'Aux - pivots1'!$A:$E,4,0))</f>
        <v/>
      </c>
      <c r="L538" s="175" t="str">
        <f>IF(VLOOKUP(A538,'Aux - pivots1'!$A:$E,5,0)=0, "",VLOOKUP(A538,'Aux - pivots1'!$A:$E,5,0))</f>
        <v/>
      </c>
      <c r="M538" s="202"/>
    </row>
    <row r="539" spans="1:13" ht="16.2">
      <c r="A539" s="31" t="str">
        <f t="shared" si="11"/>
        <v>lt004_protectionrl_estt_clltrl_lctn</v>
      </c>
      <c r="B539" s="162" t="s">
        <v>28</v>
      </c>
      <c r="C539" s="157" t="s">
        <v>28</v>
      </c>
      <c r="D539" s="153" t="s">
        <v>40</v>
      </c>
      <c r="E539" s="156" t="s">
        <v>356</v>
      </c>
      <c r="F539" s="156" t="s">
        <v>422</v>
      </c>
      <c r="G539" s="155" t="str">
        <f>VLOOKUP(A539,Plano_V3!$A$27:$G$583,7,0)</f>
        <v>4. Validação EF</v>
      </c>
      <c r="H539" s="155" t="s">
        <v>479</v>
      </c>
      <c r="I539" s="164" t="s">
        <v>504</v>
      </c>
      <c r="J539" s="175" t="str">
        <f>IF(VLOOKUP(A539,'Aux - pivots1'!$A:$E,3,0)=0, "",VLOOKUP(A539,'Aux - pivots1'!$A:$E,3,0))</f>
        <v/>
      </c>
      <c r="K539" s="175" t="str">
        <f>IF(VLOOKUP(A539,'Aux - pivots1'!$A:$E,4,0)=0, "",VLOOKUP(A539,'Aux - pivots1'!$A:$E,4,0))</f>
        <v/>
      </c>
      <c r="L539" s="175" t="str">
        <f>IF(VLOOKUP(A539,'Aux - pivots1'!$A:$E,5,0)=0, "",VLOOKUP(A539,'Aux - pivots1'!$A:$E,5,0))</f>
        <v/>
      </c>
      <c r="M539" s="202"/>
    </row>
    <row r="540" spans="1:13" ht="16.2">
      <c r="A540" s="31" t="str">
        <f t="shared" si="11"/>
        <v>lt004_protectionrl_estt_pst_cd</v>
      </c>
      <c r="B540" s="162" t="s">
        <v>28</v>
      </c>
      <c r="C540" s="157" t="s">
        <v>28</v>
      </c>
      <c r="D540" s="153" t="s">
        <v>40</v>
      </c>
      <c r="E540" s="156" t="s">
        <v>356</v>
      </c>
      <c r="F540" s="156" t="s">
        <v>423</v>
      </c>
      <c r="G540" s="155" t="str">
        <f>VLOOKUP(A540,Plano_V3!$A$27:$G$583,7,0)</f>
        <v>4. Validação EF</v>
      </c>
      <c r="H540" s="155" t="s">
        <v>479</v>
      </c>
      <c r="I540" s="164" t="s">
        <v>504</v>
      </c>
      <c r="J540" s="175" t="str">
        <f>IF(VLOOKUP(A540,'Aux - pivots1'!$A:$E,3,0)=0, "",VLOOKUP(A540,'Aux - pivots1'!$A:$E,3,0))</f>
        <v/>
      </c>
      <c r="K540" s="175" t="str">
        <f>IF(VLOOKUP(A540,'Aux - pivots1'!$A:$E,4,0)=0, "",VLOOKUP(A540,'Aux - pivots1'!$A:$E,4,0))</f>
        <v/>
      </c>
      <c r="L540" s="175" t="str">
        <f>IF(VLOOKUP(A540,'Aux - pivots1'!$A:$E,5,0)=0, "",VLOOKUP(A540,'Aux - pivots1'!$A:$E,5,0))</f>
        <v/>
      </c>
      <c r="M540" s="202"/>
    </row>
    <row r="541" spans="1:13" ht="16.2">
      <c r="A541" s="31" t="str">
        <f t="shared" si="11"/>
        <v>lt004_protectiontyp_prtctn</v>
      </c>
      <c r="B541" s="162" t="s">
        <v>28</v>
      </c>
      <c r="C541" s="157" t="s">
        <v>28</v>
      </c>
      <c r="D541" s="153" t="s">
        <v>40</v>
      </c>
      <c r="E541" s="156" t="s">
        <v>356</v>
      </c>
      <c r="F541" s="156" t="s">
        <v>424</v>
      </c>
      <c r="G541" s="155" t="str">
        <f>VLOOKUP(A541,Plano_V3!$A$27:$G$583,7,0)</f>
        <v>4. Validação EF</v>
      </c>
      <c r="H541" s="155" t="s">
        <v>479</v>
      </c>
      <c r="I541" s="164" t="s">
        <v>504</v>
      </c>
      <c r="J541" s="175" t="str">
        <f>IF(VLOOKUP(A541,'Aux - pivots1'!$A:$E,3,0)=0, "",VLOOKUP(A541,'Aux - pivots1'!$A:$E,3,0))</f>
        <v/>
      </c>
      <c r="K541" s="175" t="str">
        <f>IF(VLOOKUP(A541,'Aux - pivots1'!$A:$E,4,0)=0, "",VLOOKUP(A541,'Aux - pivots1'!$A:$E,4,0))</f>
        <v/>
      </c>
      <c r="L541" s="175" t="str">
        <f>IF(VLOOKUP(A541,'Aux - pivots1'!$A:$E,5,0)=0, "",VLOOKUP(A541,'Aux - pivots1'!$A:$E,5,0))</f>
        <v/>
      </c>
      <c r="M541" s="202"/>
    </row>
    <row r="542" spans="1:13" ht="16.2">
      <c r="A542" s="31" t="str">
        <f t="shared" si="11"/>
        <v>lt004_protectionorgnl_prtctn_vl</v>
      </c>
      <c r="B542" s="162" t="s">
        <v>28</v>
      </c>
      <c r="C542" s="157" t="s">
        <v>28</v>
      </c>
      <c r="D542" s="153" t="s">
        <v>40</v>
      </c>
      <c r="E542" s="156" t="s">
        <v>356</v>
      </c>
      <c r="F542" s="156" t="s">
        <v>425</v>
      </c>
      <c r="G542" s="155" t="str">
        <f>VLOOKUP(A542,Plano_V3!$A$27:$G$583,7,0)</f>
        <v>4. Validação EF</v>
      </c>
      <c r="H542" s="155" t="s">
        <v>479</v>
      </c>
      <c r="I542" s="164" t="s">
        <v>504</v>
      </c>
      <c r="J542" s="175" t="str">
        <f>IF(VLOOKUP(A542,'Aux - pivots1'!$A:$E,3,0)=0, "",VLOOKUP(A542,'Aux - pivots1'!$A:$E,3,0))</f>
        <v/>
      </c>
      <c r="K542" s="175" t="str">
        <f>IF(VLOOKUP(A542,'Aux - pivots1'!$A:$E,4,0)=0, "",VLOOKUP(A542,'Aux - pivots1'!$A:$E,4,0))</f>
        <v/>
      </c>
      <c r="L542" s="175" t="str">
        <f>IF(VLOOKUP(A542,'Aux - pivots1'!$A:$E,5,0)=0, "",VLOOKUP(A542,'Aux - pivots1'!$A:$E,5,0))</f>
        <v/>
      </c>
      <c r="M542" s="202"/>
    </row>
    <row r="543" spans="1:13" ht="16.2">
      <c r="A543" s="31" t="str">
        <f t="shared" si="11"/>
        <v>lt004_protectionprtctn_vl</v>
      </c>
      <c r="B543" s="162" t="s">
        <v>28</v>
      </c>
      <c r="C543" s="157" t="s">
        <v>28</v>
      </c>
      <c r="D543" s="153" t="s">
        <v>40</v>
      </c>
      <c r="E543" s="156" t="s">
        <v>356</v>
      </c>
      <c r="F543" s="156" t="s">
        <v>426</v>
      </c>
      <c r="G543" s="155" t="str">
        <f>VLOOKUP(A543,Plano_V3!$A$27:$G$583,7,0)</f>
        <v>4. Validação EF</v>
      </c>
      <c r="H543" s="155" t="s">
        <v>479</v>
      </c>
      <c r="I543" s="164" t="s">
        <v>504</v>
      </c>
      <c r="J543" s="175" t="str">
        <f>IF(VLOOKUP(A543,'Aux - pivots1'!$A:$E,3,0)=0, "",VLOOKUP(A543,'Aux - pivots1'!$A:$E,3,0))</f>
        <v/>
      </c>
      <c r="K543" s="175" t="str">
        <f>IF(VLOOKUP(A543,'Aux - pivots1'!$A:$E,4,0)=0, "",VLOOKUP(A543,'Aux - pivots1'!$A:$E,4,0))</f>
        <v/>
      </c>
      <c r="L543" s="175" t="str">
        <f>IF(VLOOKUP(A543,'Aux - pivots1'!$A:$E,5,0)=0, "",VLOOKUP(A543,'Aux - pivots1'!$A:$E,5,0))</f>
        <v/>
      </c>
      <c r="M543" s="202"/>
    </row>
    <row r="544" spans="1:13" ht="16.2">
      <c r="A544" s="31" t="str">
        <f t="shared" si="11"/>
        <v>lt004_protectioncod_soc</v>
      </c>
      <c r="B544" s="162" t="s">
        <v>28</v>
      </c>
      <c r="C544" s="157" t="s">
        <v>28</v>
      </c>
      <c r="D544" s="153" t="s">
        <v>40</v>
      </c>
      <c r="E544" s="156" t="s">
        <v>356</v>
      </c>
      <c r="F544" s="156" t="s">
        <v>404</v>
      </c>
      <c r="G544" s="155" t="str">
        <f>VLOOKUP(A544,Plano_V3!$A$27:$G$583,7,0)</f>
        <v>4. Validação EF</v>
      </c>
      <c r="H544" s="155" t="s">
        <v>479</v>
      </c>
      <c r="I544" s="164" t="s">
        <v>504</v>
      </c>
      <c r="J544" s="175" t="str">
        <f>IF(VLOOKUP(A544,'Aux - pivots1'!$A:$E,3,0)=0, "",VLOOKUP(A544,'Aux - pivots1'!$A:$E,3,0))</f>
        <v/>
      </c>
      <c r="K544" s="175" t="str">
        <f>IF(VLOOKUP(A544,'Aux - pivots1'!$A:$E,4,0)=0, "",VLOOKUP(A544,'Aux - pivots1'!$A:$E,4,0))</f>
        <v/>
      </c>
      <c r="L544" s="175" t="str">
        <f>IF(VLOOKUP(A544,'Aux - pivots1'!$A:$E,5,0)=0, "",VLOOKUP(A544,'Aux - pivots1'!$A:$E,5,0))</f>
        <v/>
      </c>
      <c r="M544" s="202"/>
    </row>
    <row r="545" spans="1:13" ht="16.2">
      <c r="A545" s="31" t="str">
        <f t="shared" si="11"/>
        <v>lt005_instr_entdt_rfrnc</v>
      </c>
      <c r="B545" s="162" t="s">
        <v>28</v>
      </c>
      <c r="C545" s="157" t="s">
        <v>28</v>
      </c>
      <c r="D545" s="153" t="s">
        <v>40</v>
      </c>
      <c r="E545" s="156" t="s">
        <v>427</v>
      </c>
      <c r="F545" s="156" t="s">
        <v>386</v>
      </c>
      <c r="G545" s="155" t="str">
        <f>VLOOKUP(A545,Plano_V3!$A$27:$G$583,7,0)</f>
        <v>1. Concluído</v>
      </c>
      <c r="H545" s="155" t="s">
        <v>477</v>
      </c>
      <c r="I545" s="164" t="s">
        <v>504</v>
      </c>
      <c r="J545" s="175" t="str">
        <f>IF(VLOOKUP(A545,'Aux - pivots1'!$A:$E,3,0)=0, "",VLOOKUP(A545,'Aux - pivots1'!$A:$E,3,0))</f>
        <v/>
      </c>
      <c r="K545" s="175" t="str">
        <f>IF(VLOOKUP(A545,'Aux - pivots1'!$A:$E,4,0)=0, "",VLOOKUP(A545,'Aux - pivots1'!$A:$E,4,0))</f>
        <v/>
      </c>
      <c r="L545" s="175" t="str">
        <f>IF(VLOOKUP(A545,'Aux - pivots1'!$A:$E,5,0)=0, "",VLOOKUP(A545,'Aux - pivots1'!$A:$E,5,0))</f>
        <v/>
      </c>
      <c r="M545" s="202"/>
    </row>
    <row r="546" spans="1:13" ht="16.2">
      <c r="A546" s="31" t="str">
        <f t="shared" si="11"/>
        <v>lt005_instr_ententty_id</v>
      </c>
      <c r="B546" s="162" t="s">
        <v>28</v>
      </c>
      <c r="C546" s="157" t="s">
        <v>28</v>
      </c>
      <c r="D546" s="153" t="s">
        <v>40</v>
      </c>
      <c r="E546" s="156" t="s">
        <v>427</v>
      </c>
      <c r="F546" s="156" t="s">
        <v>413</v>
      </c>
      <c r="G546" s="155" t="str">
        <f>VLOOKUP(A546,Plano_V3!$A$27:$G$583,7,0)</f>
        <v>1. Concluído</v>
      </c>
      <c r="H546" s="155" t="s">
        <v>477</v>
      </c>
      <c r="I546" s="164" t="s">
        <v>504</v>
      </c>
      <c r="J546" s="175" t="str">
        <f>IF(VLOOKUP(A546,'Aux - pivots1'!$A:$E,3,0)=0, "",VLOOKUP(A546,'Aux - pivots1'!$A:$E,3,0))</f>
        <v/>
      </c>
      <c r="K546" s="175" t="str">
        <f>IF(VLOOKUP(A546,'Aux - pivots1'!$A:$E,4,0)=0, "",VLOOKUP(A546,'Aux - pivots1'!$A:$E,4,0))</f>
        <v/>
      </c>
      <c r="L546" s="175" t="str">
        <f>IF(VLOOKUP(A546,'Aux - pivots1'!$A:$E,5,0)=0, "",VLOOKUP(A546,'Aux - pivots1'!$A:$E,5,0))</f>
        <v/>
      </c>
      <c r="M546" s="202"/>
    </row>
    <row r="547" spans="1:13" ht="16.2">
      <c r="A547" s="31" t="str">
        <f t="shared" si="11"/>
        <v>lt005_instr_entinstrmnt_id</v>
      </c>
      <c r="B547" s="162" t="s">
        <v>28</v>
      </c>
      <c r="C547" s="157" t="s">
        <v>28</v>
      </c>
      <c r="D547" s="153" t="s">
        <v>40</v>
      </c>
      <c r="E547" s="156" t="s">
        <v>427</v>
      </c>
      <c r="F547" s="156" t="s">
        <v>388</v>
      </c>
      <c r="G547" s="155" t="str">
        <f>VLOOKUP(A547,Plano_V3!$A$27:$G$583,7,0)</f>
        <v>1. Concluído</v>
      </c>
      <c r="H547" s="155" t="s">
        <v>477</v>
      </c>
      <c r="I547" s="164" t="s">
        <v>504</v>
      </c>
      <c r="J547" s="175" t="str">
        <f>IF(VLOOKUP(A547,'Aux - pivots1'!$A:$E,3,0)=0, "",VLOOKUP(A547,'Aux - pivots1'!$A:$E,3,0))</f>
        <v/>
      </c>
      <c r="K547" s="175" t="str">
        <f>IF(VLOOKUP(A547,'Aux - pivots1'!$A:$E,4,0)=0, "",VLOOKUP(A547,'Aux - pivots1'!$A:$E,4,0))</f>
        <v/>
      </c>
      <c r="L547" s="175" t="str">
        <f>IF(VLOOKUP(A547,'Aux - pivots1'!$A:$E,5,0)=0, "",VLOOKUP(A547,'Aux - pivots1'!$A:$E,5,0))</f>
        <v/>
      </c>
      <c r="M547" s="202"/>
    </row>
    <row r="548" spans="1:13" ht="16.2">
      <c r="A548" s="31" t="str">
        <f t="shared" si="11"/>
        <v>lt005_instr_entcod_soc</v>
      </c>
      <c r="B548" s="162" t="s">
        <v>28</v>
      </c>
      <c r="C548" s="157" t="s">
        <v>28</v>
      </c>
      <c r="D548" s="153" t="s">
        <v>40</v>
      </c>
      <c r="E548" s="156" t="s">
        <v>427</v>
      </c>
      <c r="F548" s="156" t="s">
        <v>404</v>
      </c>
      <c r="G548" s="155" t="str">
        <f>VLOOKUP(A548,Plano_V3!$A$27:$G$583,7,0)</f>
        <v>1. Concluído</v>
      </c>
      <c r="H548" s="155" t="s">
        <v>477</v>
      </c>
      <c r="I548" s="164" t="s">
        <v>504</v>
      </c>
      <c r="J548" s="175" t="str">
        <f>IF(VLOOKUP(A548,'Aux - pivots1'!$A:$E,3,0)=0, "",VLOOKUP(A548,'Aux - pivots1'!$A:$E,3,0))</f>
        <v/>
      </c>
      <c r="K548" s="175" t="str">
        <f>IF(VLOOKUP(A548,'Aux - pivots1'!$A:$E,4,0)=0, "",VLOOKUP(A548,'Aux - pivots1'!$A:$E,4,0))</f>
        <v/>
      </c>
      <c r="L548" s="175" t="str">
        <f>IF(VLOOKUP(A548,'Aux - pivots1'!$A:$E,5,0)=0, "",VLOOKUP(A548,'Aux - pivots1'!$A:$E,5,0))</f>
        <v/>
      </c>
      <c r="M548" s="202"/>
    </row>
    <row r="549" spans="1:13" ht="16.2">
      <c r="A549" s="31" t="str">
        <f t="shared" si="11"/>
        <v>lt005_instr_entmn_entty_id</v>
      </c>
      <c r="B549" s="162" t="s">
        <v>28</v>
      </c>
      <c r="C549" s="157" t="s">
        <v>28</v>
      </c>
      <c r="D549" s="153" t="s">
        <v>40</v>
      </c>
      <c r="E549" s="156" t="s">
        <v>427</v>
      </c>
      <c r="F549" s="156" t="s">
        <v>428</v>
      </c>
      <c r="G549" s="155" t="str">
        <f>VLOOKUP(A549,Plano_V3!$A$27:$G$583,7,0)</f>
        <v>1. Concluído</v>
      </c>
      <c r="H549" s="155" t="s">
        <v>477</v>
      </c>
      <c r="I549" s="164" t="s">
        <v>504</v>
      </c>
      <c r="J549" s="175" t="str">
        <f>IF(VLOOKUP(A549,'Aux - pivots1'!$A:$E,3,0)=0, "",VLOOKUP(A549,'Aux - pivots1'!$A:$E,3,0))</f>
        <v/>
      </c>
      <c r="K549" s="175" t="str">
        <f>IF(VLOOKUP(A549,'Aux - pivots1'!$A:$E,4,0)=0, "",VLOOKUP(A549,'Aux - pivots1'!$A:$E,4,0))</f>
        <v/>
      </c>
      <c r="L549" s="175" t="str">
        <f>IF(VLOOKUP(A549,'Aux - pivots1'!$A:$E,5,0)=0, "",VLOOKUP(A549,'Aux - pivots1'!$A:$E,5,0))</f>
        <v/>
      </c>
      <c r="M549" s="202"/>
    </row>
    <row r="550" spans="1:13" ht="16.2">
      <c r="A550" s="31" t="str">
        <f t="shared" si="11"/>
        <v>lt006_instr_protdt_rfrnc</v>
      </c>
      <c r="B550" s="162" t="s">
        <v>28</v>
      </c>
      <c r="C550" s="157" t="s">
        <v>28</v>
      </c>
      <c r="D550" s="153" t="s">
        <v>40</v>
      </c>
      <c r="E550" s="156" t="s">
        <v>429</v>
      </c>
      <c r="F550" s="156" t="s">
        <v>386</v>
      </c>
      <c r="G550" s="155" t="str">
        <f>VLOOKUP(A550,Plano_V3!$A$27:$G$583,7,0)</f>
        <v>1. Concluído</v>
      </c>
      <c r="H550" s="155" t="s">
        <v>477</v>
      </c>
      <c r="I550" s="164" t="s">
        <v>504</v>
      </c>
      <c r="J550" s="175" t="str">
        <f>IF(VLOOKUP(A550,'Aux - pivots1'!$A:$E,3,0)=0, "",VLOOKUP(A550,'Aux - pivots1'!$A:$E,3,0))</f>
        <v/>
      </c>
      <c r="K550" s="175" t="str">
        <f>IF(VLOOKUP(A550,'Aux - pivots1'!$A:$E,4,0)=0, "",VLOOKUP(A550,'Aux - pivots1'!$A:$E,4,0))</f>
        <v/>
      </c>
      <c r="L550" s="175" t="str">
        <f>IF(VLOOKUP(A550,'Aux - pivots1'!$A:$E,5,0)=0, "",VLOOKUP(A550,'Aux - pivots1'!$A:$E,5,0))</f>
        <v/>
      </c>
      <c r="M550" s="202"/>
    </row>
    <row r="551" spans="1:13" ht="16.2">
      <c r="A551" s="31" t="str">
        <f t="shared" si="11"/>
        <v>lt006_instr_protinstrmnt_id</v>
      </c>
      <c r="B551" s="162" t="s">
        <v>28</v>
      </c>
      <c r="C551" s="157" t="s">
        <v>28</v>
      </c>
      <c r="D551" s="153" t="s">
        <v>40</v>
      </c>
      <c r="E551" s="156" t="s">
        <v>429</v>
      </c>
      <c r="F551" s="156" t="s">
        <v>388</v>
      </c>
      <c r="G551" s="155" t="str">
        <f>VLOOKUP(A551,Plano_V3!$A$27:$G$583,7,0)</f>
        <v>1. Concluído</v>
      </c>
      <c r="H551" s="155" t="s">
        <v>477</v>
      </c>
      <c r="I551" s="164" t="s">
        <v>504</v>
      </c>
      <c r="J551" s="175" t="str">
        <f>IF(VLOOKUP(A551,'Aux - pivots1'!$A:$E,3,0)=0, "",VLOOKUP(A551,'Aux - pivots1'!$A:$E,3,0))</f>
        <v/>
      </c>
      <c r="K551" s="175" t="str">
        <f>IF(VLOOKUP(A551,'Aux - pivots1'!$A:$E,4,0)=0, "",VLOOKUP(A551,'Aux - pivots1'!$A:$E,4,0))</f>
        <v/>
      </c>
      <c r="L551" s="175" t="str">
        <f>IF(VLOOKUP(A551,'Aux - pivots1'!$A:$E,5,0)=0, "",VLOOKUP(A551,'Aux - pivots1'!$A:$E,5,0))</f>
        <v/>
      </c>
      <c r="M551" s="202"/>
    </row>
    <row r="552" spans="1:13" ht="16.2">
      <c r="A552" s="31" t="str">
        <f t="shared" si="11"/>
        <v>lt006_instr_protprtctn_id</v>
      </c>
      <c r="B552" s="162" t="s">
        <v>28</v>
      </c>
      <c r="C552" s="157" t="s">
        <v>28</v>
      </c>
      <c r="D552" s="153" t="s">
        <v>40</v>
      </c>
      <c r="E552" s="156" t="s">
        <v>429</v>
      </c>
      <c r="F552" s="156" t="s">
        <v>421</v>
      </c>
      <c r="G552" s="155" t="str">
        <f>VLOOKUP(A552,Plano_V3!$A$27:$G$583,7,0)</f>
        <v>1. Concluído</v>
      </c>
      <c r="H552" s="155" t="s">
        <v>477</v>
      </c>
      <c r="I552" s="164" t="s">
        <v>504</v>
      </c>
      <c r="J552" s="175" t="str">
        <f>IF(VLOOKUP(A552,'Aux - pivots1'!$A:$E,3,0)=0, "",VLOOKUP(A552,'Aux - pivots1'!$A:$E,3,0))</f>
        <v/>
      </c>
      <c r="K552" s="175" t="str">
        <f>IF(VLOOKUP(A552,'Aux - pivots1'!$A:$E,4,0)=0, "",VLOOKUP(A552,'Aux - pivots1'!$A:$E,4,0))</f>
        <v/>
      </c>
      <c r="L552" s="175" t="str">
        <f>IF(VLOOKUP(A552,'Aux - pivots1'!$A:$E,5,0)=0, "",VLOOKUP(A552,'Aux - pivots1'!$A:$E,5,0))</f>
        <v/>
      </c>
      <c r="M552" s="202"/>
    </row>
    <row r="553" spans="1:13" ht="16.2">
      <c r="A553" s="31" t="str">
        <f t="shared" si="11"/>
        <v>lt006_instr_protprtctn_allctd_vl</v>
      </c>
      <c r="B553" s="162" t="s">
        <v>28</v>
      </c>
      <c r="C553" s="157" t="s">
        <v>28</v>
      </c>
      <c r="D553" s="153" t="s">
        <v>40</v>
      </c>
      <c r="E553" s="156" t="s">
        <v>429</v>
      </c>
      <c r="F553" s="156" t="s">
        <v>430</v>
      </c>
      <c r="G553" s="155" t="str">
        <f>VLOOKUP(A553,Plano_V3!$A$27:$G$583,7,0)</f>
        <v>1. Concluído</v>
      </c>
      <c r="H553" s="155" t="s">
        <v>477</v>
      </c>
      <c r="I553" s="164" t="s">
        <v>504</v>
      </c>
      <c r="J553" s="175" t="str">
        <f>IF(VLOOKUP(A553,'Aux - pivots1'!$A:$E,3,0)=0, "",VLOOKUP(A553,'Aux - pivots1'!$A:$E,3,0))</f>
        <v/>
      </c>
      <c r="K553" s="175" t="str">
        <f>IF(VLOOKUP(A553,'Aux - pivots1'!$A:$E,4,0)=0, "",VLOOKUP(A553,'Aux - pivots1'!$A:$E,4,0))</f>
        <v/>
      </c>
      <c r="L553" s="175" t="str">
        <f>IF(VLOOKUP(A553,'Aux - pivots1'!$A:$E,5,0)=0, "",VLOOKUP(A553,'Aux - pivots1'!$A:$E,5,0))</f>
        <v/>
      </c>
      <c r="M553" s="202"/>
    </row>
    <row r="554" spans="1:13" ht="16.2">
      <c r="A554" s="31" t="str">
        <f t="shared" si="11"/>
        <v>lt006_instr_protcod_soc</v>
      </c>
      <c r="B554" s="162" t="s">
        <v>28</v>
      </c>
      <c r="C554" s="157" t="s">
        <v>28</v>
      </c>
      <c r="D554" s="153" t="s">
        <v>40</v>
      </c>
      <c r="E554" s="156" t="s">
        <v>429</v>
      </c>
      <c r="F554" s="156" t="s">
        <v>404</v>
      </c>
      <c r="G554" s="155" t="str">
        <f>VLOOKUP(A554,Plano_V3!$A$27:$G$583,7,0)</f>
        <v>1. Concluído</v>
      </c>
      <c r="H554" s="155" t="s">
        <v>477</v>
      </c>
      <c r="I554" s="164" t="s">
        <v>504</v>
      </c>
      <c r="J554" s="175" t="str">
        <f>IF(VLOOKUP(A554,'Aux - pivots1'!$A:$E,3,0)=0, "",VLOOKUP(A554,'Aux - pivots1'!$A:$E,3,0))</f>
        <v/>
      </c>
      <c r="K554" s="175" t="str">
        <f>IF(VLOOKUP(A554,'Aux - pivots1'!$A:$E,4,0)=0, "",VLOOKUP(A554,'Aux - pivots1'!$A:$E,4,0))</f>
        <v/>
      </c>
      <c r="L554" s="175" t="str">
        <f>IF(VLOOKUP(A554,'Aux - pivots1'!$A:$E,5,0)=0, "",VLOOKUP(A554,'Aux - pivots1'!$A:$E,5,0))</f>
        <v/>
      </c>
      <c r="M554" s="202"/>
    </row>
    <row r="555" spans="1:13" ht="16.2">
      <c r="A555" s="31" t="str">
        <f t="shared" si="11"/>
        <v>lt002_insrmntn.a.</v>
      </c>
      <c r="B555" s="162" t="s">
        <v>32</v>
      </c>
      <c r="C555" s="157" t="s">
        <v>32</v>
      </c>
      <c r="D555" s="153" t="s">
        <v>36</v>
      </c>
      <c r="E555" s="156" t="s">
        <v>439</v>
      </c>
      <c r="F555" s="156" t="s">
        <v>38</v>
      </c>
      <c r="G555" s="155" t="str">
        <f>VLOOKUP(A555,Plano_V1!$A$584:$G$636,7,0)</f>
        <v>2. Em Teste</v>
      </c>
      <c r="H555" s="155" t="s">
        <v>177</v>
      </c>
      <c r="I555" s="164"/>
      <c r="J555" s="175" t="str">
        <f>IF(VLOOKUP(A555,'Aux - pivots1'!$A:$E,3,0)=0, "",VLOOKUP(A555,'Aux - pivots1'!$A:$E,3,0))</f>
        <v/>
      </c>
      <c r="K555" s="175" t="str">
        <f>IF(VLOOKUP(A555,'Aux - pivots1'!$A:$E,4,0)=0, "",VLOOKUP(A555,'Aux - pivots1'!$A:$E,4,0))</f>
        <v/>
      </c>
      <c r="L555" s="175" t="str">
        <f>IF(VLOOKUP(A555,'Aux - pivots1'!$A:$E,5,0)=0, "",VLOOKUP(A555,'Aux - pivots1'!$A:$E,5,0))</f>
        <v/>
      </c>
      <c r="M555" s="202"/>
    </row>
    <row r="556" spans="1:13" ht="16.2">
      <c r="A556" s="31" t="str">
        <f t="shared" si="11"/>
        <v>lt002_insrmntsstnbl_ctgry</v>
      </c>
      <c r="B556" s="162" t="s">
        <v>32</v>
      </c>
      <c r="C556" s="157" t="s">
        <v>32</v>
      </c>
      <c r="D556" s="153" t="s">
        <v>40</v>
      </c>
      <c r="E556" s="156" t="s">
        <v>439</v>
      </c>
      <c r="F556" s="156" t="s">
        <v>407</v>
      </c>
      <c r="G556" s="155" t="str">
        <f>VLOOKUP(A556,Plano_V1!$A$584:$G$636,7,0)</f>
        <v>3. Pendente de outros desenvolvimentos</v>
      </c>
      <c r="H556" s="155" t="s">
        <v>478</v>
      </c>
      <c r="I556" s="164"/>
      <c r="J556" s="175" t="str">
        <f>IF(VLOOKUP(A556,'Aux - pivots1'!$A:$E,3,0)=0, "",VLOOKUP(A556,'Aux - pivots1'!$A:$E,3,0))</f>
        <v/>
      </c>
      <c r="K556" s="175" t="str">
        <f>IF(VLOOKUP(A556,'Aux - pivots1'!$A:$E,4,0)=0, "",VLOOKUP(A556,'Aux - pivots1'!$A:$E,4,0))</f>
        <v/>
      </c>
      <c r="L556" s="175" t="str">
        <f>IF(VLOOKUP(A556,'Aux - pivots1'!$A:$E,5,0)=0, "",VLOOKUP(A556,'Aux - pivots1'!$A:$E,5,0))</f>
        <v/>
      </c>
      <c r="M556" s="202"/>
    </row>
    <row r="557" spans="1:13" ht="16.2">
      <c r="A557" s="31" t="str">
        <f t="shared" si="11"/>
        <v>lt002_insrmntdflt_stts_instrmnt</v>
      </c>
      <c r="B557" s="162" t="s">
        <v>32</v>
      </c>
      <c r="C557" s="157" t="s">
        <v>32</v>
      </c>
      <c r="D557" s="153" t="s">
        <v>40</v>
      </c>
      <c r="E557" s="156" t="s">
        <v>439</v>
      </c>
      <c r="F557" s="156" t="s">
        <v>390</v>
      </c>
      <c r="G557" s="155" t="str">
        <f>VLOOKUP(A557,Plano_V1!$A$584:$G$636,7,0)</f>
        <v>1. Concluído</v>
      </c>
      <c r="H557" s="155" t="s">
        <v>477</v>
      </c>
      <c r="I557" s="179"/>
      <c r="J557" s="175" t="str">
        <f>IF(VLOOKUP(A557,'Aux - pivots1'!$A:$E,3,0)=0, "",VLOOKUP(A557,'Aux - pivots1'!$A:$E,3,0))</f>
        <v/>
      </c>
      <c r="K557" s="175" t="str">
        <f>IF(VLOOKUP(A557,'Aux - pivots1'!$A:$E,4,0)=0, "",VLOOKUP(A557,'Aux - pivots1'!$A:$E,4,0))</f>
        <v/>
      </c>
      <c r="L557" s="175" t="str">
        <f>IF(VLOOKUP(A557,'Aux - pivots1'!$A:$E,5,0)=0, "",VLOOKUP(A557,'Aux - pivots1'!$A:$E,5,0))</f>
        <v/>
      </c>
      <c r="M557" s="202"/>
    </row>
    <row r="558" spans="1:13" ht="16.2">
      <c r="A558" s="31" t="str">
        <f t="shared" si="11"/>
        <v>lt002_insrmntaccmltd_chngs_fv_cr_instrmnt</v>
      </c>
      <c r="B558" s="162" t="s">
        <v>32</v>
      </c>
      <c r="C558" s="157" t="s">
        <v>32</v>
      </c>
      <c r="D558" s="153" t="s">
        <v>40</v>
      </c>
      <c r="E558" s="156" t="s">
        <v>439</v>
      </c>
      <c r="F558" s="156" t="s">
        <v>396</v>
      </c>
      <c r="G558" s="155" t="str">
        <f>VLOOKUP(A558,Plano_V1!$A$584:$G$636,7,0)</f>
        <v>1. Concluído</v>
      </c>
      <c r="H558" s="155" t="s">
        <v>477</v>
      </c>
      <c r="I558" s="179"/>
      <c r="J558" s="175" t="str">
        <f>IF(VLOOKUP(A558,'Aux - pivots1'!$A:$E,3,0)=0, "",VLOOKUP(A558,'Aux - pivots1'!$A:$E,3,0))</f>
        <v/>
      </c>
      <c r="K558" s="175" t="str">
        <f>IF(VLOOKUP(A558,'Aux - pivots1'!$A:$E,4,0)=0, "",VLOOKUP(A558,'Aux - pivots1'!$A:$E,4,0))</f>
        <v/>
      </c>
      <c r="L558" s="175" t="str">
        <f>IF(VLOOKUP(A558,'Aux - pivots1'!$A:$E,5,0)=0, "",VLOOKUP(A558,'Aux - pivots1'!$A:$E,5,0))</f>
        <v/>
      </c>
      <c r="M558" s="202"/>
    </row>
    <row r="559" spans="1:13" ht="16.2">
      <c r="A559" s="31" t="str">
        <f t="shared" si="11"/>
        <v>lt002_insrmntaccmltd_imprmnt_instrmnt</v>
      </c>
      <c r="B559" s="162" t="s">
        <v>32</v>
      </c>
      <c r="C559" s="157" t="s">
        <v>32</v>
      </c>
      <c r="D559" s="153" t="s">
        <v>40</v>
      </c>
      <c r="E559" s="156" t="s">
        <v>439</v>
      </c>
      <c r="F559" s="156" t="s">
        <v>399</v>
      </c>
      <c r="G559" s="155" t="str">
        <f>VLOOKUP(A559,Plano_V1!$A$584:$G$636,7,0)</f>
        <v>1. Concluído</v>
      </c>
      <c r="H559" s="155" t="s">
        <v>477</v>
      </c>
      <c r="I559" s="179"/>
      <c r="J559" s="175" t="str">
        <f>IF(VLOOKUP(A559,'Aux - pivots1'!$A:$E,3,0)=0, "",VLOOKUP(A559,'Aux - pivots1'!$A:$E,3,0))</f>
        <v/>
      </c>
      <c r="K559" s="175" t="str">
        <f>IF(VLOOKUP(A559,'Aux - pivots1'!$A:$E,4,0)=0, "",VLOOKUP(A559,'Aux - pivots1'!$A:$E,4,0))</f>
        <v/>
      </c>
      <c r="L559" s="175" t="str">
        <f>IF(VLOOKUP(A559,'Aux - pivots1'!$A:$E,5,0)=0, "",VLOOKUP(A559,'Aux - pivots1'!$A:$E,5,0))</f>
        <v/>
      </c>
      <c r="M559" s="202"/>
    </row>
    <row r="560" spans="1:13" ht="16.2">
      <c r="A560" s="31" t="str">
        <f t="shared" si="11"/>
        <v>lt002_insrmntaccntng_clssfctn</v>
      </c>
      <c r="B560" s="162" t="s">
        <v>32</v>
      </c>
      <c r="C560" s="157" t="s">
        <v>32</v>
      </c>
      <c r="D560" s="153" t="s">
        <v>40</v>
      </c>
      <c r="E560" s="156" t="s">
        <v>439</v>
      </c>
      <c r="F560" s="156" t="s">
        <v>397</v>
      </c>
      <c r="G560" s="155" t="str">
        <f>VLOOKUP(A560,Plano_V1!$A$584:$G$636,7,0)</f>
        <v>1. Concluído</v>
      </c>
      <c r="H560" s="155" t="s">
        <v>477</v>
      </c>
      <c r="I560" s="179"/>
      <c r="J560" s="175" t="str">
        <f>IF(VLOOKUP(A560,'Aux - pivots1'!$A:$E,3,0)=0, "",VLOOKUP(A560,'Aux - pivots1'!$A:$E,3,0))</f>
        <v/>
      </c>
      <c r="K560" s="175" t="str">
        <f>IF(VLOOKUP(A560,'Aux - pivots1'!$A:$E,4,0)=0, "",VLOOKUP(A560,'Aux - pivots1'!$A:$E,4,0))</f>
        <v/>
      </c>
      <c r="L560" s="175" t="str">
        <f>IF(VLOOKUP(A560,'Aux - pivots1'!$A:$E,5,0)=0, "",VLOOKUP(A560,'Aux - pivots1'!$A:$E,5,0))</f>
        <v/>
      </c>
      <c r="M560" s="202"/>
    </row>
    <row r="561" spans="1:13" ht="16.2">
      <c r="A561" s="31" t="str">
        <f t="shared" si="11"/>
        <v>lt002_insrmntcod_soc</v>
      </c>
      <c r="B561" s="162" t="s">
        <v>32</v>
      </c>
      <c r="C561" s="157" t="s">
        <v>32</v>
      </c>
      <c r="D561" s="153" t="s">
        <v>40</v>
      </c>
      <c r="E561" s="156" t="s">
        <v>439</v>
      </c>
      <c r="F561" s="156" t="s">
        <v>404</v>
      </c>
      <c r="G561" s="155" t="str">
        <f>VLOOKUP(A561,Plano_V1!$A$584:$G$636,7,0)</f>
        <v>1. Concluído</v>
      </c>
      <c r="H561" s="155" t="s">
        <v>477</v>
      </c>
      <c r="I561" s="179"/>
      <c r="J561" s="175" t="str">
        <f>IF(VLOOKUP(A561,'Aux - pivots1'!$A:$E,3,0)=0, "",VLOOKUP(A561,'Aux - pivots1'!$A:$E,3,0))</f>
        <v/>
      </c>
      <c r="K561" s="175" t="str">
        <f>IF(VLOOKUP(A561,'Aux - pivots1'!$A:$E,4,0)=0, "",VLOOKUP(A561,'Aux - pivots1'!$A:$E,4,0))</f>
        <v/>
      </c>
      <c r="L561" s="175" t="str">
        <f>IF(VLOOKUP(A561,'Aux - pivots1'!$A:$E,5,0)=0, "",VLOOKUP(A561,'Aux - pivots1'!$A:$E,5,0))</f>
        <v/>
      </c>
      <c r="M561" s="202"/>
    </row>
    <row r="562" spans="1:13" ht="16.2">
      <c r="A562" s="31" t="str">
        <f t="shared" si="11"/>
        <v>lt002_insrmntdt_rfrnc</v>
      </c>
      <c r="B562" s="162" t="s">
        <v>32</v>
      </c>
      <c r="C562" s="157" t="s">
        <v>32</v>
      </c>
      <c r="D562" s="153" t="s">
        <v>40</v>
      </c>
      <c r="E562" s="156" t="s">
        <v>439</v>
      </c>
      <c r="F562" s="156" t="s">
        <v>386</v>
      </c>
      <c r="G562" s="155" t="str">
        <f>VLOOKUP(A562,Plano_V1!$A$584:$G$636,7,0)</f>
        <v>1. Concluído</v>
      </c>
      <c r="H562" s="155" t="s">
        <v>477</v>
      </c>
      <c r="I562" s="179"/>
      <c r="J562" s="175" t="str">
        <f>IF(VLOOKUP(A562,'Aux - pivots1'!$A:$E,3,0)=0, "",VLOOKUP(A562,'Aux - pivots1'!$A:$E,3,0))</f>
        <v/>
      </c>
      <c r="K562" s="175" t="str">
        <f>IF(VLOOKUP(A562,'Aux - pivots1'!$A:$E,4,0)=0, "",VLOOKUP(A562,'Aux - pivots1'!$A:$E,4,0))</f>
        <v/>
      </c>
      <c r="L562" s="175" t="str">
        <f>IF(VLOOKUP(A562,'Aux - pivots1'!$A:$E,5,0)=0, "",VLOOKUP(A562,'Aux - pivots1'!$A:$E,5,0))</f>
        <v/>
      </c>
      <c r="M562" s="202"/>
    </row>
    <row r="563" spans="1:13" ht="16.2">
      <c r="A563" s="31" t="str">
        <f t="shared" si="11"/>
        <v>lt002_insrmntgrss_crryng_amnt_instrmnt</v>
      </c>
      <c r="B563" s="162" t="s">
        <v>32</v>
      </c>
      <c r="C563" s="157" t="s">
        <v>32</v>
      </c>
      <c r="D563" s="153" t="s">
        <v>40</v>
      </c>
      <c r="E563" s="156" t="s">
        <v>439</v>
      </c>
      <c r="F563" s="156" t="s">
        <v>395</v>
      </c>
      <c r="G563" s="155" t="str">
        <f>VLOOKUP(A563,Plano_V1!$A$584:$G$636,7,0)</f>
        <v>1. Concluído</v>
      </c>
      <c r="H563" s="155" t="s">
        <v>477</v>
      </c>
      <c r="I563" s="179"/>
      <c r="J563" s="175" t="str">
        <f>IF(VLOOKUP(A563,'Aux - pivots1'!$A:$E,3,0)=0, "",VLOOKUP(A563,'Aux - pivots1'!$A:$E,3,0))</f>
        <v/>
      </c>
      <c r="K563" s="175" t="str">
        <f>IF(VLOOKUP(A563,'Aux - pivots1'!$A:$E,4,0)=0, "",VLOOKUP(A563,'Aux - pivots1'!$A:$E,4,0))</f>
        <v/>
      </c>
      <c r="L563" s="175" t="str">
        <f>IF(VLOOKUP(A563,'Aux - pivots1'!$A:$E,5,0)=0, "",VLOOKUP(A563,'Aux - pivots1'!$A:$E,5,0))</f>
        <v/>
      </c>
      <c r="M563" s="202"/>
    </row>
    <row r="564" spans="1:13" ht="16.2">
      <c r="A564" s="31" t="str">
        <f t="shared" si="11"/>
        <v>lt002_insrmntidcmb</v>
      </c>
      <c r="B564" s="162" t="s">
        <v>32</v>
      </c>
      <c r="C564" s="157" t="s">
        <v>32</v>
      </c>
      <c r="D564" s="153" t="s">
        <v>40</v>
      </c>
      <c r="E564" s="156" t="s">
        <v>439</v>
      </c>
      <c r="F564" s="156" t="s">
        <v>411</v>
      </c>
      <c r="G564" s="155" t="str">
        <f>VLOOKUP(A564,Plano_V1!$A$584:$G$636,7,0)</f>
        <v>1. Concluído</v>
      </c>
      <c r="H564" s="155" t="s">
        <v>477</v>
      </c>
      <c r="I564" s="179"/>
      <c r="J564" s="175" t="str">
        <f>IF(VLOOKUP(A564,'Aux - pivots1'!$A:$E,3,0)=0, "",VLOOKUP(A564,'Aux - pivots1'!$A:$E,3,0))</f>
        <v/>
      </c>
      <c r="K564" s="175" t="str">
        <f>IF(VLOOKUP(A564,'Aux - pivots1'!$A:$E,4,0)=0, "",VLOOKUP(A564,'Aux - pivots1'!$A:$E,4,0))</f>
        <v/>
      </c>
      <c r="L564" s="175" t="str">
        <f>IF(VLOOKUP(A564,'Aux - pivots1'!$A:$E,5,0)=0, "",VLOOKUP(A564,'Aux - pivots1'!$A:$E,5,0))</f>
        <v/>
      </c>
      <c r="M564" s="202"/>
    </row>
    <row r="565" spans="1:13" ht="16.2">
      <c r="A565" s="31" t="str">
        <f t="shared" si="11"/>
        <v>lt002_insrmntimprmnt_stts</v>
      </c>
      <c r="B565" s="162" t="s">
        <v>32</v>
      </c>
      <c r="C565" s="157" t="s">
        <v>32</v>
      </c>
      <c r="D565" s="153" t="s">
        <v>40</v>
      </c>
      <c r="E565" s="156" t="s">
        <v>439</v>
      </c>
      <c r="F565" s="156" t="s">
        <v>391</v>
      </c>
      <c r="G565" s="155" t="str">
        <f>VLOOKUP(A565,Plano_V1!$A$584:$G$636,7,0)</f>
        <v>1. Concluído</v>
      </c>
      <c r="H565" s="155" t="s">
        <v>477</v>
      </c>
      <c r="I565" s="179"/>
      <c r="J565" s="175" t="str">
        <f>IF(VLOOKUP(A565,'Aux - pivots1'!$A:$E,3,0)=0, "",VLOOKUP(A565,'Aux - pivots1'!$A:$E,3,0))</f>
        <v/>
      </c>
      <c r="K565" s="175" t="str">
        <f>IF(VLOOKUP(A565,'Aux - pivots1'!$A:$E,4,0)=0, "",VLOOKUP(A565,'Aux - pivots1'!$A:$E,4,0))</f>
        <v/>
      </c>
      <c r="L565" s="175" t="str">
        <f>IF(VLOOKUP(A565,'Aux - pivots1'!$A:$E,5,0)=0, "",VLOOKUP(A565,'Aux - pivots1'!$A:$E,5,0))</f>
        <v/>
      </c>
      <c r="M565" s="202"/>
    </row>
    <row r="566" spans="1:13" ht="16.2">
      <c r="A566" s="31" t="str">
        <f t="shared" si="11"/>
        <v>lt002_insrmntinstrmnt_id</v>
      </c>
      <c r="B566" s="162" t="s">
        <v>32</v>
      </c>
      <c r="C566" s="157" t="s">
        <v>32</v>
      </c>
      <c r="D566" s="153" t="s">
        <v>40</v>
      </c>
      <c r="E566" s="156" t="s">
        <v>439</v>
      </c>
      <c r="F566" s="156" t="s">
        <v>388</v>
      </c>
      <c r="G566" s="155" t="str">
        <f>VLOOKUP(A566,Plano_V1!$A$584:$G$636,7,0)</f>
        <v>2. Em Teste</v>
      </c>
      <c r="H566" s="155" t="s">
        <v>177</v>
      </c>
      <c r="I566" s="164"/>
      <c r="J566" s="175" t="str">
        <f>IF(VLOOKUP(A566,'Aux - pivots1'!$A:$E,3,0)=0, "",VLOOKUP(A566,'Aux - pivots1'!$A:$E,3,0))</f>
        <v/>
      </c>
      <c r="K566" s="175" t="str">
        <f>IF(VLOOKUP(A566,'Aux - pivots1'!$A:$E,4,0)=0, "",VLOOKUP(A566,'Aux - pivots1'!$A:$E,4,0))</f>
        <v/>
      </c>
      <c r="L566" s="175" t="str">
        <f>IF(VLOOKUP(A566,'Aux - pivots1'!$A:$E,5,0)=0, "",VLOOKUP(A566,'Aux - pivots1'!$A:$E,5,0))</f>
        <v/>
      </c>
      <c r="M566" s="202"/>
    </row>
    <row r="567" spans="1:13" ht="16.2">
      <c r="A567" s="31" t="str">
        <f t="shared" si="11"/>
        <v>lt002_insrmntlcl_instmrnt_id</v>
      </c>
      <c r="B567" s="162" t="s">
        <v>32</v>
      </c>
      <c r="C567" s="157" t="s">
        <v>32</v>
      </c>
      <c r="D567" s="153" t="s">
        <v>40</v>
      </c>
      <c r="E567" s="156" t="s">
        <v>439</v>
      </c>
      <c r="F567" s="156" t="s">
        <v>405</v>
      </c>
      <c r="G567" s="155" t="str">
        <f>VLOOKUP(A567,Plano_V1!$A$584:$G$636,7,0)</f>
        <v>1. Concluído</v>
      </c>
      <c r="H567" s="155" t="s">
        <v>477</v>
      </c>
      <c r="I567" s="179"/>
      <c r="J567" s="175" t="str">
        <f>IF(VLOOKUP(A567,'Aux - pivots1'!$A:$E,3,0)=0, "",VLOOKUP(A567,'Aux - pivots1'!$A:$E,3,0))</f>
        <v/>
      </c>
      <c r="K567" s="175" t="str">
        <f>IF(VLOOKUP(A567,'Aux - pivots1'!$A:$E,4,0)=0, "",VLOOKUP(A567,'Aux - pivots1'!$A:$E,4,0))</f>
        <v/>
      </c>
      <c r="L567" s="175" t="str">
        <f>IF(VLOOKUP(A567,'Aux - pivots1'!$A:$E,5,0)=0, "",VLOOKUP(A567,'Aux - pivots1'!$A:$E,5,0))</f>
        <v/>
      </c>
      <c r="M567" s="202"/>
    </row>
    <row r="568" spans="1:13" ht="16.2">
      <c r="A568" s="31" t="str">
        <f t="shared" si="11"/>
        <v>lt002_insrmntoff_blnc_sht_amnt_instrmnt</v>
      </c>
      <c r="B568" s="162" t="s">
        <v>32</v>
      </c>
      <c r="C568" s="157" t="s">
        <v>32</v>
      </c>
      <c r="D568" s="153" t="s">
        <v>40</v>
      </c>
      <c r="E568" s="156" t="s">
        <v>439</v>
      </c>
      <c r="F568" s="156" t="s">
        <v>440</v>
      </c>
      <c r="G568" s="155" t="str">
        <f>VLOOKUP(A568,Plano_V1!$A$584:$G$636,7,0)</f>
        <v>1. Concluído</v>
      </c>
      <c r="H568" s="155" t="s">
        <v>477</v>
      </c>
      <c r="I568" s="179"/>
      <c r="J568" s="175" t="str">
        <f>IF(VLOOKUP(A568,'Aux - pivots1'!$A:$E,3,0)=0, "",VLOOKUP(A568,'Aux - pivots1'!$A:$E,3,0))</f>
        <v/>
      </c>
      <c r="K568" s="175" t="str">
        <f>IF(VLOOKUP(A568,'Aux - pivots1'!$A:$E,4,0)=0, "",VLOOKUP(A568,'Aux - pivots1'!$A:$E,4,0))</f>
        <v/>
      </c>
      <c r="L568" s="175" t="str">
        <f>IF(VLOOKUP(A568,'Aux - pivots1'!$A:$E,5,0)=0, "",VLOOKUP(A568,'Aux - pivots1'!$A:$E,5,0))</f>
        <v/>
      </c>
      <c r="M568" s="202"/>
    </row>
    <row r="569" spans="1:13" ht="16.2">
      <c r="A569" s="31" t="str">
        <f t="shared" si="11"/>
        <v>lt002_insrmntprfrmng_stts</v>
      </c>
      <c r="B569" s="162" t="s">
        <v>32</v>
      </c>
      <c r="C569" s="157" t="s">
        <v>32</v>
      </c>
      <c r="D569" s="153" t="s">
        <v>40</v>
      </c>
      <c r="E569" s="156" t="s">
        <v>439</v>
      </c>
      <c r="F569" s="156" t="s">
        <v>392</v>
      </c>
      <c r="G569" s="155" t="str">
        <f>VLOOKUP(A569,Plano_V1!$A$584:$G$636,7,0)</f>
        <v>1. Concluído</v>
      </c>
      <c r="H569" s="155" t="s">
        <v>477</v>
      </c>
      <c r="I569" s="179"/>
      <c r="J569" s="175" t="str">
        <f>IF(VLOOKUP(A569,'Aux - pivots1'!$A:$E,3,0)=0, "",VLOOKUP(A569,'Aux - pivots1'!$A:$E,3,0))</f>
        <v/>
      </c>
      <c r="K569" s="175" t="str">
        <f>IF(VLOOKUP(A569,'Aux - pivots1'!$A:$E,4,0)=0, "",VLOOKUP(A569,'Aux - pivots1'!$A:$E,4,0))</f>
        <v/>
      </c>
      <c r="L569" s="175" t="str">
        <f>IF(VLOOKUP(A569,'Aux - pivots1'!$A:$E,5,0)=0, "",VLOOKUP(A569,'Aux - pivots1'!$A:$E,5,0))</f>
        <v/>
      </c>
      <c r="M569" s="202"/>
    </row>
    <row r="570" spans="1:13" ht="16.2">
      <c r="A570" s="31" t="str">
        <f t="shared" si="11"/>
        <v>lt002_insrmntprvsns_off_blnc_sht</v>
      </c>
      <c r="B570" s="162" t="s">
        <v>32</v>
      </c>
      <c r="C570" s="157" t="s">
        <v>32</v>
      </c>
      <c r="D570" s="153" t="s">
        <v>40</v>
      </c>
      <c r="E570" s="156" t="s">
        <v>439</v>
      </c>
      <c r="F570" s="156" t="s">
        <v>441</v>
      </c>
      <c r="G570" s="155" t="str">
        <f>VLOOKUP(A570,Plano_V1!$A$584:$G$636,7,0)</f>
        <v>1. Concluído</v>
      </c>
      <c r="H570" s="155" t="s">
        <v>477</v>
      </c>
      <c r="I570" s="179"/>
      <c r="J570" s="175" t="str">
        <f>IF(VLOOKUP(A570,'Aux - pivots1'!$A:$E,3,0)=0, "",VLOOKUP(A570,'Aux - pivots1'!$A:$E,3,0))</f>
        <v/>
      </c>
      <c r="K570" s="175" t="str">
        <f>IF(VLOOKUP(A570,'Aux - pivots1'!$A:$E,4,0)=0, "",VLOOKUP(A570,'Aux - pivots1'!$A:$E,4,0))</f>
        <v/>
      </c>
      <c r="L570" s="175" t="str">
        <f>IF(VLOOKUP(A570,'Aux - pivots1'!$A:$E,5,0)=0, "",VLOOKUP(A570,'Aux - pivots1'!$A:$E,5,0))</f>
        <v/>
      </c>
      <c r="M570" s="202"/>
    </row>
    <row r="571" spans="1:13" ht="16.2">
      <c r="A571" s="31" t="str">
        <f t="shared" si="11"/>
        <v>lt002_insrmntsubportfolio_id</v>
      </c>
      <c r="B571" s="162" t="s">
        <v>32</v>
      </c>
      <c r="C571" s="157" t="s">
        <v>32</v>
      </c>
      <c r="D571" s="153" t="s">
        <v>40</v>
      </c>
      <c r="E571" s="156" t="s">
        <v>439</v>
      </c>
      <c r="F571" s="156" t="s">
        <v>403</v>
      </c>
      <c r="G571" s="155" t="str">
        <f>VLOOKUP(A571,Plano_V1!$A$584:$G$636,7,0)</f>
        <v>1. Concluído</v>
      </c>
      <c r="H571" s="155" t="s">
        <v>477</v>
      </c>
      <c r="I571" s="179"/>
      <c r="J571" s="175" t="str">
        <f>IF(VLOOKUP(A571,'Aux - pivots1'!$A:$E,3,0)=0, "",VLOOKUP(A571,'Aux - pivots1'!$A:$E,3,0))</f>
        <v/>
      </c>
      <c r="K571" s="175" t="str">
        <f>IF(VLOOKUP(A571,'Aux - pivots1'!$A:$E,4,0)=0, "",VLOOKUP(A571,'Aux - pivots1'!$A:$E,4,0))</f>
        <v/>
      </c>
      <c r="L571" s="175" t="str">
        <f>IF(VLOOKUP(A571,'Aux - pivots1'!$A:$E,5,0)=0, "",VLOOKUP(A571,'Aux - pivots1'!$A:$E,5,0))</f>
        <v/>
      </c>
      <c r="M571" s="202"/>
    </row>
    <row r="572" spans="1:13" ht="16.2">
      <c r="A572" s="31" t="str">
        <f t="shared" si="11"/>
        <v>lt002_insrmnttyp_instrmnt</v>
      </c>
      <c r="B572" s="162" t="s">
        <v>32</v>
      </c>
      <c r="C572" s="157" t="s">
        <v>32</v>
      </c>
      <c r="D572" s="153" t="s">
        <v>40</v>
      </c>
      <c r="E572" s="156" t="s">
        <v>439</v>
      </c>
      <c r="F572" s="156" t="s">
        <v>394</v>
      </c>
      <c r="G572" s="155" t="str">
        <f>VLOOKUP(A572,Plano_V1!$A$584:$G$636,7,0)</f>
        <v>1. Concluído</v>
      </c>
      <c r="H572" s="155" t="s">
        <v>477</v>
      </c>
      <c r="I572" s="179"/>
      <c r="J572" s="175" t="str">
        <f>IF(VLOOKUP(A572,'Aux - pivots1'!$A:$E,3,0)=0, "",VLOOKUP(A572,'Aux - pivots1'!$A:$E,3,0))</f>
        <v/>
      </c>
      <c r="K572" s="175" t="str">
        <f>IF(VLOOKUP(A572,'Aux - pivots1'!$A:$E,4,0)=0, "",VLOOKUP(A572,'Aux - pivots1'!$A:$E,4,0))</f>
        <v/>
      </c>
      <c r="L572" s="175" t="str">
        <f>IF(VLOOKUP(A572,'Aux - pivots1'!$A:$E,5,0)=0, "",VLOOKUP(A572,'Aux - pivots1'!$A:$E,5,0))</f>
        <v/>
      </c>
      <c r="M572" s="202"/>
    </row>
    <row r="573" spans="1:13" ht="16.2">
      <c r="A573" s="31" t="str">
        <f t="shared" si="11"/>
        <v>lt002_insrmntrwa</v>
      </c>
      <c r="B573" s="162" t="s">
        <v>32</v>
      </c>
      <c r="C573" s="157" t="s">
        <v>32</v>
      </c>
      <c r="D573" s="153" t="s">
        <v>40</v>
      </c>
      <c r="E573" s="156" t="s">
        <v>439</v>
      </c>
      <c r="F573" s="156" t="s">
        <v>442</v>
      </c>
      <c r="G573" s="155" t="str">
        <f>VLOOKUP(A573,Plano_V1!$A$584:$G$636,7,0)</f>
        <v>1. Concluído</v>
      </c>
      <c r="H573" s="155" t="s">
        <v>477</v>
      </c>
      <c r="I573" s="179"/>
      <c r="J573" s="175" t="str">
        <f>IF(VLOOKUP(A573,'Aux - pivots1'!$A:$E,3,0)=0, "",VLOOKUP(A573,'Aux - pivots1'!$A:$E,3,0))</f>
        <v/>
      </c>
      <c r="K573" s="175" t="str">
        <f>IF(VLOOKUP(A573,'Aux - pivots1'!$A:$E,4,0)=0, "",VLOOKUP(A573,'Aux - pivots1'!$A:$E,4,0))</f>
        <v/>
      </c>
      <c r="L573" s="175" t="str">
        <f>IF(VLOOKUP(A573,'Aux - pivots1'!$A:$E,5,0)=0, "",VLOOKUP(A573,'Aux - pivots1'!$A:$E,5,0))</f>
        <v/>
      </c>
      <c r="M573" s="202"/>
    </row>
    <row r="574" spans="1:13" ht="16.2">
      <c r="A574" s="31" t="str">
        <f t="shared" si="11"/>
        <v>lt002_insrmntcod_soc_intrgrp</v>
      </c>
      <c r="B574" s="162" t="s">
        <v>32</v>
      </c>
      <c r="C574" s="157" t="s">
        <v>32</v>
      </c>
      <c r="D574" s="153" t="s">
        <v>40</v>
      </c>
      <c r="E574" s="156" t="s">
        <v>439</v>
      </c>
      <c r="F574" s="156" t="s">
        <v>443</v>
      </c>
      <c r="G574" s="155" t="str">
        <f>VLOOKUP(A574,Plano_V1!$A$584:$G$636,7,0)</f>
        <v>1. Concluído</v>
      </c>
      <c r="H574" s="155" t="s">
        <v>477</v>
      </c>
      <c r="I574" s="179"/>
      <c r="J574" s="175" t="str">
        <f>IF(VLOOKUP(A574,'Aux - pivots1'!$A:$E,3,0)=0, "",VLOOKUP(A574,'Aux - pivots1'!$A:$E,3,0))</f>
        <v/>
      </c>
      <c r="K574" s="175" t="str">
        <f>IF(VLOOKUP(A574,'Aux - pivots1'!$A:$E,4,0)=0, "",VLOOKUP(A574,'Aux - pivots1'!$A:$E,4,0))</f>
        <v/>
      </c>
      <c r="L574" s="175" t="str">
        <f>IF(VLOOKUP(A574,'Aux - pivots1'!$A:$E,5,0)=0, "",VLOOKUP(A574,'Aux - pivots1'!$A:$E,5,0))</f>
        <v/>
      </c>
      <c r="M574" s="202"/>
    </row>
    <row r="575" spans="1:13" ht="16.2">
      <c r="A575" s="31" t="str">
        <f t="shared" si="11"/>
        <v>lt002_insrmntbsnss_area_dstntn</v>
      </c>
      <c r="B575" s="162" t="s">
        <v>32</v>
      </c>
      <c r="C575" s="157" t="s">
        <v>32</v>
      </c>
      <c r="D575" s="153" t="s">
        <v>40</v>
      </c>
      <c r="E575" s="156" t="s">
        <v>439</v>
      </c>
      <c r="F575" s="156" t="s">
        <v>444</v>
      </c>
      <c r="G575" s="155" t="str">
        <f>VLOOKUP(A575,Plano_V1!$A$584:$G$636,7,0)</f>
        <v>1. Concluído</v>
      </c>
      <c r="H575" s="155" t="s">
        <v>477</v>
      </c>
      <c r="I575" s="179"/>
      <c r="J575" s="175" t="str">
        <f>IF(VLOOKUP(A575,'Aux - pivots1'!$A:$E,3,0)=0, "",VLOOKUP(A575,'Aux - pivots1'!$A:$E,3,0))</f>
        <v/>
      </c>
      <c r="K575" s="175" t="str">
        <f>IF(VLOOKUP(A575,'Aux - pivots1'!$A:$E,4,0)=0, "",VLOOKUP(A575,'Aux - pivots1'!$A:$E,4,0))</f>
        <v/>
      </c>
      <c r="L575" s="175" t="str">
        <f>IF(VLOOKUP(A575,'Aux - pivots1'!$A:$E,5,0)=0, "",VLOOKUP(A575,'Aux - pivots1'!$A:$E,5,0))</f>
        <v/>
      </c>
      <c r="M575" s="202"/>
    </row>
    <row r="576" spans="1:13" ht="16.2">
      <c r="A576" s="31" t="str">
        <f t="shared" si="11"/>
        <v>lt002_insrmntflg_intrbsnss</v>
      </c>
      <c r="B576" s="162" t="s">
        <v>32</v>
      </c>
      <c r="C576" s="157" t="s">
        <v>32</v>
      </c>
      <c r="D576" s="153" t="s">
        <v>40</v>
      </c>
      <c r="E576" s="156" t="s">
        <v>439</v>
      </c>
      <c r="F576" s="156" t="s">
        <v>445</v>
      </c>
      <c r="G576" s="155" t="str">
        <f>VLOOKUP(A576,Plano_V1!$A$584:$G$636,7,0)</f>
        <v>1. Concluído</v>
      </c>
      <c r="H576" s="155" t="s">
        <v>477</v>
      </c>
      <c r="I576" s="179"/>
      <c r="J576" s="175" t="str">
        <f>IF(VLOOKUP(A576,'Aux - pivots1'!$A:$E,3,0)=0, "",VLOOKUP(A576,'Aux - pivots1'!$A:$E,3,0))</f>
        <v/>
      </c>
      <c r="K576" s="175" t="str">
        <f>IF(VLOOKUP(A576,'Aux - pivots1'!$A:$E,4,0)=0, "",VLOOKUP(A576,'Aux - pivots1'!$A:$E,4,0))</f>
        <v/>
      </c>
      <c r="L576" s="175" t="str">
        <f>IF(VLOOKUP(A576,'Aux - pivots1'!$A:$E,5,0)=0, "",VLOOKUP(A576,'Aux - pivots1'!$A:$E,5,0))</f>
        <v/>
      </c>
      <c r="M576" s="202"/>
    </row>
    <row r="577" spans="1:13" ht="16.2">
      <c r="A577" s="31" t="str">
        <f t="shared" si="11"/>
        <v>lt002_insrmntintrbsnss_adj_cod</v>
      </c>
      <c r="B577" s="162" t="s">
        <v>32</v>
      </c>
      <c r="C577" s="157" t="s">
        <v>32</v>
      </c>
      <c r="D577" s="153" t="s">
        <v>40</v>
      </c>
      <c r="E577" s="156" t="s">
        <v>439</v>
      </c>
      <c r="F577" s="156" t="s">
        <v>446</v>
      </c>
      <c r="G577" s="155" t="str">
        <f>VLOOKUP(A577,Plano_V1!$A$584:$G$636,7,0)</f>
        <v>1. Concluído</v>
      </c>
      <c r="H577" s="155" t="s">
        <v>477</v>
      </c>
      <c r="I577" s="179"/>
      <c r="J577" s="175" t="str">
        <f>IF(VLOOKUP(A577,'Aux - pivots1'!$A:$E,3,0)=0, "",VLOOKUP(A577,'Aux - pivots1'!$A:$E,3,0))</f>
        <v/>
      </c>
      <c r="K577" s="175" t="str">
        <f>IF(VLOOKUP(A577,'Aux - pivots1'!$A:$E,4,0)=0, "",VLOOKUP(A577,'Aux - pivots1'!$A:$E,4,0))</f>
        <v/>
      </c>
      <c r="L577" s="175" t="str">
        <f>IF(VLOOKUP(A577,'Aux - pivots1'!$A:$E,5,0)=0, "",VLOOKUP(A577,'Aux - pivots1'!$A:$E,5,0))</f>
        <v/>
      </c>
      <c r="M577" s="202"/>
    </row>
    <row r="578" spans="1:13" ht="16.2">
      <c r="A578" s="31" t="str">
        <f t="shared" si="11"/>
        <v>lt002_insrmntcod_soc_dstntn</v>
      </c>
      <c r="B578" s="162" t="s">
        <v>32</v>
      </c>
      <c r="C578" s="157" t="s">
        <v>32</v>
      </c>
      <c r="D578" s="153" t="s">
        <v>40</v>
      </c>
      <c r="E578" s="156" t="s">
        <v>439</v>
      </c>
      <c r="F578" s="156" t="s">
        <v>447</v>
      </c>
      <c r="G578" s="155" t="str">
        <f>VLOOKUP(A578,Plano_V1!$A$584:$G$636,7,0)</f>
        <v>1. Concluído</v>
      </c>
      <c r="H578" s="155" t="s">
        <v>477</v>
      </c>
      <c r="I578" s="179"/>
      <c r="J578" s="175" t="str">
        <f>IF(VLOOKUP(A578,'Aux - pivots1'!$A:$E,3,0)=0, "",VLOOKUP(A578,'Aux - pivots1'!$A:$E,3,0))</f>
        <v/>
      </c>
      <c r="K578" s="175" t="str">
        <f>IF(VLOOKUP(A578,'Aux - pivots1'!$A:$E,4,0)=0, "",VLOOKUP(A578,'Aux - pivots1'!$A:$E,4,0))</f>
        <v/>
      </c>
      <c r="L578" s="175" t="str">
        <f>IF(VLOOKUP(A578,'Aux - pivots1'!$A:$E,5,0)=0, "",VLOOKUP(A578,'Aux - pivots1'!$A:$E,5,0))</f>
        <v/>
      </c>
      <c r="M578" s="202"/>
    </row>
    <row r="579" spans="1:13" ht="16.2">
      <c r="A579" s="31" t="str">
        <f t="shared" si="11"/>
        <v>lt002_insrmntrwa_off_blnc</v>
      </c>
      <c r="B579" s="162" t="s">
        <v>32</v>
      </c>
      <c r="C579" s="157" t="s">
        <v>32</v>
      </c>
      <c r="D579" s="153" t="s">
        <v>40</v>
      </c>
      <c r="E579" s="156" t="s">
        <v>439</v>
      </c>
      <c r="F579" s="156" t="s">
        <v>448</v>
      </c>
      <c r="G579" s="155" t="str">
        <f>VLOOKUP(A579,Plano_V1!$A$584:$G$636,7,0)</f>
        <v>1. Concluído</v>
      </c>
      <c r="H579" s="155" t="s">
        <v>477</v>
      </c>
      <c r="I579" s="179"/>
      <c r="J579" s="175" t="str">
        <f>IF(VLOOKUP(A579,'Aux - pivots1'!$A:$E,3,0)=0, "",VLOOKUP(A579,'Aux - pivots1'!$A:$E,3,0))</f>
        <v/>
      </c>
      <c r="K579" s="175" t="str">
        <f>IF(VLOOKUP(A579,'Aux - pivots1'!$A:$E,4,0)=0, "",VLOOKUP(A579,'Aux - pivots1'!$A:$E,4,0))</f>
        <v/>
      </c>
      <c r="L579" s="175" t="str">
        <f>IF(VLOOKUP(A579,'Aux - pivots1'!$A:$E,5,0)=0, "",VLOOKUP(A579,'Aux - pivots1'!$A:$E,5,0))</f>
        <v/>
      </c>
      <c r="M579" s="202"/>
    </row>
    <row r="580" spans="1:13" ht="16.2">
      <c r="A580" s="31" t="str">
        <f t="shared" si="11"/>
        <v>lt002_insrmntintrnl_trnsfr_rt_off_blnc</v>
      </c>
      <c r="B580" s="162" t="s">
        <v>32</v>
      </c>
      <c r="C580" s="157" t="s">
        <v>32</v>
      </c>
      <c r="D580" s="153" t="s">
        <v>40</v>
      </c>
      <c r="E580" s="156" t="s">
        <v>439</v>
      </c>
      <c r="F580" s="156" t="s">
        <v>449</v>
      </c>
      <c r="G580" s="155" t="str">
        <f>VLOOKUP(A580,Plano_V1!$A$584:$G$636,7,0)</f>
        <v>1. Concluído</v>
      </c>
      <c r="H580" s="155" t="s">
        <v>477</v>
      </c>
      <c r="I580" s="179"/>
      <c r="J580" s="175" t="str">
        <f>IF(VLOOKUP(A580,'Aux - pivots1'!$A:$E,3,0)=0, "",VLOOKUP(A580,'Aux - pivots1'!$A:$E,3,0))</f>
        <v/>
      </c>
      <c r="K580" s="175" t="str">
        <f>IF(VLOOKUP(A580,'Aux - pivots1'!$A:$E,4,0)=0, "",VLOOKUP(A580,'Aux - pivots1'!$A:$E,4,0))</f>
        <v/>
      </c>
      <c r="L580" s="175" t="str">
        <f>IF(VLOOKUP(A580,'Aux - pivots1'!$A:$E,5,0)=0, "",VLOOKUP(A580,'Aux - pivots1'!$A:$E,5,0))</f>
        <v/>
      </c>
      <c r="M580" s="202"/>
    </row>
    <row r="581" spans="1:13" ht="16.2">
      <c r="A581" s="31" t="str">
        <f t="shared" si="11"/>
        <v>lt002_insrmntbsnss_area</v>
      </c>
      <c r="B581" s="162" t="s">
        <v>32</v>
      </c>
      <c r="C581" s="157" t="s">
        <v>32</v>
      </c>
      <c r="D581" s="153" t="s">
        <v>40</v>
      </c>
      <c r="E581" s="156" t="s">
        <v>439</v>
      </c>
      <c r="F581" s="156" t="s">
        <v>450</v>
      </c>
      <c r="G581" s="155" t="str">
        <f>VLOOKUP(A581,Plano_V1!$A$584:$G$636,7,0)</f>
        <v>2. Em Teste</v>
      </c>
      <c r="H581" s="155" t="s">
        <v>177</v>
      </c>
      <c r="I581" s="164"/>
      <c r="J581" s="175" t="str">
        <f>IF(VLOOKUP(A581,'Aux - pivots1'!$A:$E,3,0)=0, "",VLOOKUP(A581,'Aux - pivots1'!$A:$E,3,0))</f>
        <v/>
      </c>
      <c r="K581" s="175" t="str">
        <f>IF(VLOOKUP(A581,'Aux - pivots1'!$A:$E,4,0)=0, "",VLOOKUP(A581,'Aux - pivots1'!$A:$E,4,0))</f>
        <v/>
      </c>
      <c r="L581" s="175" t="str">
        <f>IF(VLOOKUP(A581,'Aux - pivots1'!$A:$E,5,0)=0, "",VLOOKUP(A581,'Aux - pivots1'!$A:$E,5,0))</f>
        <v/>
      </c>
      <c r="M581" s="202"/>
    </row>
    <row r="582" spans="1:13" ht="16.2">
      <c r="A582" s="31" t="str">
        <f t="shared" si="11"/>
        <v>lt002_insrmntavrg_blnc</v>
      </c>
      <c r="B582" s="162" t="s">
        <v>32</v>
      </c>
      <c r="C582" s="157" t="s">
        <v>32</v>
      </c>
      <c r="D582" s="153" t="s">
        <v>40</v>
      </c>
      <c r="E582" s="156" t="s">
        <v>439</v>
      </c>
      <c r="F582" s="156" t="s">
        <v>451</v>
      </c>
      <c r="G582" s="155" t="str">
        <f>VLOOKUP(A582,Plano_V1!$A$584:$G$636,7,0)</f>
        <v>2. Em Teste</v>
      </c>
      <c r="H582" s="155" t="s">
        <v>177</v>
      </c>
      <c r="I582" s="164"/>
      <c r="J582" s="175" t="str">
        <f>IF(VLOOKUP(A582,'Aux - pivots1'!$A:$E,3,0)=0, "",VLOOKUP(A582,'Aux - pivots1'!$A:$E,3,0))</f>
        <v/>
      </c>
      <c r="K582" s="175" t="str">
        <f>IF(VLOOKUP(A582,'Aux - pivots1'!$A:$E,4,0)=0, "",VLOOKUP(A582,'Aux - pivots1'!$A:$E,4,0))</f>
        <v/>
      </c>
      <c r="L582" s="175" t="str">
        <f>IF(VLOOKUP(A582,'Aux - pivots1'!$A:$E,5,0)=0, "",VLOOKUP(A582,'Aux - pivots1'!$A:$E,5,0))</f>
        <v/>
      </c>
      <c r="M582" s="202"/>
    </row>
    <row r="583" spans="1:13" ht="16.2">
      <c r="A583" s="31" t="str">
        <f t="shared" si="11"/>
        <v>lt002_insrmntnt_ln_lss_prvsn</v>
      </c>
      <c r="B583" s="162" t="s">
        <v>32</v>
      </c>
      <c r="C583" s="157" t="s">
        <v>32</v>
      </c>
      <c r="D583" s="153" t="s">
        <v>40</v>
      </c>
      <c r="E583" s="156" t="s">
        <v>439</v>
      </c>
      <c r="F583" s="156" t="s">
        <v>452</v>
      </c>
      <c r="G583" s="155" t="str">
        <f>VLOOKUP(A583,Plano_V1!$A$584:$G$636,7,0)</f>
        <v>2. Em Teste</v>
      </c>
      <c r="H583" s="155" t="s">
        <v>177</v>
      </c>
      <c r="I583" s="164"/>
      <c r="J583" s="175" t="str">
        <f>IF(VLOOKUP(A583,'Aux - pivots1'!$A:$E,3,0)=0, "",VLOOKUP(A583,'Aux - pivots1'!$A:$E,3,0))</f>
        <v/>
      </c>
      <c r="K583" s="175" t="str">
        <f>IF(VLOOKUP(A583,'Aux - pivots1'!$A:$E,4,0)=0, "",VLOOKUP(A583,'Aux - pivots1'!$A:$E,4,0))</f>
        <v/>
      </c>
      <c r="L583" s="175" t="str">
        <f>IF(VLOOKUP(A583,'Aux - pivots1'!$A:$E,5,0)=0, "",VLOOKUP(A583,'Aux - pivots1'!$A:$E,5,0))</f>
        <v/>
      </c>
      <c r="M583" s="202"/>
    </row>
    <row r="584" spans="1:13" ht="16.2">
      <c r="A584" s="31" t="str">
        <f t="shared" si="11"/>
        <v>lt002_insrmntmngmnt_prdct</v>
      </c>
      <c r="B584" s="162" t="s">
        <v>32</v>
      </c>
      <c r="C584" s="157" t="s">
        <v>32</v>
      </c>
      <c r="D584" s="153" t="s">
        <v>40</v>
      </c>
      <c r="E584" s="156" t="s">
        <v>439</v>
      </c>
      <c r="F584" s="156" t="s">
        <v>453</v>
      </c>
      <c r="G584" s="155" t="str">
        <f>VLOOKUP(A584,Plano_V1!$A$584:$G$636,7,0)</f>
        <v>2. Em Teste</v>
      </c>
      <c r="H584" s="155" t="s">
        <v>177</v>
      </c>
      <c r="I584" s="164"/>
      <c r="J584" s="175" t="str">
        <f>IF(VLOOKUP(A584,'Aux - pivots1'!$A:$E,3,0)=0, "",VLOOKUP(A584,'Aux - pivots1'!$A:$E,3,0))</f>
        <v/>
      </c>
      <c r="K584" s="175" t="str">
        <f>IF(VLOOKUP(A584,'Aux - pivots1'!$A:$E,4,0)=0, "",VLOOKUP(A584,'Aux - pivots1'!$A:$E,4,0))</f>
        <v/>
      </c>
      <c r="L584" s="175" t="str">
        <f>IF(VLOOKUP(A584,'Aux - pivots1'!$A:$E,5,0)=0, "",VLOOKUP(A584,'Aux - pivots1'!$A:$E,5,0))</f>
        <v/>
      </c>
      <c r="M584" s="202"/>
    </row>
    <row r="585" spans="1:13" ht="16.2">
      <c r="A585" s="31" t="str">
        <f t="shared" si="11"/>
        <v>lt002_insrmntnw_bsnss</v>
      </c>
      <c r="B585" s="162" t="s">
        <v>32</v>
      </c>
      <c r="C585" s="157" t="s">
        <v>32</v>
      </c>
      <c r="D585" s="153" t="s">
        <v>40</v>
      </c>
      <c r="E585" s="156" t="s">
        <v>439</v>
      </c>
      <c r="F585" s="156" t="s">
        <v>454</v>
      </c>
      <c r="G585" s="155" t="str">
        <f>VLOOKUP(A585,Plano_V1!$A$584:$G$636,7,0)</f>
        <v>2. Em Teste</v>
      </c>
      <c r="H585" s="155" t="s">
        <v>177</v>
      </c>
      <c r="I585" s="164"/>
      <c r="J585" s="175" t="str">
        <f>IF(VLOOKUP(A585,'Aux - pivots1'!$A:$E,3,0)=0, "",VLOOKUP(A585,'Aux - pivots1'!$A:$E,3,0))</f>
        <v/>
      </c>
      <c r="K585" s="175" t="str">
        <f>IF(VLOOKUP(A585,'Aux - pivots1'!$A:$E,4,0)=0, "",VLOOKUP(A585,'Aux - pivots1'!$A:$E,4,0))</f>
        <v/>
      </c>
      <c r="L585" s="175" t="str">
        <f>IF(VLOOKUP(A585,'Aux - pivots1'!$A:$E,5,0)=0, "",VLOOKUP(A585,'Aux - pivots1'!$A:$E,5,0))</f>
        <v/>
      </c>
      <c r="M585" s="202"/>
    </row>
    <row r="586" spans="1:13" ht="16.2">
      <c r="A586" s="31" t="str">
        <f t="shared" si="11"/>
        <v>lt002_insrmntgrss_intrst_incm_ccrr</v>
      </c>
      <c r="B586" s="162" t="s">
        <v>32</v>
      </c>
      <c r="C586" s="157" t="s">
        <v>32</v>
      </c>
      <c r="D586" s="153" t="s">
        <v>40</v>
      </c>
      <c r="E586" s="156" t="s">
        <v>439</v>
      </c>
      <c r="F586" s="156" t="s">
        <v>455</v>
      </c>
      <c r="G586" s="155" t="str">
        <f>VLOOKUP(A586,Plano_V1!$A$584:$G$636,7,0)</f>
        <v>2. Em Teste</v>
      </c>
      <c r="H586" s="155" t="s">
        <v>177</v>
      </c>
      <c r="I586" s="164"/>
      <c r="J586" s="175" t="str">
        <f>IF(VLOOKUP(A586,'Aux - pivots1'!$A:$E,3,0)=0, "",VLOOKUP(A586,'Aux - pivots1'!$A:$E,3,0))</f>
        <v/>
      </c>
      <c r="K586" s="175" t="str">
        <f>IF(VLOOKUP(A586,'Aux - pivots1'!$A:$E,4,0)=0, "",VLOOKUP(A586,'Aux - pivots1'!$A:$E,4,0))</f>
        <v/>
      </c>
      <c r="L586" s="175" t="str">
        <f>IF(VLOOKUP(A586,'Aux - pivots1'!$A:$E,5,0)=0, "",VLOOKUP(A586,'Aux - pivots1'!$A:$E,5,0))</f>
        <v/>
      </c>
      <c r="M586" s="202"/>
    </row>
    <row r="587" spans="1:13" ht="16.2">
      <c r="A587" s="31" t="str">
        <f t="shared" si="11"/>
        <v>lt002_insrmntnt_ln_lss_prvsn_off_blnc</v>
      </c>
      <c r="B587" s="162" t="s">
        <v>32</v>
      </c>
      <c r="C587" s="157" t="s">
        <v>32</v>
      </c>
      <c r="D587" s="153" t="s">
        <v>40</v>
      </c>
      <c r="E587" s="156" t="s">
        <v>439</v>
      </c>
      <c r="F587" s="156" t="s">
        <v>456</v>
      </c>
      <c r="G587" s="155" t="str">
        <f>VLOOKUP(A587,Plano_V1!$A$584:$G$636,7,0)</f>
        <v>2. Em Teste</v>
      </c>
      <c r="H587" s="155" t="s">
        <v>177</v>
      </c>
      <c r="I587" s="164"/>
      <c r="J587" s="175" t="str">
        <f>IF(VLOOKUP(A587,'Aux - pivots1'!$A:$E,3,0)=0, "",VLOOKUP(A587,'Aux - pivots1'!$A:$E,3,0))</f>
        <v/>
      </c>
      <c r="K587" s="175" t="str">
        <f>IF(VLOOKUP(A587,'Aux - pivots1'!$A:$E,4,0)=0, "",VLOOKUP(A587,'Aux - pivots1'!$A:$E,4,0))</f>
        <v/>
      </c>
      <c r="L587" s="175" t="str">
        <f>IF(VLOOKUP(A587,'Aux - pivots1'!$A:$E,5,0)=0, "",VLOOKUP(A587,'Aux - pivots1'!$A:$E,5,0))</f>
        <v/>
      </c>
      <c r="M587" s="202"/>
    </row>
    <row r="588" spans="1:13" ht="16.2">
      <c r="A588" s="31" t="str">
        <f t="shared" si="11"/>
        <v>lt002_insrmntavrg_blnc_off_blnc</v>
      </c>
      <c r="B588" s="162" t="s">
        <v>32</v>
      </c>
      <c r="C588" s="157" t="s">
        <v>32</v>
      </c>
      <c r="D588" s="153" t="s">
        <v>40</v>
      </c>
      <c r="E588" s="156" t="s">
        <v>439</v>
      </c>
      <c r="F588" s="156" t="s">
        <v>457</v>
      </c>
      <c r="G588" s="155" t="str">
        <f>VLOOKUP(A588,Plano_V1!$A$584:$G$636,7,0)</f>
        <v>2. Em Teste</v>
      </c>
      <c r="H588" s="155" t="s">
        <v>177</v>
      </c>
      <c r="I588" s="164"/>
      <c r="J588" s="175" t="str">
        <f>IF(VLOOKUP(A588,'Aux - pivots1'!$A:$E,3,0)=0, "",VLOOKUP(A588,'Aux - pivots1'!$A:$E,3,0))</f>
        <v/>
      </c>
      <c r="K588" s="175" t="str">
        <f>IF(VLOOKUP(A588,'Aux - pivots1'!$A:$E,4,0)=0, "",VLOOKUP(A588,'Aux - pivots1'!$A:$E,4,0))</f>
        <v/>
      </c>
      <c r="L588" s="175" t="str">
        <f>IF(VLOOKUP(A588,'Aux - pivots1'!$A:$E,5,0)=0, "",VLOOKUP(A588,'Aux - pivots1'!$A:$E,5,0))</f>
        <v/>
      </c>
      <c r="M588" s="202"/>
    </row>
    <row r="589" spans="1:13" ht="16.2">
      <c r="A589" s="31" t="str">
        <f t="shared" si="11"/>
        <v>lt002_insrmntbsnss_area_ccrr</v>
      </c>
      <c r="B589" s="162" t="s">
        <v>32</v>
      </c>
      <c r="C589" s="157" t="s">
        <v>32</v>
      </c>
      <c r="D589" s="153" t="s">
        <v>40</v>
      </c>
      <c r="E589" s="156" t="s">
        <v>439</v>
      </c>
      <c r="F589" s="156" t="s">
        <v>458</v>
      </c>
      <c r="G589" s="155" t="str">
        <f>VLOOKUP(A589,Plano_V1!$A$584:$G$636,7,0)</f>
        <v>2. Em Teste</v>
      </c>
      <c r="H589" s="155" t="s">
        <v>177</v>
      </c>
      <c r="I589" s="164"/>
      <c r="J589" s="175" t="str">
        <f>IF(VLOOKUP(A589,'Aux - pivots1'!$A:$E,3,0)=0, "",VLOOKUP(A589,'Aux - pivots1'!$A:$E,3,0))</f>
        <v/>
      </c>
      <c r="K589" s="175" t="str">
        <f>IF(VLOOKUP(A589,'Aux - pivots1'!$A:$E,4,0)=0, "",VLOOKUP(A589,'Aux - pivots1'!$A:$E,4,0))</f>
        <v/>
      </c>
      <c r="L589" s="175" t="str">
        <f>IF(VLOOKUP(A589,'Aux - pivots1'!$A:$E,5,0)=0, "",VLOOKUP(A589,'Aux - pivots1'!$A:$E,5,0))</f>
        <v/>
      </c>
      <c r="M589" s="202"/>
    </row>
    <row r="590" spans="1:13" ht="16.2">
      <c r="A590" s="31" t="str">
        <f t="shared" si="11"/>
        <v>lt002_insrmntgrss_cmmssn_incm_off_blnc</v>
      </c>
      <c r="B590" s="162" t="s">
        <v>32</v>
      </c>
      <c r="C590" s="157" t="s">
        <v>32</v>
      </c>
      <c r="D590" s="153" t="s">
        <v>40</v>
      </c>
      <c r="E590" s="156" t="s">
        <v>439</v>
      </c>
      <c r="F590" s="156" t="s">
        <v>410</v>
      </c>
      <c r="G590" s="155" t="str">
        <f>VLOOKUP(A590,Plano_V1!$A$584:$G$636,7,0)</f>
        <v>2. Em Teste</v>
      </c>
      <c r="H590" s="155" t="s">
        <v>177</v>
      </c>
      <c r="I590" s="164"/>
      <c r="J590" s="175" t="str">
        <f>IF(VLOOKUP(A590,'Aux - pivots1'!$A:$E,3,0)=0, "",VLOOKUP(A590,'Aux - pivots1'!$A:$E,3,0))</f>
        <v/>
      </c>
      <c r="K590" s="175" t="str">
        <f>IF(VLOOKUP(A590,'Aux - pivots1'!$A:$E,4,0)=0, "",VLOOKUP(A590,'Aux - pivots1'!$A:$E,4,0))</f>
        <v/>
      </c>
      <c r="L590" s="175" t="str">
        <f>IF(VLOOKUP(A590,'Aux - pivots1'!$A:$E,5,0)=0, "",VLOOKUP(A590,'Aux - pivots1'!$A:$E,5,0))</f>
        <v/>
      </c>
      <c r="M590" s="202"/>
    </row>
    <row r="591" spans="1:13" ht="16.2">
      <c r="A591" s="31" t="str">
        <f t="shared" si="11"/>
        <v>lt002_insrmntgrss_cmmssn_expns_off_blnc_ccrr</v>
      </c>
      <c r="B591" s="162" t="s">
        <v>32</v>
      </c>
      <c r="C591" s="157" t="s">
        <v>32</v>
      </c>
      <c r="D591" s="153" t="s">
        <v>40</v>
      </c>
      <c r="E591" s="156" t="s">
        <v>439</v>
      </c>
      <c r="F591" s="156" t="s">
        <v>459</v>
      </c>
      <c r="G591" s="155" t="str">
        <f>VLOOKUP(A591,Plano_V1!$A$584:$G$636,7,0)</f>
        <v>2. Em Teste</v>
      </c>
      <c r="H591" s="155" t="s">
        <v>177</v>
      </c>
      <c r="I591" s="164"/>
      <c r="J591" s="175" t="str">
        <f>IF(VLOOKUP(A591,'Aux - pivots1'!$A:$E,3,0)=0, "",VLOOKUP(A591,'Aux - pivots1'!$A:$E,3,0))</f>
        <v/>
      </c>
      <c r="K591" s="175" t="str">
        <f>IF(VLOOKUP(A591,'Aux - pivots1'!$A:$E,4,0)=0, "",VLOOKUP(A591,'Aux - pivots1'!$A:$E,4,0))</f>
        <v/>
      </c>
      <c r="L591" s="175" t="str">
        <f>IF(VLOOKUP(A591,'Aux - pivots1'!$A:$E,5,0)=0, "",VLOOKUP(A591,'Aux - pivots1'!$A:$E,5,0))</f>
        <v/>
      </c>
      <c r="M591" s="202"/>
    </row>
    <row r="592" spans="1:13" ht="16.2">
      <c r="A592" s="31" t="str">
        <f t="shared" si="11"/>
        <v>lt002_insrmntgrss_cmmssn_expns_off_blnc</v>
      </c>
      <c r="B592" s="162" t="s">
        <v>32</v>
      </c>
      <c r="C592" s="157" t="s">
        <v>32</v>
      </c>
      <c r="D592" s="153" t="s">
        <v>40</v>
      </c>
      <c r="E592" s="156" t="s">
        <v>439</v>
      </c>
      <c r="F592" s="156" t="s">
        <v>460</v>
      </c>
      <c r="G592" s="155" t="str">
        <f>VLOOKUP(A592,Plano_V1!$A$584:$G$636,7,0)</f>
        <v>2. Em Teste</v>
      </c>
      <c r="H592" s="155" t="s">
        <v>177</v>
      </c>
      <c r="I592" s="164"/>
      <c r="J592" s="175" t="str">
        <f>IF(VLOOKUP(A592,'Aux - pivots1'!$A:$E,3,0)=0, "",VLOOKUP(A592,'Aux - pivots1'!$A:$E,3,0))</f>
        <v/>
      </c>
      <c r="K592" s="175" t="str">
        <f>IF(VLOOKUP(A592,'Aux - pivots1'!$A:$E,4,0)=0, "",VLOOKUP(A592,'Aux - pivots1'!$A:$E,4,0))</f>
        <v/>
      </c>
      <c r="L592" s="175" t="str">
        <f>IF(VLOOKUP(A592,'Aux - pivots1'!$A:$E,5,0)=0, "",VLOOKUP(A592,'Aux - pivots1'!$A:$E,5,0))</f>
        <v/>
      </c>
      <c r="M592" s="202"/>
    </row>
    <row r="593" spans="1:14" ht="16.2">
      <c r="A593" s="31" t="str">
        <f t="shared" si="11"/>
        <v>lt002_insrmntgrss_cmmssn_incm_off_blnc_ccrr</v>
      </c>
      <c r="B593" s="162" t="s">
        <v>32</v>
      </c>
      <c r="C593" s="157" t="s">
        <v>32</v>
      </c>
      <c r="D593" s="153" t="s">
        <v>40</v>
      </c>
      <c r="E593" s="156" t="s">
        <v>439</v>
      </c>
      <c r="F593" s="156" t="s">
        <v>461</v>
      </c>
      <c r="G593" s="155" t="str">
        <f>VLOOKUP(A593,Plano_V1!$A$584:$G$636,7,0)</f>
        <v>2. Em Teste</v>
      </c>
      <c r="H593" s="155" t="s">
        <v>177</v>
      </c>
      <c r="I593" s="164"/>
      <c r="J593" s="175" t="str">
        <f>IF(VLOOKUP(A593,'Aux - pivots1'!$A:$E,3,0)=0, "",VLOOKUP(A593,'Aux - pivots1'!$A:$E,3,0))</f>
        <v/>
      </c>
      <c r="K593" s="175" t="str">
        <f>IF(VLOOKUP(A593,'Aux - pivots1'!$A:$E,4,0)=0, "",VLOOKUP(A593,'Aux - pivots1'!$A:$E,4,0))</f>
        <v/>
      </c>
      <c r="L593" s="175" t="str">
        <f>IF(VLOOKUP(A593,'Aux - pivots1'!$A:$E,5,0)=0, "",VLOOKUP(A593,'Aux - pivots1'!$A:$E,5,0))</f>
        <v/>
      </c>
      <c r="M593" s="202"/>
    </row>
    <row r="594" spans="1:14" ht="16.2">
      <c r="A594" s="31" t="str">
        <f t="shared" ref="A594:A615" si="12">E594&amp;F594</f>
        <v>lt002_insrmntgrss_intrst_incm</v>
      </c>
      <c r="B594" s="162" t="s">
        <v>32</v>
      </c>
      <c r="C594" s="157" t="s">
        <v>32</v>
      </c>
      <c r="D594" s="153" t="s">
        <v>40</v>
      </c>
      <c r="E594" s="156" t="s">
        <v>439</v>
      </c>
      <c r="F594" s="156" t="s">
        <v>408</v>
      </c>
      <c r="G594" s="155" t="str">
        <f>VLOOKUP(A594,Plano_V1!$A$584:$G$636,7,0)</f>
        <v>2. Em Teste</v>
      </c>
      <c r="H594" s="155" t="s">
        <v>177</v>
      </c>
      <c r="I594" s="164"/>
      <c r="J594" s="175" t="str">
        <f>IF(VLOOKUP(A594,'Aux - pivots1'!$A:$E,3,0)=0, "",VLOOKUP(A594,'Aux - pivots1'!$A:$E,3,0))</f>
        <v/>
      </c>
      <c r="K594" s="175" t="str">
        <f>IF(VLOOKUP(A594,'Aux - pivots1'!$A:$E,4,0)=0, "",VLOOKUP(A594,'Aux - pivots1'!$A:$E,4,0))</f>
        <v/>
      </c>
      <c r="L594" s="175" t="str">
        <f>IF(VLOOKUP(A594,'Aux - pivots1'!$A:$E,5,0)=0, "",VLOOKUP(A594,'Aux - pivots1'!$A:$E,5,0))</f>
        <v/>
      </c>
      <c r="M594" s="202"/>
    </row>
    <row r="595" spans="1:14" ht="16.2">
      <c r="A595" s="31" t="str">
        <f t="shared" si="12"/>
        <v>lt002_insrmntgrss_cmmssn_incm</v>
      </c>
      <c r="B595" s="162" t="s">
        <v>32</v>
      </c>
      <c r="C595" s="157" t="s">
        <v>32</v>
      </c>
      <c r="D595" s="153" t="s">
        <v>40</v>
      </c>
      <c r="E595" s="156" t="s">
        <v>439</v>
      </c>
      <c r="F595" s="156" t="s">
        <v>409</v>
      </c>
      <c r="G595" s="155" t="str">
        <f>VLOOKUP(A595,Plano_V1!$A$584:$G$636,7,0)</f>
        <v>2. Em Teste</v>
      </c>
      <c r="H595" s="155" t="s">
        <v>177</v>
      </c>
      <c r="I595" s="164"/>
      <c r="J595" s="175" t="str">
        <f>IF(VLOOKUP(A595,'Aux - pivots1'!$A:$E,3,0)=0, "",VLOOKUP(A595,'Aux - pivots1'!$A:$E,3,0))</f>
        <v/>
      </c>
      <c r="K595" s="175" t="str">
        <f>IF(VLOOKUP(A595,'Aux - pivots1'!$A:$E,4,0)=0, "",VLOOKUP(A595,'Aux - pivots1'!$A:$E,4,0))</f>
        <v/>
      </c>
      <c r="L595" s="175" t="str">
        <f>IF(VLOOKUP(A595,'Aux - pivots1'!$A:$E,5,0)=0, "",VLOOKUP(A595,'Aux - pivots1'!$A:$E,5,0))</f>
        <v/>
      </c>
      <c r="M595" s="202"/>
    </row>
    <row r="596" spans="1:14" ht="16.2">
      <c r="A596" s="31" t="str">
        <f t="shared" si="12"/>
        <v>lt002_insrmntgrss_cmmssn_incm_ccrr</v>
      </c>
      <c r="B596" s="162" t="s">
        <v>32</v>
      </c>
      <c r="C596" s="157" t="s">
        <v>32</v>
      </c>
      <c r="D596" s="153" t="s">
        <v>40</v>
      </c>
      <c r="E596" s="156" t="s">
        <v>439</v>
      </c>
      <c r="F596" s="156" t="s">
        <v>462</v>
      </c>
      <c r="G596" s="155" t="str">
        <f>VLOOKUP(A596,Plano_V1!$A$584:$G$636,7,0)</f>
        <v>2. Em Teste</v>
      </c>
      <c r="H596" s="155" t="s">
        <v>177</v>
      </c>
      <c r="I596" s="164"/>
      <c r="J596" s="175" t="str">
        <f>IF(VLOOKUP(A596,'Aux - pivots1'!$A:$E,3,0)=0, "",VLOOKUP(A596,'Aux - pivots1'!$A:$E,3,0))</f>
        <v/>
      </c>
      <c r="K596" s="175" t="str">
        <f>IF(VLOOKUP(A596,'Aux - pivots1'!$A:$E,4,0)=0, "",VLOOKUP(A596,'Aux - pivots1'!$A:$E,4,0))</f>
        <v/>
      </c>
      <c r="L596" s="175" t="str">
        <f>IF(VLOOKUP(A596,'Aux - pivots1'!$A:$E,5,0)=0, "",VLOOKUP(A596,'Aux - pivots1'!$A:$E,5,0))</f>
        <v/>
      </c>
      <c r="M596" s="202"/>
    </row>
    <row r="597" spans="1:14" ht="16.2">
      <c r="A597" s="31" t="str">
        <f t="shared" si="12"/>
        <v>lt002_insrmntintrnl_trnsfr_rt</v>
      </c>
      <c r="B597" s="162" t="s">
        <v>32</v>
      </c>
      <c r="C597" s="157" t="s">
        <v>32</v>
      </c>
      <c r="D597" s="153" t="s">
        <v>40</v>
      </c>
      <c r="E597" s="156" t="s">
        <v>439</v>
      </c>
      <c r="F597" s="156" t="s">
        <v>463</v>
      </c>
      <c r="G597" s="155" t="str">
        <f>VLOOKUP(A597,Plano_V1!$A$584:$G$636,7,0)</f>
        <v>2. Em Teste</v>
      </c>
      <c r="H597" s="155" t="s">
        <v>177</v>
      </c>
      <c r="I597" s="164"/>
      <c r="J597" s="175" t="str">
        <f>IF(VLOOKUP(A597,'Aux - pivots1'!$A:$E,3,0)=0, "",VLOOKUP(A597,'Aux - pivots1'!$A:$E,3,0))</f>
        <v/>
      </c>
      <c r="K597" s="175" t="str">
        <f>IF(VLOOKUP(A597,'Aux - pivots1'!$A:$E,4,0)=0, "",VLOOKUP(A597,'Aux - pivots1'!$A:$E,4,0))</f>
        <v/>
      </c>
      <c r="L597" s="175" t="str">
        <f>IF(VLOOKUP(A597,'Aux - pivots1'!$A:$E,5,0)=0, "",VLOOKUP(A597,'Aux - pivots1'!$A:$E,5,0))</f>
        <v/>
      </c>
      <c r="M597" s="202"/>
    </row>
    <row r="598" spans="1:14" ht="16.2">
      <c r="A598" s="31" t="str">
        <f t="shared" si="12"/>
        <v>lt002_insrmntgrss_cmmssn_expns</v>
      </c>
      <c r="B598" s="162" t="s">
        <v>32</v>
      </c>
      <c r="C598" s="157" t="s">
        <v>32</v>
      </c>
      <c r="D598" s="153" t="s">
        <v>40</v>
      </c>
      <c r="E598" s="156" t="s">
        <v>439</v>
      </c>
      <c r="F598" s="156" t="s">
        <v>464</v>
      </c>
      <c r="G598" s="155" t="str">
        <f>VLOOKUP(A598,Plano_V1!$A$584:$G$636,7,0)</f>
        <v>2. Em Teste</v>
      </c>
      <c r="H598" s="155" t="s">
        <v>177</v>
      </c>
      <c r="I598" s="164"/>
      <c r="J598" s="175" t="str">
        <f>IF(VLOOKUP(A598,'Aux - pivots1'!$A:$E,3,0)=0, "",VLOOKUP(A598,'Aux - pivots1'!$A:$E,3,0))</f>
        <v/>
      </c>
      <c r="K598" s="175" t="str">
        <f>IF(VLOOKUP(A598,'Aux - pivots1'!$A:$E,4,0)=0, "",VLOOKUP(A598,'Aux - pivots1'!$A:$E,4,0))</f>
        <v/>
      </c>
      <c r="L598" s="175" t="str">
        <f>IF(VLOOKUP(A598,'Aux - pivots1'!$A:$E,5,0)=0, "",VLOOKUP(A598,'Aux - pivots1'!$A:$E,5,0))</f>
        <v/>
      </c>
      <c r="M598" s="202"/>
    </row>
    <row r="599" spans="1:14" ht="16.2">
      <c r="A599" s="31" t="str">
        <f t="shared" si="12"/>
        <v>lt002_insrmntgrss_cmmssn_expns_ccrr</v>
      </c>
      <c r="B599" s="162" t="s">
        <v>32</v>
      </c>
      <c r="C599" s="157" t="s">
        <v>32</v>
      </c>
      <c r="D599" s="153" t="s">
        <v>40</v>
      </c>
      <c r="E599" s="156" t="s">
        <v>439</v>
      </c>
      <c r="F599" s="156" t="s">
        <v>465</v>
      </c>
      <c r="G599" s="155" t="str">
        <f>VLOOKUP(A599,Plano_V1!$A$584:$G$636,7,0)</f>
        <v>2. Em Teste</v>
      </c>
      <c r="H599" s="155" t="s">
        <v>177</v>
      </c>
      <c r="I599" s="164"/>
      <c r="J599" s="175" t="str">
        <f>IF(VLOOKUP(A599,'Aux - pivots1'!$A:$E,3,0)=0, "",VLOOKUP(A599,'Aux - pivots1'!$A:$E,3,0))</f>
        <v/>
      </c>
      <c r="K599" s="175" t="str">
        <f>IF(VLOOKUP(A599,'Aux - pivots1'!$A:$E,4,0)=0, "",VLOOKUP(A599,'Aux - pivots1'!$A:$E,4,0))</f>
        <v/>
      </c>
      <c r="L599" s="175" t="str">
        <f>IF(VLOOKUP(A599,'Aux - pivots1'!$A:$E,5,0)=0, "",VLOOKUP(A599,'Aux - pivots1'!$A:$E,5,0))</f>
        <v/>
      </c>
      <c r="M599" s="202"/>
    </row>
    <row r="600" spans="1:14" ht="16.2">
      <c r="A600" s="31" t="str">
        <f t="shared" si="12"/>
        <v>lt002_insrmntgrss_intrst_expns</v>
      </c>
      <c r="B600" s="162" t="s">
        <v>32</v>
      </c>
      <c r="C600" s="157" t="s">
        <v>32</v>
      </c>
      <c r="D600" s="153" t="s">
        <v>40</v>
      </c>
      <c r="E600" s="156" t="s">
        <v>439</v>
      </c>
      <c r="F600" s="156" t="s">
        <v>466</v>
      </c>
      <c r="G600" s="155" t="str">
        <f>VLOOKUP(A600,Plano_V1!$A$584:$G$636,7,0)</f>
        <v>2. Em Teste</v>
      </c>
      <c r="H600" s="155" t="s">
        <v>177</v>
      </c>
      <c r="I600" s="164"/>
      <c r="J600" s="175" t="str">
        <f>IF(VLOOKUP(A600,'Aux - pivots1'!$A:$E,3,0)=0, "",VLOOKUP(A600,'Aux - pivots1'!$A:$E,3,0))</f>
        <v/>
      </c>
      <c r="K600" s="175" t="str">
        <f>IF(VLOOKUP(A600,'Aux - pivots1'!$A:$E,4,0)=0, "",VLOOKUP(A600,'Aux - pivots1'!$A:$E,4,0))</f>
        <v/>
      </c>
      <c r="L600" s="175" t="str">
        <f>IF(VLOOKUP(A600,'Aux - pivots1'!$A:$E,5,0)=0, "",VLOOKUP(A600,'Aux - pivots1'!$A:$E,5,0))</f>
        <v/>
      </c>
      <c r="M600" s="202"/>
    </row>
    <row r="601" spans="1:14" ht="16.2">
      <c r="A601" s="31" t="str">
        <f t="shared" si="12"/>
        <v>lt002_insrmntgrss_intrst_expns_ccrr</v>
      </c>
      <c r="B601" s="162" t="s">
        <v>32</v>
      </c>
      <c r="C601" s="157" t="s">
        <v>32</v>
      </c>
      <c r="D601" s="153" t="s">
        <v>40</v>
      </c>
      <c r="E601" s="156" t="s">
        <v>439</v>
      </c>
      <c r="F601" s="156" t="s">
        <v>467</v>
      </c>
      <c r="G601" s="155" t="str">
        <f>VLOOKUP(A601,Plano_V1!$A$584:$G$636,7,0)</f>
        <v>2. Em Teste</v>
      </c>
      <c r="H601" s="155" t="s">
        <v>177</v>
      </c>
      <c r="I601" s="164"/>
      <c r="J601" s="175" t="str">
        <f>IF(VLOOKUP(A601,'Aux - pivots1'!$A:$E,3,0)=0, "",VLOOKUP(A601,'Aux - pivots1'!$A:$E,3,0))</f>
        <v/>
      </c>
      <c r="K601" s="175" t="str">
        <f>IF(VLOOKUP(A601,'Aux - pivots1'!$A:$E,4,0)=0, "",VLOOKUP(A601,'Aux - pivots1'!$A:$E,4,0))</f>
        <v/>
      </c>
      <c r="L601" s="175" t="str">
        <f>IF(VLOOKUP(A601,'Aux - pivots1'!$A:$E,5,0)=0, "",VLOOKUP(A601,'Aux - pivots1'!$A:$E,5,0))</f>
        <v/>
      </c>
      <c r="M601" s="202"/>
    </row>
    <row r="602" spans="1:14" ht="16.2">
      <c r="A602" s="31" t="str">
        <f t="shared" si="12"/>
        <v>lt002_insrmntgns_fnncl_trnsctn_exchng_dffrncs</v>
      </c>
      <c r="B602" s="162" t="s">
        <v>32</v>
      </c>
      <c r="C602" s="157" t="s">
        <v>32</v>
      </c>
      <c r="D602" s="153" t="s">
        <v>40</v>
      </c>
      <c r="E602" s="156" t="s">
        <v>439</v>
      </c>
      <c r="F602" s="156" t="s">
        <v>468</v>
      </c>
      <c r="G602" s="155" t="str">
        <f>VLOOKUP(A602,Plano_V1!$A$584:$G$636,7,0)</f>
        <v>2. Em Teste</v>
      </c>
      <c r="H602" s="155" t="s">
        <v>177</v>
      </c>
      <c r="I602" s="164"/>
      <c r="J602" s="175" t="str">
        <f>IF(VLOOKUP(A602,'Aux - pivots1'!$A:$E,3,0)=0, "",VLOOKUP(A602,'Aux - pivots1'!$A:$E,3,0))</f>
        <v/>
      </c>
      <c r="K602" s="175" t="str">
        <f>IF(VLOOKUP(A602,'Aux - pivots1'!$A:$E,4,0)=0, "",VLOOKUP(A602,'Aux - pivots1'!$A:$E,4,0))</f>
        <v/>
      </c>
      <c r="L602" s="175" t="str">
        <f>IF(VLOOKUP(A602,'Aux - pivots1'!$A:$E,5,0)=0, "",VLOOKUP(A602,'Aux - pivots1'!$A:$E,5,0))</f>
        <v/>
      </c>
      <c r="M602" s="202"/>
    </row>
    <row r="603" spans="1:14" ht="16.2">
      <c r="A603" s="31" t="str">
        <f t="shared" si="12"/>
        <v>lt002_insrmntgns_fnncl_trnsctn_exchng_ccrr</v>
      </c>
      <c r="B603" s="162" t="s">
        <v>32</v>
      </c>
      <c r="C603" s="157" t="s">
        <v>32</v>
      </c>
      <c r="D603" s="153" t="s">
        <v>40</v>
      </c>
      <c r="E603" s="156" t="s">
        <v>439</v>
      </c>
      <c r="F603" s="156" t="s">
        <v>469</v>
      </c>
      <c r="G603" s="155" t="str">
        <f>VLOOKUP(A603,Plano_V1!$A$584:$G$636,7,0)</f>
        <v>2. Em Teste</v>
      </c>
      <c r="H603" s="155" t="s">
        <v>177</v>
      </c>
      <c r="I603" s="164"/>
      <c r="J603" s="175" t="str">
        <f>IF(VLOOKUP(A603,'Aux - pivots1'!$A:$E,3,0)=0, "",VLOOKUP(A603,'Aux - pivots1'!$A:$E,3,0))</f>
        <v/>
      </c>
      <c r="K603" s="175" t="str">
        <f>IF(VLOOKUP(A603,'Aux - pivots1'!$A:$E,4,0)=0, "",VLOOKUP(A603,'Aux - pivots1'!$A:$E,4,0))</f>
        <v/>
      </c>
      <c r="L603" s="175" t="str">
        <f>IF(VLOOKUP(A603,'Aux - pivots1'!$A:$E,5,0)=0, "",VLOOKUP(A603,'Aux - pivots1'!$A:$E,5,0))</f>
        <v/>
      </c>
      <c r="M603" s="202"/>
    </row>
    <row r="604" spans="1:14" ht="16.2">
      <c r="A604" s="31" t="str">
        <f t="shared" si="12"/>
        <v>lt002_insrmntcnclld_instrmnt_stts</v>
      </c>
      <c r="B604" s="162" t="s">
        <v>32</v>
      </c>
      <c r="C604" s="157" t="s">
        <v>32</v>
      </c>
      <c r="D604" s="153" t="s">
        <v>40</v>
      </c>
      <c r="E604" s="156" t="s">
        <v>439</v>
      </c>
      <c r="F604" s="156" t="s">
        <v>470</v>
      </c>
      <c r="G604" s="155" t="str">
        <f>VLOOKUP(A604,Plano_V1!$A$584:$G$636,7,0)</f>
        <v>2. Em Teste</v>
      </c>
      <c r="H604" s="155" t="s">
        <v>177</v>
      </c>
      <c r="I604" s="164" t="s">
        <v>505</v>
      </c>
      <c r="J604" s="175">
        <f>IF(VLOOKUP(A604,'Aux - pivots1'!$A:$E,3,0)=0, "",VLOOKUP(A604,'Aux - pivots1'!$A:$E,3,0))</f>
        <v>45471</v>
      </c>
      <c r="K604" s="175">
        <f>IF(VLOOKUP(A604,'Aux - pivots1'!$A:$E,4,0)=0, "",VLOOKUP(A604,'Aux - pivots1'!$A:$E,4,0))</f>
        <v>45481</v>
      </c>
      <c r="L604" s="175">
        <f>IF(VLOOKUP(A604,'Aux - pivots1'!$A:$E,5,0)=0, "",VLOOKUP(A604,'Aux - pivots1'!$A:$E,5,0))</f>
        <v>45481</v>
      </c>
      <c r="M604" s="202"/>
    </row>
    <row r="605" spans="1:14" ht="16.2">
      <c r="A605" s="31" t="str">
        <f t="shared" si="12"/>
        <v>lt002_insrmntsstnbl_indctr</v>
      </c>
      <c r="B605" s="162" t="s">
        <v>32</v>
      </c>
      <c r="C605" s="157" t="s">
        <v>32</v>
      </c>
      <c r="D605" s="153" t="s">
        <v>40</v>
      </c>
      <c r="E605" s="156" t="s">
        <v>439</v>
      </c>
      <c r="F605" s="156" t="s">
        <v>406</v>
      </c>
      <c r="G605" s="155" t="str">
        <f>VLOOKUP(A605,Plano_V1!$A$584:$G$636,7,0)</f>
        <v>2. Em Teste</v>
      </c>
      <c r="H605" s="155" t="s">
        <v>177</v>
      </c>
      <c r="I605" s="164" t="s">
        <v>505</v>
      </c>
      <c r="J605" s="175">
        <f>IF(VLOOKUP(A605,'Aux - pivots1'!$A:$E,3,0)=0, "",VLOOKUP(A605,'Aux - pivots1'!$A:$E,3,0))</f>
        <v>45471</v>
      </c>
      <c r="K605" s="175">
        <f>IF(VLOOKUP(A605,'Aux - pivots1'!$A:$E,4,0)=0, "",VLOOKUP(A605,'Aux - pivots1'!$A:$E,4,0))</f>
        <v>45481</v>
      </c>
      <c r="L605" s="175">
        <f>IF(VLOOKUP(A605,'Aux - pivots1'!$A:$E,5,0)=0, "",VLOOKUP(A605,'Aux - pivots1'!$A:$E,5,0))</f>
        <v>45481</v>
      </c>
      <c r="M605" s="202"/>
    </row>
    <row r="606" spans="1:14" ht="16.2">
      <c r="A606" s="31" t="str">
        <f t="shared" si="12"/>
        <v>modesg_inp_emss_nacenome_regiao</v>
      </c>
      <c r="B606" s="162" t="s">
        <v>28</v>
      </c>
      <c r="C606" s="157" t="s">
        <v>178</v>
      </c>
      <c r="D606" s="153" t="s">
        <v>40</v>
      </c>
      <c r="E606" s="154" t="s">
        <v>211</v>
      </c>
      <c r="F606" s="153" t="s">
        <v>213</v>
      </c>
      <c r="G606" s="155" t="s">
        <v>476</v>
      </c>
      <c r="H606" s="155" t="s">
        <v>476</v>
      </c>
      <c r="I606" s="164"/>
      <c r="J606" s="175" t="str">
        <f>IF(VLOOKUP(A606,'Aux - pivots1'!$A:$E,3,0)=0, "",VLOOKUP(A606,'Aux - pivots1'!$A:$E,3,0))</f>
        <v/>
      </c>
      <c r="K606" s="175" t="str">
        <f>IF(VLOOKUP(A606,'Aux - pivots1'!$A:$E,4,0)=0, "",VLOOKUP(A606,'Aux - pivots1'!$A:$E,4,0))</f>
        <v/>
      </c>
      <c r="L606" s="175" t="str">
        <f>IF(VLOOKUP(A606,'Aux - pivots1'!$A:$E,5,0)=0, "",VLOOKUP(A606,'Aux - pivots1'!$A:$E,5,0))</f>
        <v/>
      </c>
      <c r="M606" s="202"/>
      <c r="N606" s="31"/>
    </row>
    <row r="607" spans="1:14" ht="16.2">
      <c r="A607" s="31" t="str">
        <f t="shared" si="12"/>
        <v>modesg_inp_emss_nacearea_atividade</v>
      </c>
      <c r="B607" s="162" t="s">
        <v>28</v>
      </c>
      <c r="C607" s="157" t="s">
        <v>178</v>
      </c>
      <c r="D607" s="153" t="s">
        <v>40</v>
      </c>
      <c r="E607" s="154" t="s">
        <v>211</v>
      </c>
      <c r="F607" s="153" t="s">
        <v>506</v>
      </c>
      <c r="G607" s="155" t="s">
        <v>476</v>
      </c>
      <c r="H607" s="155" t="s">
        <v>476</v>
      </c>
      <c r="I607" s="164"/>
      <c r="J607" s="175" t="str">
        <f>IF(VLOOKUP(A607,'Aux - pivots1'!$A:$E,3,0)=0, "",VLOOKUP(A607,'Aux - pivots1'!$A:$E,3,0))</f>
        <v/>
      </c>
      <c r="K607" s="175" t="str">
        <f>IF(VLOOKUP(A607,'Aux - pivots1'!$A:$E,4,0)=0, "",VLOOKUP(A607,'Aux - pivots1'!$A:$E,4,0))</f>
        <v/>
      </c>
      <c r="L607" s="175" t="str">
        <f>IF(VLOOKUP(A607,'Aux - pivots1'!$A:$E,5,0)=0, "",VLOOKUP(A607,'Aux - pivots1'!$A:$E,5,0))</f>
        <v/>
      </c>
      <c r="M607" s="202"/>
      <c r="N607" s="31"/>
    </row>
    <row r="608" spans="1:14" ht="16.2">
      <c r="A608" s="31" t="str">
        <f t="shared" si="12"/>
        <v>modesg_inp_emss_nacetipo_atividade</v>
      </c>
      <c r="B608" s="162" t="s">
        <v>28</v>
      </c>
      <c r="C608" s="157" t="s">
        <v>178</v>
      </c>
      <c r="D608" s="153" t="s">
        <v>40</v>
      </c>
      <c r="E608" s="154" t="s">
        <v>211</v>
      </c>
      <c r="F608" s="153" t="s">
        <v>507</v>
      </c>
      <c r="G608" s="155" t="s">
        <v>476</v>
      </c>
      <c r="H608" s="155" t="s">
        <v>476</v>
      </c>
      <c r="I608" s="164"/>
      <c r="J608" s="175" t="str">
        <f>IF(VLOOKUP(A608,'Aux - pivots1'!$A:$E,3,0)=0, "",VLOOKUP(A608,'Aux - pivots1'!$A:$E,3,0))</f>
        <v/>
      </c>
      <c r="K608" s="175" t="str">
        <f>IF(VLOOKUP(A608,'Aux - pivots1'!$A:$E,4,0)=0, "",VLOOKUP(A608,'Aux - pivots1'!$A:$E,4,0))</f>
        <v/>
      </c>
      <c r="L608" s="175" t="str">
        <f>IF(VLOOKUP(A608,'Aux - pivots1'!$A:$E,5,0)=0, "",VLOOKUP(A608,'Aux - pivots1'!$A:$E,5,0))</f>
        <v/>
      </c>
      <c r="M608" s="202"/>
      <c r="N608" s="31"/>
    </row>
    <row r="609" spans="1:14" ht="16.2">
      <c r="A609" s="31" t="str">
        <f t="shared" si="12"/>
        <v>modesg_inp_emss_nacesub_tipo_atividade_1</v>
      </c>
      <c r="B609" s="162" t="s">
        <v>28</v>
      </c>
      <c r="C609" s="157" t="s">
        <v>178</v>
      </c>
      <c r="D609" s="153" t="s">
        <v>40</v>
      </c>
      <c r="E609" s="154" t="s">
        <v>211</v>
      </c>
      <c r="F609" s="153" t="s">
        <v>508</v>
      </c>
      <c r="G609" s="155" t="s">
        <v>476</v>
      </c>
      <c r="H609" s="155" t="s">
        <v>476</v>
      </c>
      <c r="I609" s="164"/>
      <c r="J609" s="175" t="str">
        <f>IF(VLOOKUP(A609,'Aux - pivots1'!$A:$E,3,0)=0, "",VLOOKUP(A609,'Aux - pivots1'!$A:$E,3,0))</f>
        <v/>
      </c>
      <c r="K609" s="175" t="str">
        <f>IF(VLOOKUP(A609,'Aux - pivots1'!$A:$E,4,0)=0, "",VLOOKUP(A609,'Aux - pivots1'!$A:$E,4,0))</f>
        <v/>
      </c>
      <c r="L609" s="175" t="str">
        <f>IF(VLOOKUP(A609,'Aux - pivots1'!$A:$E,5,0)=0, "",VLOOKUP(A609,'Aux - pivots1'!$A:$E,5,0))</f>
        <v/>
      </c>
      <c r="M609" s="202"/>
      <c r="N609" s="31"/>
    </row>
    <row r="610" spans="1:14" ht="16.2">
      <c r="A610" s="31" t="str">
        <f t="shared" si="12"/>
        <v>modesg_inp_emss_nacesub_tipo_atividade_2</v>
      </c>
      <c r="B610" s="162" t="s">
        <v>28</v>
      </c>
      <c r="C610" s="157" t="s">
        <v>178</v>
      </c>
      <c r="D610" s="153" t="s">
        <v>40</v>
      </c>
      <c r="E610" s="154" t="s">
        <v>211</v>
      </c>
      <c r="F610" s="153" t="s">
        <v>509</v>
      </c>
      <c r="G610" s="155" t="s">
        <v>476</v>
      </c>
      <c r="H610" s="155" t="s">
        <v>476</v>
      </c>
      <c r="I610" s="164"/>
      <c r="J610" s="175" t="str">
        <f>IF(VLOOKUP(A610,'Aux - pivots1'!$A:$E,3,0)=0, "",VLOOKUP(A610,'Aux - pivots1'!$A:$E,3,0))</f>
        <v/>
      </c>
      <c r="K610" s="175" t="str">
        <f>IF(VLOOKUP(A610,'Aux - pivots1'!$A:$E,4,0)=0, "",VLOOKUP(A610,'Aux - pivots1'!$A:$E,4,0))</f>
        <v/>
      </c>
      <c r="L610" s="175" t="str">
        <f>IF(VLOOKUP(A610,'Aux - pivots1'!$A:$E,5,0)=0, "",VLOOKUP(A610,'Aux - pivots1'!$A:$E,5,0))</f>
        <v/>
      </c>
      <c r="M610" s="202"/>
      <c r="N610" s="31"/>
    </row>
    <row r="611" spans="1:14" ht="16.2">
      <c r="A611" s="31" t="str">
        <f t="shared" si="12"/>
        <v>modesg_inp_emss_naceunidades_unidade_funcional</v>
      </c>
      <c r="B611" s="162" t="s">
        <v>28</v>
      </c>
      <c r="C611" s="157" t="s">
        <v>178</v>
      </c>
      <c r="D611" s="153" t="s">
        <v>40</v>
      </c>
      <c r="E611" s="154" t="s">
        <v>211</v>
      </c>
      <c r="F611" s="153" t="s">
        <v>510</v>
      </c>
      <c r="G611" s="155" t="s">
        <v>476</v>
      </c>
      <c r="H611" s="155" t="s">
        <v>476</v>
      </c>
      <c r="I611" s="164"/>
      <c r="J611" s="175" t="str">
        <f>IF(VLOOKUP(A611,'Aux - pivots1'!$A:$E,3,0)=0, "",VLOOKUP(A611,'Aux - pivots1'!$A:$E,3,0))</f>
        <v/>
      </c>
      <c r="K611" s="175" t="str">
        <f>IF(VLOOKUP(A611,'Aux - pivots1'!$A:$E,4,0)=0, "",VLOOKUP(A611,'Aux - pivots1'!$A:$E,4,0))</f>
        <v/>
      </c>
      <c r="L611" s="175" t="str">
        <f>IF(VLOOKUP(A611,'Aux - pivots1'!$A:$E,5,0)=0, "",VLOOKUP(A611,'Aux - pivots1'!$A:$E,5,0))</f>
        <v/>
      </c>
      <c r="M611" s="202"/>
      <c r="N611" s="31"/>
    </row>
    <row r="612" spans="1:14" ht="16.2">
      <c r="A612" s="31" t="str">
        <f t="shared" si="12"/>
        <v>modesg_inp_emss_nacefator_emissao</v>
      </c>
      <c r="B612" s="162" t="s">
        <v>28</v>
      </c>
      <c r="C612" s="157" t="s">
        <v>178</v>
      </c>
      <c r="D612" s="153" t="s">
        <v>40</v>
      </c>
      <c r="E612" s="154" t="s">
        <v>211</v>
      </c>
      <c r="F612" s="153" t="s">
        <v>511</v>
      </c>
      <c r="G612" s="155" t="s">
        <v>476</v>
      </c>
      <c r="H612" s="155" t="s">
        <v>476</v>
      </c>
      <c r="I612" s="164"/>
      <c r="J612" s="175" t="str">
        <f>IF(VLOOKUP(A612,'Aux - pivots1'!$A:$E,3,0)=0, "",VLOOKUP(A612,'Aux - pivots1'!$A:$E,3,0))</f>
        <v/>
      </c>
      <c r="K612" s="175" t="str">
        <f>IF(VLOOKUP(A612,'Aux - pivots1'!$A:$E,4,0)=0, "",VLOOKUP(A612,'Aux - pivots1'!$A:$E,4,0))</f>
        <v/>
      </c>
      <c r="L612" s="175" t="str">
        <f>IF(VLOOKUP(A612,'Aux - pivots1'!$A:$E,5,0)=0, "",VLOOKUP(A612,'Aux - pivots1'!$A:$E,5,0))</f>
        <v/>
      </c>
      <c r="M612" s="202"/>
      <c r="N612" s="31"/>
    </row>
    <row r="613" spans="1:14" ht="16.2">
      <c r="A613" s="31" t="str">
        <f t="shared" si="12"/>
        <v>modesg_inp_km_medios_emss_vclsmedia_scp1_emss</v>
      </c>
      <c r="B613" s="162" t="s">
        <v>28</v>
      </c>
      <c r="C613" s="157" t="s">
        <v>178</v>
      </c>
      <c r="D613" s="153" t="s">
        <v>40</v>
      </c>
      <c r="E613" s="154" t="s">
        <v>206</v>
      </c>
      <c r="F613" s="153" t="s">
        <v>512</v>
      </c>
      <c r="G613" s="155" t="s">
        <v>476</v>
      </c>
      <c r="H613" s="155" t="s">
        <v>476</v>
      </c>
      <c r="I613" s="164"/>
      <c r="J613" s="175" t="str">
        <f>IF(VLOOKUP(A613,'Aux - pivots1'!$A:$E,3,0)=0, "",VLOOKUP(A613,'Aux - pivots1'!$A:$E,3,0))</f>
        <v/>
      </c>
      <c r="K613" s="175" t="str">
        <f>IF(VLOOKUP(A613,'Aux - pivots1'!$A:$E,4,0)=0, "",VLOOKUP(A613,'Aux - pivots1'!$A:$E,4,0))</f>
        <v/>
      </c>
      <c r="L613" s="175" t="str">
        <f>IF(VLOOKUP(A613,'Aux - pivots1'!$A:$E,5,0)=0, "",VLOOKUP(A613,'Aux - pivots1'!$A:$E,5,0))</f>
        <v/>
      </c>
      <c r="M613" s="202"/>
      <c r="N613" s="31"/>
    </row>
    <row r="614" spans="1:14" ht="16.2">
      <c r="A614" s="31" t="str">
        <f t="shared" si="12"/>
        <v>modesg_inp_km_medios_emss_vclsmedia_scp2_emss</v>
      </c>
      <c r="B614" s="162" t="s">
        <v>28</v>
      </c>
      <c r="C614" s="157" t="s">
        <v>178</v>
      </c>
      <c r="D614" s="153" t="s">
        <v>40</v>
      </c>
      <c r="E614" s="154" t="s">
        <v>206</v>
      </c>
      <c r="F614" s="153" t="s">
        <v>513</v>
      </c>
      <c r="G614" s="155" t="s">
        <v>476</v>
      </c>
      <c r="H614" s="155" t="s">
        <v>476</v>
      </c>
      <c r="I614" s="164"/>
      <c r="J614" s="175" t="str">
        <f>IF(VLOOKUP(A614,'Aux - pivots1'!$A:$E,3,0)=0, "",VLOOKUP(A614,'Aux - pivots1'!$A:$E,3,0))</f>
        <v/>
      </c>
      <c r="K614" s="175" t="str">
        <f>IF(VLOOKUP(A614,'Aux - pivots1'!$A:$E,4,0)=0, "",VLOOKUP(A614,'Aux - pivots1'!$A:$E,4,0))</f>
        <v/>
      </c>
      <c r="L614" s="175" t="str">
        <f>IF(VLOOKUP(A614,'Aux - pivots1'!$A:$E,5,0)=0, "",VLOOKUP(A614,'Aux - pivots1'!$A:$E,5,0))</f>
        <v/>
      </c>
      <c r="M614" s="202"/>
      <c r="N614" s="31"/>
    </row>
    <row r="615" spans="1:14" ht="16.2">
      <c r="A615" s="31" t="str">
        <f t="shared" si="12"/>
        <v>modesg_inp_km_medios_emss_vclsmedia_scp3_emss</v>
      </c>
      <c r="B615" s="167" t="s">
        <v>28</v>
      </c>
      <c r="C615" s="168" t="s">
        <v>178</v>
      </c>
      <c r="D615" s="169" t="s">
        <v>40</v>
      </c>
      <c r="E615" s="170" t="s">
        <v>206</v>
      </c>
      <c r="F615" s="169" t="s">
        <v>514</v>
      </c>
      <c r="G615" s="171" t="s">
        <v>476</v>
      </c>
      <c r="H615" s="171" t="s">
        <v>476</v>
      </c>
      <c r="I615" s="172"/>
      <c r="J615" s="175" t="str">
        <f>IF(VLOOKUP(A615,'Aux - pivots1'!$A:$E,3,0)=0, "",VLOOKUP(A615,'Aux - pivots1'!$A:$E,3,0))</f>
        <v/>
      </c>
      <c r="K615" s="175" t="str">
        <f>IF(VLOOKUP(A615,'Aux - pivots1'!$A:$E,4,0)=0, "",VLOOKUP(A615,'Aux - pivots1'!$A:$E,4,0))</f>
        <v/>
      </c>
      <c r="L615" s="175" t="str">
        <f>IF(VLOOKUP(A615,'Aux - pivots1'!$A:$E,5,0)=0, "",VLOOKUP(A615,'Aux - pivots1'!$A:$E,5,0))</f>
        <v/>
      </c>
      <c r="M615" s="204"/>
      <c r="N615"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17"/>
  <sheetViews>
    <sheetView zoomScale="70" zoomScaleNormal="70" workbookViewId="0">
      <selection activeCell="A6" sqref="A6"/>
    </sheetView>
  </sheetViews>
  <sheetFormatPr defaultRowHeight="13.8"/>
  <cols>
    <col min="1" max="1" width="59.796875" bestFit="1" customWidth="1"/>
    <col min="2" max="2" width="14.3984375" bestFit="1" customWidth="1"/>
    <col min="3" max="3" width="48.3984375" bestFit="1" customWidth="1"/>
    <col min="4" max="4" width="40.09765625" bestFit="1" customWidth="1"/>
    <col min="5" max="5" width="39.09765625" bestFit="1" customWidth="1"/>
  </cols>
  <sheetData>
    <row r="3" spans="1:5">
      <c r="A3" s="55" t="s">
        <v>515</v>
      </c>
      <c r="B3" t="s">
        <v>516</v>
      </c>
      <c r="C3" t="s">
        <v>1841</v>
      </c>
      <c r="D3" t="s">
        <v>1842</v>
      </c>
      <c r="E3" t="s">
        <v>1843</v>
      </c>
    </row>
    <row r="4" spans="1:5">
      <c r="A4" t="s">
        <v>517</v>
      </c>
      <c r="B4" s="209">
        <v>6</v>
      </c>
      <c r="C4" s="209"/>
      <c r="D4" s="209"/>
      <c r="E4" s="209"/>
    </row>
    <row r="5" spans="1:5">
      <c r="A5" t="s">
        <v>518</v>
      </c>
      <c r="B5" s="209">
        <v>6</v>
      </c>
      <c r="C5" s="209"/>
      <c r="D5" s="209"/>
      <c r="E5" s="209"/>
    </row>
    <row r="6" spans="1:5">
      <c r="A6" t="s">
        <v>519</v>
      </c>
      <c r="B6" s="209">
        <v>6</v>
      </c>
      <c r="C6" s="209"/>
      <c r="D6" s="209"/>
      <c r="E6" s="209"/>
    </row>
    <row r="7" spans="1:5">
      <c r="A7" t="s">
        <v>520</v>
      </c>
      <c r="B7" s="209">
        <v>6</v>
      </c>
      <c r="C7" s="209"/>
      <c r="D7" s="209"/>
      <c r="E7" s="209"/>
    </row>
    <row r="8" spans="1:5">
      <c r="A8" t="s">
        <v>521</v>
      </c>
      <c r="B8" s="209">
        <v>6</v>
      </c>
      <c r="C8" s="209"/>
      <c r="D8" s="209"/>
      <c r="E8" s="209"/>
    </row>
    <row r="9" spans="1:5">
      <c r="A9" t="s">
        <v>522</v>
      </c>
      <c r="B9" s="209">
        <v>6</v>
      </c>
      <c r="C9" s="209"/>
      <c r="D9" s="209"/>
      <c r="E9" s="209"/>
    </row>
    <row r="10" spans="1:5">
      <c r="A10" t="s">
        <v>523</v>
      </c>
      <c r="B10" s="209">
        <v>6</v>
      </c>
      <c r="C10" s="209"/>
      <c r="D10" s="209"/>
      <c r="E10" s="209"/>
    </row>
    <row r="11" spans="1:5">
      <c r="A11" t="s">
        <v>524</v>
      </c>
      <c r="B11" s="209">
        <v>6</v>
      </c>
      <c r="C11" s="209"/>
      <c r="D11" s="209"/>
      <c r="E11" s="209"/>
    </row>
    <row r="12" spans="1:5">
      <c r="A12" t="s">
        <v>525</v>
      </c>
      <c r="B12" s="209">
        <v>6</v>
      </c>
      <c r="C12" s="209"/>
      <c r="D12" s="209"/>
      <c r="E12" s="209"/>
    </row>
    <row r="13" spans="1:5">
      <c r="A13" t="s">
        <v>526</v>
      </c>
      <c r="B13" s="209">
        <v>6</v>
      </c>
      <c r="C13" s="209"/>
      <c r="D13" s="209"/>
      <c r="E13" s="209"/>
    </row>
    <row r="14" spans="1:5">
      <c r="A14" t="s">
        <v>527</v>
      </c>
      <c r="B14" s="209">
        <v>6</v>
      </c>
      <c r="C14" s="209"/>
      <c r="D14" s="209"/>
      <c r="E14" s="209"/>
    </row>
    <row r="15" spans="1:5">
      <c r="A15" t="s">
        <v>528</v>
      </c>
      <c r="B15" s="209">
        <v>6</v>
      </c>
      <c r="C15" s="209"/>
      <c r="D15" s="209"/>
      <c r="E15" s="209"/>
    </row>
    <row r="16" spans="1:5">
      <c r="A16" t="s">
        <v>529</v>
      </c>
      <c r="B16" s="209">
        <v>6</v>
      </c>
      <c r="C16" s="209"/>
      <c r="D16" s="209"/>
      <c r="E16" s="209"/>
    </row>
    <row r="17" spans="1:5">
      <c r="A17" t="s">
        <v>530</v>
      </c>
      <c r="B17" s="209">
        <v>1</v>
      </c>
      <c r="C17" s="209"/>
      <c r="D17" s="209"/>
      <c r="E17" s="209"/>
    </row>
    <row r="18" spans="1:5">
      <c r="A18" t="s">
        <v>531</v>
      </c>
      <c r="B18" s="209">
        <v>1</v>
      </c>
      <c r="C18" s="209"/>
      <c r="D18" s="209"/>
      <c r="E18" s="209"/>
    </row>
    <row r="19" spans="1:5">
      <c r="A19" t="s">
        <v>532</v>
      </c>
      <c r="B19" s="209">
        <v>1</v>
      </c>
      <c r="C19" s="209"/>
      <c r="D19" s="209"/>
      <c r="E19" s="209"/>
    </row>
    <row r="20" spans="1:5">
      <c r="A20" t="s">
        <v>533</v>
      </c>
      <c r="B20" s="209">
        <v>1</v>
      </c>
      <c r="C20" s="209"/>
      <c r="D20" s="209"/>
      <c r="E20" s="209"/>
    </row>
    <row r="21" spans="1:5">
      <c r="A21" t="s">
        <v>534</v>
      </c>
      <c r="B21" s="209">
        <v>1</v>
      </c>
      <c r="C21" s="209"/>
      <c r="D21" s="209"/>
      <c r="E21" s="209"/>
    </row>
    <row r="22" spans="1:5">
      <c r="A22" t="s">
        <v>535</v>
      </c>
      <c r="B22" s="209">
        <v>1</v>
      </c>
      <c r="C22" s="209"/>
      <c r="D22" s="209"/>
      <c r="E22" s="209"/>
    </row>
    <row r="23" spans="1:5">
      <c r="A23" t="s">
        <v>536</v>
      </c>
      <c r="B23" s="209">
        <v>1</v>
      </c>
      <c r="C23" s="209"/>
      <c r="D23" s="209"/>
      <c r="E23" s="209"/>
    </row>
    <row r="24" spans="1:5">
      <c r="A24" t="s">
        <v>537</v>
      </c>
      <c r="B24" s="209">
        <v>1</v>
      </c>
      <c r="C24" s="209"/>
      <c r="D24" s="209"/>
      <c r="E24" s="209"/>
    </row>
    <row r="25" spans="1:5">
      <c r="A25" t="s">
        <v>538</v>
      </c>
      <c r="B25" s="209">
        <v>0</v>
      </c>
      <c r="C25" s="209"/>
      <c r="D25" s="209"/>
      <c r="E25" s="209"/>
    </row>
    <row r="26" spans="1:5">
      <c r="A26" t="s">
        <v>539</v>
      </c>
      <c r="B26" s="209">
        <v>1</v>
      </c>
      <c r="C26" s="209"/>
      <c r="D26" s="209"/>
      <c r="E26" s="209"/>
    </row>
    <row r="27" spans="1:5">
      <c r="A27" t="s">
        <v>540</v>
      </c>
      <c r="B27" s="209">
        <v>1</v>
      </c>
      <c r="C27" s="209"/>
      <c r="D27" s="209"/>
      <c r="E27" s="209"/>
    </row>
    <row r="28" spans="1:5">
      <c r="A28" t="s">
        <v>541</v>
      </c>
      <c r="B28" s="209">
        <v>1</v>
      </c>
      <c r="C28" s="209"/>
      <c r="D28" s="209"/>
      <c r="E28" s="209"/>
    </row>
    <row r="29" spans="1:5">
      <c r="A29" t="s">
        <v>542</v>
      </c>
      <c r="B29" s="209">
        <v>1</v>
      </c>
      <c r="C29" s="209"/>
      <c r="D29" s="209"/>
      <c r="E29" s="209"/>
    </row>
    <row r="30" spans="1:5">
      <c r="A30" t="s">
        <v>543</v>
      </c>
      <c r="B30" s="209">
        <v>1</v>
      </c>
      <c r="C30" s="209"/>
      <c r="D30" s="209"/>
      <c r="E30" s="209"/>
    </row>
    <row r="31" spans="1:5">
      <c r="A31" t="s">
        <v>544</v>
      </c>
      <c r="B31" s="209">
        <v>1</v>
      </c>
      <c r="C31" s="209"/>
      <c r="D31" s="209"/>
      <c r="E31" s="209"/>
    </row>
    <row r="32" spans="1:5">
      <c r="A32" t="s">
        <v>545</v>
      </c>
      <c r="B32" s="209">
        <v>1</v>
      </c>
      <c r="C32" s="209"/>
      <c r="D32" s="209"/>
      <c r="E32" s="209"/>
    </row>
    <row r="33" spans="1:5">
      <c r="A33" t="s">
        <v>546</v>
      </c>
      <c r="B33" s="209">
        <v>1</v>
      </c>
      <c r="C33" s="209"/>
      <c r="D33" s="209"/>
      <c r="E33" s="209"/>
    </row>
    <row r="34" spans="1:5">
      <c r="A34" t="s">
        <v>547</v>
      </c>
      <c r="B34" s="209">
        <v>1</v>
      </c>
      <c r="C34" s="209"/>
      <c r="D34" s="209"/>
      <c r="E34" s="209"/>
    </row>
    <row r="35" spans="1:5">
      <c r="A35" t="s">
        <v>548</v>
      </c>
      <c r="B35" s="209">
        <v>1</v>
      </c>
      <c r="C35" s="209"/>
      <c r="D35" s="209"/>
      <c r="E35" s="209"/>
    </row>
    <row r="36" spans="1:5">
      <c r="A36" t="s">
        <v>549</v>
      </c>
      <c r="B36" s="209">
        <v>1</v>
      </c>
      <c r="C36" s="209"/>
      <c r="D36" s="209"/>
      <c r="E36" s="209"/>
    </row>
    <row r="37" spans="1:5">
      <c r="A37" t="s">
        <v>550</v>
      </c>
      <c r="B37" s="209">
        <v>1</v>
      </c>
      <c r="C37" s="209"/>
      <c r="D37" s="209"/>
      <c r="E37" s="209"/>
    </row>
    <row r="38" spans="1:5">
      <c r="A38" t="s">
        <v>551</v>
      </c>
      <c r="B38" s="209">
        <v>1</v>
      </c>
      <c r="C38" s="209"/>
      <c r="D38" s="209"/>
      <c r="E38" s="209"/>
    </row>
    <row r="39" spans="1:5">
      <c r="A39" t="s">
        <v>552</v>
      </c>
      <c r="B39" s="209">
        <v>1</v>
      </c>
      <c r="C39" s="209"/>
      <c r="D39" s="209"/>
      <c r="E39" s="209"/>
    </row>
    <row r="40" spans="1:5">
      <c r="A40" t="s">
        <v>553</v>
      </c>
      <c r="B40" s="209">
        <v>1</v>
      </c>
      <c r="C40" s="209"/>
      <c r="D40" s="209"/>
      <c r="E40" s="209"/>
    </row>
    <row r="41" spans="1:5">
      <c r="A41" t="s">
        <v>554</v>
      </c>
      <c r="B41" s="209">
        <v>1</v>
      </c>
      <c r="C41" s="209"/>
      <c r="D41" s="209"/>
      <c r="E41" s="209"/>
    </row>
    <row r="42" spans="1:5">
      <c r="A42" t="s">
        <v>555</v>
      </c>
      <c r="B42" s="209">
        <v>1</v>
      </c>
      <c r="C42" s="209"/>
      <c r="D42" s="209"/>
      <c r="E42" s="209"/>
    </row>
    <row r="43" spans="1:5">
      <c r="A43" t="s">
        <v>556</v>
      </c>
      <c r="B43" s="209">
        <v>1</v>
      </c>
      <c r="C43" s="209"/>
      <c r="D43" s="209"/>
      <c r="E43" s="209"/>
    </row>
    <row r="44" spans="1:5">
      <c r="A44" t="s">
        <v>557</v>
      </c>
      <c r="B44" s="209">
        <v>1</v>
      </c>
      <c r="C44" s="209"/>
      <c r="D44" s="209"/>
      <c r="E44" s="209"/>
    </row>
    <row r="45" spans="1:5">
      <c r="A45" t="s">
        <v>558</v>
      </c>
      <c r="B45" s="209">
        <v>0</v>
      </c>
      <c r="C45" s="209"/>
      <c r="D45" s="209"/>
      <c r="E45" s="209"/>
    </row>
    <row r="46" spans="1:5">
      <c r="A46" t="s">
        <v>559</v>
      </c>
      <c r="B46" s="209">
        <v>1</v>
      </c>
      <c r="C46" s="201">
        <v>45491</v>
      </c>
      <c r="D46" s="201">
        <v>45495</v>
      </c>
      <c r="E46" s="201">
        <v>45495</v>
      </c>
    </row>
    <row r="47" spans="1:5">
      <c r="A47" t="s">
        <v>560</v>
      </c>
      <c r="B47" s="209">
        <v>1</v>
      </c>
      <c r="C47" s="201">
        <v>45491</v>
      </c>
      <c r="D47" s="201">
        <v>45495</v>
      </c>
      <c r="E47" s="201">
        <v>45495</v>
      </c>
    </row>
    <row r="48" spans="1:5">
      <c r="A48" t="s">
        <v>561</v>
      </c>
      <c r="B48" s="209">
        <v>1</v>
      </c>
      <c r="C48" s="209"/>
      <c r="D48" s="209"/>
      <c r="E48" s="209"/>
    </row>
    <row r="49" spans="1:5">
      <c r="A49" t="s">
        <v>562</v>
      </c>
      <c r="B49" s="209">
        <v>1</v>
      </c>
      <c r="C49" s="209"/>
      <c r="D49" s="209"/>
      <c r="E49" s="209"/>
    </row>
    <row r="50" spans="1:5">
      <c r="A50" t="s">
        <v>1869</v>
      </c>
      <c r="B50" s="209">
        <v>6</v>
      </c>
      <c r="C50" s="201">
        <v>45562</v>
      </c>
      <c r="D50" s="209"/>
      <c r="E50" s="209"/>
    </row>
    <row r="51" spans="1:5">
      <c r="A51" t="s">
        <v>563</v>
      </c>
      <c r="B51" s="209">
        <v>1</v>
      </c>
      <c r="C51" s="209"/>
      <c r="D51" s="209"/>
      <c r="E51" s="209"/>
    </row>
    <row r="52" spans="1:5">
      <c r="A52" t="s">
        <v>564</v>
      </c>
      <c r="B52" s="209">
        <v>1</v>
      </c>
      <c r="C52" s="209"/>
      <c r="D52" s="209"/>
      <c r="E52" s="209"/>
    </row>
    <row r="53" spans="1:5">
      <c r="A53" t="s">
        <v>565</v>
      </c>
      <c r="B53" s="209">
        <v>1</v>
      </c>
      <c r="C53" s="209"/>
      <c r="D53" s="209"/>
      <c r="E53" s="209"/>
    </row>
    <row r="54" spans="1:5">
      <c r="A54" t="s">
        <v>566</v>
      </c>
      <c r="B54" s="209">
        <v>1</v>
      </c>
      <c r="C54" s="209"/>
      <c r="D54" s="209"/>
      <c r="E54" s="209"/>
    </row>
    <row r="55" spans="1:5">
      <c r="A55" t="s">
        <v>1870</v>
      </c>
      <c r="B55" s="209">
        <v>6</v>
      </c>
      <c r="C55" s="201">
        <v>45562</v>
      </c>
      <c r="D55" s="209"/>
      <c r="E55" s="209"/>
    </row>
    <row r="56" spans="1:5">
      <c r="A56" t="s">
        <v>567</v>
      </c>
      <c r="B56" s="209">
        <v>6</v>
      </c>
      <c r="C56" s="201">
        <v>45562</v>
      </c>
      <c r="D56" s="209"/>
      <c r="E56" s="209"/>
    </row>
    <row r="57" spans="1:5">
      <c r="A57" t="s">
        <v>1871</v>
      </c>
      <c r="B57" s="209">
        <v>6</v>
      </c>
      <c r="C57" s="201">
        <v>45562</v>
      </c>
      <c r="D57" s="209"/>
      <c r="E57" s="209"/>
    </row>
    <row r="58" spans="1:5">
      <c r="A58" t="s">
        <v>1872</v>
      </c>
      <c r="B58" s="209">
        <v>6</v>
      </c>
      <c r="C58" s="201">
        <v>45562</v>
      </c>
      <c r="D58" s="209"/>
      <c r="E58" s="209"/>
    </row>
    <row r="59" spans="1:5">
      <c r="A59" t="s">
        <v>568</v>
      </c>
      <c r="B59" s="209">
        <v>6</v>
      </c>
      <c r="C59" s="201">
        <v>45562</v>
      </c>
      <c r="D59" s="209"/>
      <c r="E59" s="209"/>
    </row>
    <row r="60" spans="1:5">
      <c r="A60" t="s">
        <v>1873</v>
      </c>
      <c r="B60" s="209">
        <v>6</v>
      </c>
      <c r="C60" s="201">
        <v>45562</v>
      </c>
      <c r="D60" s="209"/>
      <c r="E60" s="209"/>
    </row>
    <row r="61" spans="1:5">
      <c r="A61" t="s">
        <v>569</v>
      </c>
      <c r="B61" s="209">
        <v>6</v>
      </c>
      <c r="C61" s="201">
        <v>45562</v>
      </c>
      <c r="D61" s="209"/>
      <c r="E61" s="209"/>
    </row>
    <row r="62" spans="1:5">
      <c r="A62" t="s">
        <v>570</v>
      </c>
      <c r="B62" s="209">
        <v>6</v>
      </c>
      <c r="C62" s="201">
        <v>45562</v>
      </c>
      <c r="D62" s="209"/>
      <c r="E62" s="209"/>
    </row>
    <row r="63" spans="1:5">
      <c r="A63" t="s">
        <v>571</v>
      </c>
      <c r="B63" s="209">
        <v>6</v>
      </c>
      <c r="C63" s="201">
        <v>45562</v>
      </c>
      <c r="D63" s="209"/>
      <c r="E63" s="209"/>
    </row>
    <row r="64" spans="1:5">
      <c r="A64" t="s">
        <v>572</v>
      </c>
      <c r="B64" s="209">
        <v>6</v>
      </c>
      <c r="C64" s="201">
        <v>45562</v>
      </c>
      <c r="D64" s="209"/>
      <c r="E64" s="209"/>
    </row>
    <row r="65" spans="1:5">
      <c r="A65" t="s">
        <v>573</v>
      </c>
      <c r="B65" s="209">
        <v>1</v>
      </c>
      <c r="C65" s="209"/>
      <c r="D65" s="209"/>
      <c r="E65" s="209"/>
    </row>
    <row r="66" spans="1:5">
      <c r="A66" t="s">
        <v>574</v>
      </c>
      <c r="B66" s="209">
        <v>1</v>
      </c>
      <c r="C66" s="209"/>
      <c r="D66" s="209"/>
      <c r="E66" s="209"/>
    </row>
    <row r="67" spans="1:5">
      <c r="A67" t="s">
        <v>575</v>
      </c>
      <c r="B67" s="209">
        <v>6</v>
      </c>
      <c r="C67" s="201">
        <v>45562</v>
      </c>
      <c r="D67" s="209"/>
      <c r="E67" s="209"/>
    </row>
    <row r="68" spans="1:5">
      <c r="A68" t="s">
        <v>576</v>
      </c>
      <c r="B68" s="209">
        <v>1</v>
      </c>
      <c r="C68" s="209"/>
      <c r="D68" s="209"/>
      <c r="E68" s="209"/>
    </row>
    <row r="69" spans="1:5">
      <c r="A69" t="s">
        <v>577</v>
      </c>
      <c r="B69" s="209">
        <v>6</v>
      </c>
      <c r="C69" s="201">
        <v>45562</v>
      </c>
      <c r="D69" s="209"/>
      <c r="E69" s="209"/>
    </row>
    <row r="70" spans="1:5">
      <c r="A70" t="s">
        <v>1874</v>
      </c>
      <c r="B70" s="209">
        <v>6</v>
      </c>
      <c r="C70" s="201">
        <v>45562</v>
      </c>
      <c r="D70" s="209"/>
      <c r="E70" s="209"/>
    </row>
    <row r="71" spans="1:5">
      <c r="A71" t="s">
        <v>1875</v>
      </c>
      <c r="B71" s="209">
        <v>6</v>
      </c>
      <c r="C71" s="201">
        <v>45562</v>
      </c>
      <c r="D71" s="209"/>
      <c r="E71" s="209"/>
    </row>
    <row r="72" spans="1:5">
      <c r="A72" t="s">
        <v>578</v>
      </c>
      <c r="B72" s="209">
        <v>6</v>
      </c>
      <c r="C72" s="201">
        <v>45562</v>
      </c>
      <c r="D72" s="209"/>
      <c r="E72" s="209"/>
    </row>
    <row r="73" spans="1:5">
      <c r="A73" t="s">
        <v>579</v>
      </c>
      <c r="B73" s="209">
        <v>1</v>
      </c>
      <c r="C73" s="209"/>
      <c r="D73" s="209"/>
      <c r="E73" s="209"/>
    </row>
    <row r="74" spans="1:5">
      <c r="A74" t="s">
        <v>580</v>
      </c>
      <c r="B74" s="209">
        <v>1</v>
      </c>
      <c r="C74" s="209"/>
      <c r="D74" s="209"/>
      <c r="E74" s="209"/>
    </row>
    <row r="75" spans="1:5">
      <c r="A75" t="s">
        <v>581</v>
      </c>
      <c r="B75" s="209">
        <v>6</v>
      </c>
      <c r="C75" s="201">
        <v>45562</v>
      </c>
      <c r="D75" s="209"/>
      <c r="E75" s="209"/>
    </row>
    <row r="76" spans="1:5">
      <c r="A76" t="s">
        <v>582</v>
      </c>
      <c r="B76" s="209">
        <v>1</v>
      </c>
      <c r="C76" s="209"/>
      <c r="D76" s="209"/>
      <c r="E76" s="209"/>
    </row>
    <row r="77" spans="1:5">
      <c r="A77" t="s">
        <v>583</v>
      </c>
      <c r="B77" s="209">
        <v>6</v>
      </c>
      <c r="C77" s="201">
        <v>45562</v>
      </c>
      <c r="D77" s="209"/>
      <c r="E77" s="209"/>
    </row>
    <row r="78" spans="1:5">
      <c r="A78" t="s">
        <v>584</v>
      </c>
      <c r="B78" s="209">
        <v>1</v>
      </c>
      <c r="C78" s="209"/>
      <c r="D78" s="209"/>
      <c r="E78" s="209"/>
    </row>
    <row r="79" spans="1:5">
      <c r="A79" t="s">
        <v>585</v>
      </c>
      <c r="B79" s="209">
        <v>1</v>
      </c>
      <c r="C79" s="209"/>
      <c r="D79" s="209"/>
      <c r="E79" s="209"/>
    </row>
    <row r="80" spans="1:5">
      <c r="A80" t="s">
        <v>586</v>
      </c>
      <c r="B80" s="209">
        <v>1</v>
      </c>
      <c r="C80" s="209"/>
      <c r="D80" s="209"/>
      <c r="E80" s="209"/>
    </row>
    <row r="81" spans="1:5">
      <c r="A81" t="s">
        <v>587</v>
      </c>
      <c r="B81" s="209">
        <v>1</v>
      </c>
      <c r="C81" s="209"/>
      <c r="D81" s="209"/>
      <c r="E81" s="209"/>
    </row>
    <row r="82" spans="1:5">
      <c r="A82" t="s">
        <v>588</v>
      </c>
      <c r="B82" s="209">
        <v>1</v>
      </c>
      <c r="C82" s="209"/>
      <c r="D82" s="209"/>
      <c r="E82" s="209"/>
    </row>
    <row r="83" spans="1:5">
      <c r="A83" t="s">
        <v>589</v>
      </c>
      <c r="B83" s="209">
        <v>1</v>
      </c>
      <c r="C83" s="209"/>
      <c r="D83" s="209"/>
      <c r="E83" s="209"/>
    </row>
    <row r="84" spans="1:5">
      <c r="A84" t="s">
        <v>590</v>
      </c>
      <c r="B84" s="209">
        <v>1</v>
      </c>
      <c r="C84" s="209"/>
      <c r="D84" s="209"/>
      <c r="E84" s="209"/>
    </row>
    <row r="85" spans="1:5">
      <c r="A85" t="s">
        <v>591</v>
      </c>
      <c r="B85" s="209">
        <v>1</v>
      </c>
      <c r="C85" s="209"/>
      <c r="D85" s="209"/>
      <c r="E85" s="209"/>
    </row>
    <row r="86" spans="1:5">
      <c r="A86" t="s">
        <v>592</v>
      </c>
      <c r="B86" s="209">
        <v>1</v>
      </c>
      <c r="C86" s="209"/>
      <c r="D86" s="209"/>
      <c r="E86" s="209"/>
    </row>
    <row r="87" spans="1:5">
      <c r="A87" t="s">
        <v>593</v>
      </c>
      <c r="B87" s="209">
        <v>1</v>
      </c>
      <c r="C87" s="209"/>
      <c r="D87" s="209"/>
      <c r="E87" s="209"/>
    </row>
    <row r="88" spans="1:5">
      <c r="A88" t="s">
        <v>594</v>
      </c>
      <c r="B88" s="209">
        <v>1</v>
      </c>
      <c r="C88" s="209"/>
      <c r="D88" s="209"/>
      <c r="E88" s="209"/>
    </row>
    <row r="89" spans="1:5">
      <c r="A89" t="s">
        <v>595</v>
      </c>
      <c r="B89" s="209">
        <v>6</v>
      </c>
      <c r="C89" s="201">
        <v>45562</v>
      </c>
      <c r="D89" s="209"/>
      <c r="E89" s="209"/>
    </row>
    <row r="90" spans="1:5">
      <c r="A90" t="s">
        <v>596</v>
      </c>
      <c r="B90" s="209">
        <v>1</v>
      </c>
      <c r="C90" s="209"/>
      <c r="D90" s="209"/>
      <c r="E90" s="209"/>
    </row>
    <row r="91" spans="1:5">
      <c r="A91" t="s">
        <v>597</v>
      </c>
      <c r="B91" s="209">
        <v>1</v>
      </c>
      <c r="C91" s="209"/>
      <c r="D91" s="209"/>
      <c r="E91" s="209"/>
    </row>
    <row r="92" spans="1:5">
      <c r="A92" t="s">
        <v>598</v>
      </c>
      <c r="B92" s="209">
        <v>1</v>
      </c>
      <c r="C92" s="209"/>
      <c r="D92" s="209"/>
      <c r="E92" s="209"/>
    </row>
    <row r="93" spans="1:5">
      <c r="A93" t="s">
        <v>599</v>
      </c>
      <c r="B93" s="209">
        <v>1</v>
      </c>
      <c r="C93" s="209"/>
      <c r="D93" s="209"/>
      <c r="E93" s="209"/>
    </row>
    <row r="94" spans="1:5">
      <c r="A94" t="s">
        <v>600</v>
      </c>
      <c r="B94" s="209">
        <v>1</v>
      </c>
      <c r="C94" s="209"/>
      <c r="D94" s="209"/>
      <c r="E94" s="209"/>
    </row>
    <row r="95" spans="1:5">
      <c r="A95" t="s">
        <v>601</v>
      </c>
      <c r="B95" s="209">
        <v>1</v>
      </c>
      <c r="C95" s="209"/>
      <c r="D95" s="209"/>
      <c r="E95" s="209"/>
    </row>
    <row r="96" spans="1:5">
      <c r="A96" t="s">
        <v>602</v>
      </c>
      <c r="B96" s="209">
        <v>1</v>
      </c>
      <c r="C96" s="209"/>
      <c r="D96" s="209"/>
      <c r="E96" s="209"/>
    </row>
    <row r="97" spans="1:5">
      <c r="A97" t="s">
        <v>603</v>
      </c>
      <c r="B97" s="209">
        <v>1</v>
      </c>
      <c r="C97" s="209"/>
      <c r="D97" s="209"/>
      <c r="E97" s="209"/>
    </row>
    <row r="98" spans="1:5">
      <c r="A98" t="s">
        <v>604</v>
      </c>
      <c r="B98" s="209">
        <v>6</v>
      </c>
      <c r="C98" s="201">
        <v>45562</v>
      </c>
      <c r="D98" s="209"/>
      <c r="E98" s="209"/>
    </row>
    <row r="99" spans="1:5">
      <c r="A99" t="s">
        <v>605</v>
      </c>
      <c r="B99" s="209">
        <v>1</v>
      </c>
      <c r="C99" s="209"/>
      <c r="D99" s="209"/>
      <c r="E99" s="209"/>
    </row>
    <row r="100" spans="1:5">
      <c r="A100" t="s">
        <v>606</v>
      </c>
      <c r="B100" s="209">
        <v>1</v>
      </c>
      <c r="C100" s="209"/>
      <c r="D100" s="209"/>
      <c r="E100" s="209"/>
    </row>
    <row r="101" spans="1:5">
      <c r="A101" t="s">
        <v>607</v>
      </c>
      <c r="B101" s="209">
        <v>1</v>
      </c>
      <c r="C101" s="209"/>
      <c r="D101" s="209"/>
      <c r="E101" s="209"/>
    </row>
    <row r="102" spans="1:5">
      <c r="A102" t="s">
        <v>608</v>
      </c>
      <c r="B102" s="209">
        <v>1</v>
      </c>
      <c r="C102" s="209"/>
      <c r="D102" s="209"/>
      <c r="E102" s="209"/>
    </row>
    <row r="103" spans="1:5">
      <c r="A103" t="s">
        <v>609</v>
      </c>
      <c r="B103" s="209">
        <v>6</v>
      </c>
      <c r="C103" s="201">
        <v>45562</v>
      </c>
      <c r="D103" s="209"/>
      <c r="E103" s="209"/>
    </row>
    <row r="104" spans="1:5">
      <c r="A104" t="s">
        <v>610</v>
      </c>
      <c r="B104" s="209">
        <v>1</v>
      </c>
      <c r="C104" s="209"/>
      <c r="D104" s="209"/>
      <c r="E104" s="209"/>
    </row>
    <row r="105" spans="1:5">
      <c r="A105" t="s">
        <v>611</v>
      </c>
      <c r="B105" s="209">
        <v>1</v>
      </c>
      <c r="C105" s="209"/>
      <c r="D105" s="209"/>
      <c r="E105" s="209"/>
    </row>
    <row r="106" spans="1:5">
      <c r="A106" t="s">
        <v>612</v>
      </c>
      <c r="B106" s="209">
        <v>1</v>
      </c>
      <c r="C106" s="209"/>
      <c r="D106" s="209"/>
      <c r="E106" s="209"/>
    </row>
    <row r="107" spans="1:5">
      <c r="A107" t="s">
        <v>613</v>
      </c>
      <c r="B107" s="209">
        <v>6</v>
      </c>
      <c r="C107" s="201">
        <v>45562</v>
      </c>
      <c r="D107" s="209"/>
      <c r="E107" s="209"/>
    </row>
    <row r="108" spans="1:5">
      <c r="A108" t="s">
        <v>614</v>
      </c>
      <c r="B108" s="209">
        <v>1</v>
      </c>
      <c r="C108" s="209"/>
      <c r="D108" s="209"/>
      <c r="E108" s="209"/>
    </row>
    <row r="109" spans="1:5">
      <c r="A109" t="s">
        <v>615</v>
      </c>
      <c r="B109" s="209">
        <v>1</v>
      </c>
      <c r="C109" s="209"/>
      <c r="D109" s="209"/>
      <c r="E109" s="209"/>
    </row>
    <row r="110" spans="1:5">
      <c r="A110" t="s">
        <v>616</v>
      </c>
      <c r="B110" s="209">
        <v>1</v>
      </c>
      <c r="C110" s="209"/>
      <c r="D110" s="209"/>
      <c r="E110" s="209"/>
    </row>
    <row r="111" spans="1:5">
      <c r="A111" t="s">
        <v>617</v>
      </c>
      <c r="B111" s="209">
        <v>1</v>
      </c>
      <c r="C111" s="209"/>
      <c r="D111" s="209"/>
      <c r="E111" s="209"/>
    </row>
    <row r="112" spans="1:5">
      <c r="A112" t="s">
        <v>618</v>
      </c>
      <c r="B112" s="209">
        <v>1</v>
      </c>
      <c r="C112" s="209"/>
      <c r="D112" s="209"/>
      <c r="E112" s="209"/>
    </row>
    <row r="113" spans="1:5">
      <c r="A113" t="s">
        <v>619</v>
      </c>
      <c r="B113" s="209">
        <v>1</v>
      </c>
      <c r="C113" s="209"/>
      <c r="D113" s="209"/>
      <c r="E113" s="209"/>
    </row>
    <row r="114" spans="1:5">
      <c r="A114" t="s">
        <v>620</v>
      </c>
      <c r="B114" s="209">
        <v>1</v>
      </c>
      <c r="C114" s="209"/>
      <c r="D114" s="209"/>
      <c r="E114" s="209"/>
    </row>
    <row r="115" spans="1:5">
      <c r="A115" t="s">
        <v>621</v>
      </c>
      <c r="B115" s="209">
        <v>1</v>
      </c>
      <c r="C115" s="209"/>
      <c r="D115" s="209"/>
      <c r="E115" s="209"/>
    </row>
    <row r="116" spans="1:5">
      <c r="A116" t="s">
        <v>622</v>
      </c>
      <c r="B116" s="209">
        <v>1</v>
      </c>
      <c r="C116" s="209"/>
      <c r="D116" s="209"/>
      <c r="E116" s="209"/>
    </row>
    <row r="117" spans="1:5">
      <c r="A117" t="s">
        <v>623</v>
      </c>
      <c r="B117" s="209">
        <v>1</v>
      </c>
      <c r="C117" s="209"/>
      <c r="D117" s="209"/>
      <c r="E117" s="209"/>
    </row>
    <row r="118" spans="1:5">
      <c r="A118" t="s">
        <v>624</v>
      </c>
      <c r="B118" s="209">
        <v>1</v>
      </c>
      <c r="C118" s="209"/>
      <c r="D118" s="209"/>
      <c r="E118" s="209"/>
    </row>
    <row r="119" spans="1:5">
      <c r="A119" t="s">
        <v>625</v>
      </c>
      <c r="B119" s="209">
        <v>1</v>
      </c>
      <c r="C119" s="209"/>
      <c r="D119" s="209"/>
      <c r="E119" s="209"/>
    </row>
    <row r="120" spans="1:5">
      <c r="A120" t="s">
        <v>626</v>
      </c>
      <c r="B120" s="209">
        <v>1</v>
      </c>
      <c r="C120" s="209"/>
      <c r="D120" s="209"/>
      <c r="E120" s="209"/>
    </row>
    <row r="121" spans="1:5">
      <c r="A121" t="s">
        <v>627</v>
      </c>
      <c r="B121" s="209">
        <v>1</v>
      </c>
      <c r="C121" s="209"/>
      <c r="D121" s="209"/>
      <c r="E121" s="209"/>
    </row>
    <row r="122" spans="1:5">
      <c r="A122" t="s">
        <v>628</v>
      </c>
      <c r="B122" s="209">
        <v>1</v>
      </c>
      <c r="C122" s="209"/>
      <c r="D122" s="209"/>
      <c r="E122" s="209"/>
    </row>
    <row r="123" spans="1:5">
      <c r="A123" t="s">
        <v>629</v>
      </c>
      <c r="B123" s="209">
        <v>1</v>
      </c>
      <c r="C123" s="209"/>
      <c r="D123" s="209"/>
      <c r="E123" s="209"/>
    </row>
    <row r="124" spans="1:5">
      <c r="A124" t="s">
        <v>630</v>
      </c>
      <c r="B124" s="209">
        <v>1</v>
      </c>
      <c r="C124" s="209"/>
      <c r="D124" s="209"/>
      <c r="E124" s="209"/>
    </row>
    <row r="125" spans="1:5">
      <c r="A125" t="s">
        <v>631</v>
      </c>
      <c r="B125" s="209">
        <v>1</v>
      </c>
      <c r="C125" s="209"/>
      <c r="D125" s="209"/>
      <c r="E125" s="209"/>
    </row>
    <row r="126" spans="1:5">
      <c r="A126" t="s">
        <v>632</v>
      </c>
      <c r="B126" s="209">
        <v>0</v>
      </c>
      <c r="C126" s="209"/>
      <c r="D126" s="209"/>
      <c r="E126" s="209"/>
    </row>
    <row r="127" spans="1:5">
      <c r="A127" t="s">
        <v>633</v>
      </c>
      <c r="B127" s="209">
        <v>1</v>
      </c>
      <c r="C127" s="209"/>
      <c r="D127" s="209"/>
      <c r="E127" s="209"/>
    </row>
    <row r="128" spans="1:5">
      <c r="A128" t="s">
        <v>634</v>
      </c>
      <c r="B128" s="209">
        <v>1</v>
      </c>
      <c r="C128" s="201">
        <v>45512</v>
      </c>
      <c r="D128" s="201">
        <v>45526</v>
      </c>
      <c r="E128" s="209"/>
    </row>
    <row r="129" spans="1:5">
      <c r="A129" t="s">
        <v>635</v>
      </c>
      <c r="B129" s="209">
        <v>1</v>
      </c>
      <c r="C129" s="209"/>
      <c r="D129" s="209"/>
      <c r="E129" s="209"/>
    </row>
    <row r="130" spans="1:5">
      <c r="A130" t="s">
        <v>636</v>
      </c>
      <c r="B130" s="209">
        <v>1</v>
      </c>
      <c r="C130" s="209"/>
      <c r="D130" s="209"/>
      <c r="E130" s="209"/>
    </row>
    <row r="131" spans="1:5">
      <c r="A131" t="s">
        <v>637</v>
      </c>
      <c r="B131" s="209">
        <v>1</v>
      </c>
      <c r="C131" s="209"/>
      <c r="D131" s="209"/>
      <c r="E131" s="209"/>
    </row>
    <row r="132" spans="1:5">
      <c r="A132" t="s">
        <v>638</v>
      </c>
      <c r="B132" s="209">
        <v>1</v>
      </c>
      <c r="C132" s="209"/>
      <c r="D132" s="209"/>
      <c r="E132" s="209"/>
    </row>
    <row r="133" spans="1:5">
      <c r="A133" t="s">
        <v>639</v>
      </c>
      <c r="B133" s="209">
        <v>1</v>
      </c>
      <c r="C133" s="209"/>
      <c r="D133" s="209"/>
      <c r="E133" s="209"/>
    </row>
    <row r="134" spans="1:5">
      <c r="A134" t="s">
        <v>640</v>
      </c>
      <c r="B134" s="209">
        <v>1</v>
      </c>
      <c r="C134" s="209"/>
      <c r="D134" s="209"/>
      <c r="E134" s="209"/>
    </row>
    <row r="135" spans="1:5">
      <c r="A135" t="s">
        <v>641</v>
      </c>
      <c r="B135" s="209">
        <v>1</v>
      </c>
      <c r="C135" s="209"/>
      <c r="D135" s="209"/>
      <c r="E135" s="209"/>
    </row>
    <row r="136" spans="1:5">
      <c r="A136" t="s">
        <v>642</v>
      </c>
      <c r="B136" s="209">
        <v>0</v>
      </c>
      <c r="C136" s="209"/>
      <c r="D136" s="209"/>
      <c r="E136" s="209"/>
    </row>
    <row r="137" spans="1:5">
      <c r="A137" t="s">
        <v>643</v>
      </c>
      <c r="B137" s="209">
        <v>0</v>
      </c>
      <c r="C137" s="209"/>
      <c r="D137" s="209"/>
      <c r="E137" s="209"/>
    </row>
    <row r="138" spans="1:5">
      <c r="A138" t="s">
        <v>644</v>
      </c>
      <c r="B138" s="209">
        <v>1</v>
      </c>
      <c r="C138" s="209"/>
      <c r="D138" s="209"/>
      <c r="E138" s="209"/>
    </row>
    <row r="139" spans="1:5">
      <c r="A139" t="s">
        <v>645</v>
      </c>
      <c r="B139" s="209">
        <v>0</v>
      </c>
      <c r="C139" s="209"/>
      <c r="D139" s="209"/>
      <c r="E139" s="209"/>
    </row>
    <row r="140" spans="1:5">
      <c r="A140" t="s">
        <v>646</v>
      </c>
      <c r="B140" s="209">
        <v>1</v>
      </c>
      <c r="C140" s="209"/>
      <c r="D140" s="209"/>
      <c r="E140" s="209"/>
    </row>
    <row r="141" spans="1:5">
      <c r="A141" t="s">
        <v>647</v>
      </c>
      <c r="B141" s="209">
        <v>1</v>
      </c>
      <c r="C141" s="209"/>
      <c r="D141" s="209"/>
      <c r="E141" s="209"/>
    </row>
    <row r="142" spans="1:5">
      <c r="A142" t="s">
        <v>648</v>
      </c>
      <c r="B142" s="209">
        <v>1</v>
      </c>
      <c r="C142" s="209"/>
      <c r="D142" s="209"/>
      <c r="E142" s="209"/>
    </row>
    <row r="143" spans="1:5">
      <c r="A143" t="s">
        <v>649</v>
      </c>
      <c r="B143" s="209">
        <v>1</v>
      </c>
      <c r="C143" s="209"/>
      <c r="D143" s="209"/>
      <c r="E143" s="209"/>
    </row>
    <row r="144" spans="1:5">
      <c r="A144" t="s">
        <v>650</v>
      </c>
      <c r="B144" s="209">
        <v>1</v>
      </c>
      <c r="C144" s="209"/>
      <c r="D144" s="209"/>
      <c r="E144" s="209"/>
    </row>
    <row r="145" spans="1:5">
      <c r="A145" t="s">
        <v>651</v>
      </c>
      <c r="B145" s="209">
        <v>1</v>
      </c>
      <c r="C145" s="209"/>
      <c r="D145" s="209"/>
      <c r="E145" s="209"/>
    </row>
    <row r="146" spans="1:5">
      <c r="A146" t="s">
        <v>652</v>
      </c>
      <c r="B146" s="209">
        <v>1</v>
      </c>
      <c r="C146" s="209"/>
      <c r="D146" s="209"/>
      <c r="E146" s="209"/>
    </row>
    <row r="147" spans="1:5">
      <c r="A147" t="s">
        <v>653</v>
      </c>
      <c r="B147" s="209">
        <v>1</v>
      </c>
      <c r="C147" s="209"/>
      <c r="D147" s="209"/>
      <c r="E147" s="209"/>
    </row>
    <row r="148" spans="1:5">
      <c r="A148" t="s">
        <v>654</v>
      </c>
      <c r="B148" s="209">
        <v>1</v>
      </c>
      <c r="C148" s="209"/>
      <c r="D148" s="209"/>
      <c r="E148" s="209"/>
    </row>
    <row r="149" spans="1:5">
      <c r="A149" t="s">
        <v>655</v>
      </c>
      <c r="B149" s="209">
        <v>1</v>
      </c>
      <c r="C149" s="209"/>
      <c r="D149" s="209"/>
      <c r="E149" s="209"/>
    </row>
    <row r="150" spans="1:5">
      <c r="A150" t="s">
        <v>656</v>
      </c>
      <c r="B150" s="209">
        <v>1</v>
      </c>
      <c r="C150" s="209"/>
      <c r="D150" s="209"/>
      <c r="E150" s="209"/>
    </row>
    <row r="151" spans="1:5">
      <c r="A151" t="s">
        <v>657</v>
      </c>
      <c r="B151" s="209">
        <v>0</v>
      </c>
      <c r="C151" s="209"/>
      <c r="D151" s="209"/>
      <c r="E151" s="209"/>
    </row>
    <row r="152" spans="1:5">
      <c r="A152" t="s">
        <v>658</v>
      </c>
      <c r="B152" s="209">
        <v>1</v>
      </c>
      <c r="C152" s="209"/>
      <c r="D152" s="209"/>
      <c r="E152" s="209"/>
    </row>
    <row r="153" spans="1:5">
      <c r="A153" t="s">
        <v>659</v>
      </c>
      <c r="B153" s="209">
        <v>1</v>
      </c>
      <c r="C153" s="209"/>
      <c r="D153" s="209"/>
      <c r="E153" s="209"/>
    </row>
    <row r="154" spans="1:5">
      <c r="A154" t="s">
        <v>660</v>
      </c>
      <c r="B154" s="209">
        <v>1</v>
      </c>
      <c r="C154" s="209"/>
      <c r="D154" s="209"/>
      <c r="E154" s="209"/>
    </row>
    <row r="155" spans="1:5">
      <c r="A155" t="s">
        <v>661</v>
      </c>
      <c r="B155" s="209">
        <v>1</v>
      </c>
      <c r="C155" s="209"/>
      <c r="D155" s="209"/>
      <c r="E155" s="209"/>
    </row>
    <row r="156" spans="1:5">
      <c r="A156" t="s">
        <v>662</v>
      </c>
      <c r="B156" s="209">
        <v>1</v>
      </c>
      <c r="C156" s="209"/>
      <c r="D156" s="209"/>
      <c r="E156" s="209"/>
    </row>
    <row r="157" spans="1:5">
      <c r="A157" t="s">
        <v>663</v>
      </c>
      <c r="B157" s="209">
        <v>0</v>
      </c>
      <c r="C157" s="209"/>
      <c r="D157" s="209"/>
      <c r="E157" s="209"/>
    </row>
    <row r="158" spans="1:5">
      <c r="A158" t="s">
        <v>664</v>
      </c>
      <c r="B158" s="209">
        <v>1</v>
      </c>
      <c r="C158" s="209"/>
      <c r="D158" s="209"/>
      <c r="E158" s="209"/>
    </row>
    <row r="159" spans="1:5">
      <c r="A159" t="s">
        <v>665</v>
      </c>
      <c r="B159" s="209">
        <v>0</v>
      </c>
      <c r="C159" s="209"/>
      <c r="D159" s="209"/>
      <c r="E159" s="209"/>
    </row>
    <row r="160" spans="1:5">
      <c r="A160" t="s">
        <v>666</v>
      </c>
      <c r="B160" s="209">
        <v>1</v>
      </c>
      <c r="C160" s="209"/>
      <c r="D160" s="209"/>
      <c r="E160" s="209"/>
    </row>
    <row r="161" spans="1:5">
      <c r="A161" t="s">
        <v>667</v>
      </c>
      <c r="B161" s="209">
        <v>1</v>
      </c>
      <c r="C161" s="209"/>
      <c r="D161" s="209"/>
      <c r="E161" s="209"/>
    </row>
    <row r="162" spans="1:5">
      <c r="A162" t="s">
        <v>668</v>
      </c>
      <c r="B162" s="209">
        <v>1</v>
      </c>
      <c r="C162" s="209"/>
      <c r="D162" s="209"/>
      <c r="E162" s="209"/>
    </row>
    <row r="163" spans="1:5">
      <c r="A163" t="s">
        <v>669</v>
      </c>
      <c r="B163" s="209">
        <v>1</v>
      </c>
      <c r="C163" s="209"/>
      <c r="D163" s="209"/>
      <c r="E163" s="209"/>
    </row>
    <row r="164" spans="1:5">
      <c r="A164" t="s">
        <v>670</v>
      </c>
      <c r="B164" s="209">
        <v>1</v>
      </c>
      <c r="C164" s="209"/>
      <c r="D164" s="209"/>
      <c r="E164" s="209"/>
    </row>
    <row r="165" spans="1:5">
      <c r="A165" t="s">
        <v>671</v>
      </c>
      <c r="B165" s="209">
        <v>1</v>
      </c>
      <c r="C165" s="209"/>
      <c r="D165" s="209"/>
      <c r="E165" s="209"/>
    </row>
    <row r="166" spans="1:5">
      <c r="A166" t="s">
        <v>672</v>
      </c>
      <c r="B166" s="209">
        <v>1</v>
      </c>
      <c r="C166" s="209"/>
      <c r="D166" s="209"/>
      <c r="E166" s="209"/>
    </row>
    <row r="167" spans="1:5">
      <c r="A167" t="s">
        <v>673</v>
      </c>
      <c r="B167" s="209">
        <v>1</v>
      </c>
      <c r="C167" s="209"/>
      <c r="D167" s="209"/>
      <c r="E167" s="209"/>
    </row>
    <row r="168" spans="1:5">
      <c r="A168" t="s">
        <v>674</v>
      </c>
      <c r="B168" s="209">
        <v>1</v>
      </c>
      <c r="C168" s="209"/>
      <c r="D168" s="209"/>
      <c r="E168" s="209"/>
    </row>
    <row r="169" spans="1:5">
      <c r="A169" t="s">
        <v>675</v>
      </c>
      <c r="B169" s="209">
        <v>1</v>
      </c>
      <c r="C169" s="209"/>
      <c r="D169" s="209"/>
      <c r="E169" s="209"/>
    </row>
    <row r="170" spans="1:5">
      <c r="A170" t="s">
        <v>676</v>
      </c>
      <c r="B170" s="209">
        <v>0</v>
      </c>
      <c r="C170" s="209"/>
      <c r="D170" s="209"/>
      <c r="E170" s="209"/>
    </row>
    <row r="171" spans="1:5">
      <c r="A171" t="s">
        <v>677</v>
      </c>
      <c r="B171" s="209">
        <v>1</v>
      </c>
      <c r="C171" s="209"/>
      <c r="D171" s="209"/>
      <c r="E171" s="209"/>
    </row>
    <row r="172" spans="1:5">
      <c r="A172" t="s">
        <v>678</v>
      </c>
      <c r="B172" s="209">
        <v>1</v>
      </c>
      <c r="C172" s="209"/>
      <c r="D172" s="209"/>
      <c r="E172" s="209"/>
    </row>
    <row r="173" spans="1:5">
      <c r="A173" t="s">
        <v>679</v>
      </c>
      <c r="B173" s="209">
        <v>1</v>
      </c>
      <c r="C173" s="209"/>
      <c r="D173" s="209"/>
      <c r="E173" s="209"/>
    </row>
    <row r="174" spans="1:5">
      <c r="A174" t="s">
        <v>680</v>
      </c>
      <c r="B174" s="209">
        <v>1</v>
      </c>
      <c r="C174" s="209"/>
      <c r="D174" s="209"/>
      <c r="E174" s="209"/>
    </row>
    <row r="175" spans="1:5">
      <c r="A175" t="s">
        <v>681</v>
      </c>
      <c r="B175" s="209">
        <v>1</v>
      </c>
      <c r="C175" s="209"/>
      <c r="D175" s="209"/>
      <c r="E175" s="209"/>
    </row>
    <row r="176" spans="1:5">
      <c r="A176" t="s">
        <v>682</v>
      </c>
      <c r="B176" s="209">
        <v>1</v>
      </c>
      <c r="C176" s="209"/>
      <c r="D176" s="209"/>
      <c r="E176" s="209"/>
    </row>
    <row r="177" spans="1:5">
      <c r="A177" t="s">
        <v>683</v>
      </c>
      <c r="B177" s="209">
        <v>1</v>
      </c>
      <c r="C177" s="209"/>
      <c r="D177" s="209"/>
      <c r="E177" s="209"/>
    </row>
    <row r="178" spans="1:5">
      <c r="A178" t="s">
        <v>684</v>
      </c>
      <c r="B178" s="209">
        <v>1</v>
      </c>
      <c r="C178" s="209"/>
      <c r="D178" s="209"/>
      <c r="E178" s="209"/>
    </row>
    <row r="179" spans="1:5">
      <c r="A179" t="s">
        <v>685</v>
      </c>
      <c r="B179" s="209">
        <v>1</v>
      </c>
      <c r="C179" s="209"/>
      <c r="D179" s="209"/>
      <c r="E179" s="209"/>
    </row>
    <row r="180" spans="1:5">
      <c r="A180" t="s">
        <v>686</v>
      </c>
      <c r="B180" s="209">
        <v>1</v>
      </c>
      <c r="C180" s="209"/>
      <c r="D180" s="209"/>
      <c r="E180" s="209"/>
    </row>
    <row r="181" spans="1:5">
      <c r="A181" t="s">
        <v>687</v>
      </c>
      <c r="B181" s="209">
        <v>2</v>
      </c>
      <c r="C181" s="209"/>
      <c r="D181" s="209"/>
      <c r="E181" s="209"/>
    </row>
    <row r="182" spans="1:5">
      <c r="A182" t="s">
        <v>688</v>
      </c>
      <c r="B182" s="209">
        <v>2</v>
      </c>
      <c r="C182" s="209"/>
      <c r="D182" s="209"/>
      <c r="E182" s="209"/>
    </row>
    <row r="183" spans="1:5">
      <c r="A183" t="s">
        <v>689</v>
      </c>
      <c r="B183" s="209">
        <v>2</v>
      </c>
      <c r="C183" s="209"/>
      <c r="D183" s="209"/>
      <c r="E183" s="209"/>
    </row>
    <row r="184" spans="1:5">
      <c r="A184" t="s">
        <v>690</v>
      </c>
      <c r="B184" s="209">
        <v>2</v>
      </c>
      <c r="C184" s="209"/>
      <c r="D184" s="209"/>
      <c r="E184" s="209"/>
    </row>
    <row r="185" spans="1:5">
      <c r="A185" t="s">
        <v>691</v>
      </c>
      <c r="B185" s="209">
        <v>1</v>
      </c>
      <c r="C185" s="209"/>
      <c r="D185" s="209"/>
      <c r="E185" s="209"/>
    </row>
    <row r="186" spans="1:5">
      <c r="A186" t="s">
        <v>692</v>
      </c>
      <c r="B186" s="209">
        <v>2</v>
      </c>
      <c r="C186" s="201">
        <v>45471</v>
      </c>
      <c r="D186" s="201">
        <v>45481</v>
      </c>
      <c r="E186" s="201">
        <v>45481</v>
      </c>
    </row>
    <row r="187" spans="1:5">
      <c r="A187" t="s">
        <v>693</v>
      </c>
      <c r="B187" s="209">
        <v>1</v>
      </c>
      <c r="C187" s="209"/>
      <c r="D187" s="209"/>
      <c r="E187" s="209"/>
    </row>
    <row r="188" spans="1:5">
      <c r="A188" t="s">
        <v>694</v>
      </c>
      <c r="B188" s="209">
        <v>1</v>
      </c>
      <c r="C188" s="209"/>
      <c r="D188" s="209"/>
      <c r="E188" s="209"/>
    </row>
    <row r="189" spans="1:5">
      <c r="A189" t="s">
        <v>695</v>
      </c>
      <c r="B189" s="209">
        <v>1</v>
      </c>
      <c r="C189" s="209"/>
      <c r="D189" s="209"/>
      <c r="E189" s="209"/>
    </row>
    <row r="190" spans="1:5">
      <c r="A190" t="s">
        <v>696</v>
      </c>
      <c r="B190" s="209">
        <v>1</v>
      </c>
      <c r="C190" s="209"/>
      <c r="D190" s="209"/>
      <c r="E190" s="209"/>
    </row>
    <row r="191" spans="1:5">
      <c r="A191" t="s">
        <v>697</v>
      </c>
      <c r="B191" s="209">
        <v>1</v>
      </c>
      <c r="C191" s="209"/>
      <c r="D191" s="209"/>
      <c r="E191" s="209"/>
    </row>
    <row r="192" spans="1:5">
      <c r="A192" t="s">
        <v>698</v>
      </c>
      <c r="B192" s="209">
        <v>1</v>
      </c>
      <c r="C192" s="209"/>
      <c r="D192" s="209"/>
      <c r="E192" s="209"/>
    </row>
    <row r="193" spans="1:5">
      <c r="A193" t="s">
        <v>699</v>
      </c>
      <c r="B193" s="209">
        <v>2</v>
      </c>
      <c r="C193" s="209"/>
      <c r="D193" s="209"/>
      <c r="E193" s="209"/>
    </row>
    <row r="194" spans="1:5">
      <c r="A194" t="s">
        <v>700</v>
      </c>
      <c r="B194" s="209">
        <v>2</v>
      </c>
      <c r="C194" s="209"/>
      <c r="D194" s="209"/>
      <c r="E194" s="209"/>
    </row>
    <row r="195" spans="1:5">
      <c r="A195" t="s">
        <v>701</v>
      </c>
      <c r="B195" s="209">
        <v>2</v>
      </c>
      <c r="C195" s="209"/>
      <c r="D195" s="209"/>
      <c r="E195" s="209"/>
    </row>
    <row r="196" spans="1:5">
      <c r="A196" t="s">
        <v>702</v>
      </c>
      <c r="B196" s="209">
        <v>2</v>
      </c>
      <c r="C196" s="209"/>
      <c r="D196" s="209"/>
      <c r="E196" s="209"/>
    </row>
    <row r="197" spans="1:5">
      <c r="A197" t="s">
        <v>703</v>
      </c>
      <c r="B197" s="209">
        <v>2</v>
      </c>
      <c r="C197" s="209"/>
      <c r="D197" s="209"/>
      <c r="E197" s="209"/>
    </row>
    <row r="198" spans="1:5">
      <c r="A198" t="s">
        <v>704</v>
      </c>
      <c r="B198" s="209">
        <v>2</v>
      </c>
      <c r="C198" s="209"/>
      <c r="D198" s="209"/>
      <c r="E198" s="209"/>
    </row>
    <row r="199" spans="1:5">
      <c r="A199" t="s">
        <v>705</v>
      </c>
      <c r="B199" s="209">
        <v>2</v>
      </c>
      <c r="C199" s="209"/>
      <c r="D199" s="209"/>
      <c r="E199" s="209"/>
    </row>
    <row r="200" spans="1:5">
      <c r="A200" t="s">
        <v>706</v>
      </c>
      <c r="B200" s="209">
        <v>2</v>
      </c>
      <c r="C200" s="209"/>
      <c r="D200" s="209"/>
      <c r="E200" s="209"/>
    </row>
    <row r="201" spans="1:5">
      <c r="A201" t="s">
        <v>707</v>
      </c>
      <c r="B201" s="209">
        <v>2</v>
      </c>
      <c r="C201" s="209"/>
      <c r="D201" s="209"/>
      <c r="E201" s="209"/>
    </row>
    <row r="202" spans="1:5">
      <c r="A202" t="s">
        <v>708</v>
      </c>
      <c r="B202" s="209">
        <v>2</v>
      </c>
      <c r="C202" s="209"/>
      <c r="D202" s="209"/>
      <c r="E202" s="209"/>
    </row>
    <row r="203" spans="1:5">
      <c r="A203" t="s">
        <v>709</v>
      </c>
      <c r="B203" s="209">
        <v>1</v>
      </c>
      <c r="C203" s="209"/>
      <c r="D203" s="209"/>
      <c r="E203" s="209"/>
    </row>
    <row r="204" spans="1:5">
      <c r="A204" t="s">
        <v>710</v>
      </c>
      <c r="B204" s="209">
        <v>2</v>
      </c>
      <c r="C204" s="209"/>
      <c r="D204" s="209"/>
      <c r="E204" s="209"/>
    </row>
    <row r="205" spans="1:5">
      <c r="A205" t="s">
        <v>711</v>
      </c>
      <c r="B205" s="209">
        <v>2</v>
      </c>
      <c r="C205" s="209"/>
      <c r="D205" s="209"/>
      <c r="E205" s="209"/>
    </row>
    <row r="206" spans="1:5">
      <c r="A206" t="s">
        <v>712</v>
      </c>
      <c r="B206" s="209">
        <v>2</v>
      </c>
      <c r="C206" s="209"/>
      <c r="D206" s="209"/>
      <c r="E206" s="209"/>
    </row>
    <row r="207" spans="1:5">
      <c r="A207" t="s">
        <v>713</v>
      </c>
      <c r="B207" s="209">
        <v>2</v>
      </c>
      <c r="C207" s="209"/>
      <c r="D207" s="209"/>
      <c r="E207" s="209"/>
    </row>
    <row r="208" spans="1:5">
      <c r="A208" t="s">
        <v>714</v>
      </c>
      <c r="B208" s="209">
        <v>1</v>
      </c>
      <c r="C208" s="209"/>
      <c r="D208" s="209"/>
      <c r="E208" s="209"/>
    </row>
    <row r="209" spans="1:5">
      <c r="A209" t="s">
        <v>715</v>
      </c>
      <c r="B209" s="209">
        <v>1</v>
      </c>
      <c r="C209" s="209"/>
      <c r="D209" s="209"/>
      <c r="E209" s="209"/>
    </row>
    <row r="210" spans="1:5">
      <c r="A210" t="s">
        <v>716</v>
      </c>
      <c r="B210" s="209">
        <v>2</v>
      </c>
      <c r="C210" s="209"/>
      <c r="D210" s="209"/>
      <c r="E210" s="209"/>
    </row>
    <row r="211" spans="1:5">
      <c r="A211" t="s">
        <v>717</v>
      </c>
      <c r="B211" s="209">
        <v>1</v>
      </c>
      <c r="C211" s="209"/>
      <c r="D211" s="209"/>
      <c r="E211" s="209"/>
    </row>
    <row r="212" spans="1:5">
      <c r="A212" t="s">
        <v>718</v>
      </c>
      <c r="B212" s="209">
        <v>2</v>
      </c>
      <c r="C212" s="209"/>
      <c r="D212" s="209"/>
      <c r="E212" s="209"/>
    </row>
    <row r="213" spans="1:5">
      <c r="A213" t="s">
        <v>719</v>
      </c>
      <c r="B213" s="209">
        <v>1</v>
      </c>
      <c r="C213" s="209"/>
      <c r="D213" s="209"/>
      <c r="E213" s="209"/>
    </row>
    <row r="214" spans="1:5">
      <c r="A214" t="s">
        <v>720</v>
      </c>
      <c r="B214" s="209">
        <v>1</v>
      </c>
      <c r="C214" s="209"/>
      <c r="D214" s="209"/>
      <c r="E214" s="209"/>
    </row>
    <row r="215" spans="1:5">
      <c r="A215" t="s">
        <v>721</v>
      </c>
      <c r="B215" s="209">
        <v>2</v>
      </c>
      <c r="C215" s="209"/>
      <c r="D215" s="209"/>
      <c r="E215" s="209"/>
    </row>
    <row r="216" spans="1:5">
      <c r="A216" t="s">
        <v>722</v>
      </c>
      <c r="B216" s="209">
        <v>2</v>
      </c>
      <c r="C216" s="209"/>
      <c r="D216" s="209"/>
      <c r="E216" s="209"/>
    </row>
    <row r="217" spans="1:5">
      <c r="A217" t="s">
        <v>723</v>
      </c>
      <c r="B217" s="209">
        <v>2</v>
      </c>
      <c r="C217" s="209"/>
      <c r="D217" s="209"/>
      <c r="E217" s="209"/>
    </row>
    <row r="218" spans="1:5">
      <c r="A218" t="s">
        <v>724</v>
      </c>
      <c r="B218" s="209">
        <v>2</v>
      </c>
      <c r="C218" s="209"/>
      <c r="D218" s="209"/>
      <c r="E218" s="209"/>
    </row>
    <row r="219" spans="1:5">
      <c r="A219" t="s">
        <v>725</v>
      </c>
      <c r="B219" s="209">
        <v>2</v>
      </c>
      <c r="C219" s="209"/>
      <c r="D219" s="209"/>
      <c r="E219" s="209"/>
    </row>
    <row r="220" spans="1:5">
      <c r="A220" t="s">
        <v>726</v>
      </c>
      <c r="B220" s="209">
        <v>1</v>
      </c>
      <c r="C220" s="209"/>
      <c r="D220" s="209"/>
      <c r="E220" s="209"/>
    </row>
    <row r="221" spans="1:5">
      <c r="A221" t="s">
        <v>727</v>
      </c>
      <c r="B221" s="209">
        <v>1</v>
      </c>
      <c r="C221" s="209"/>
      <c r="D221" s="209"/>
      <c r="E221" s="209"/>
    </row>
    <row r="222" spans="1:5">
      <c r="A222" t="s">
        <v>728</v>
      </c>
      <c r="B222" s="209">
        <v>1</v>
      </c>
      <c r="C222" s="209"/>
      <c r="D222" s="209"/>
      <c r="E222" s="209"/>
    </row>
    <row r="223" spans="1:5">
      <c r="A223" t="s">
        <v>729</v>
      </c>
      <c r="B223" s="209">
        <v>1</v>
      </c>
      <c r="C223" s="209"/>
      <c r="D223" s="209"/>
      <c r="E223" s="209"/>
    </row>
    <row r="224" spans="1:5">
      <c r="A224" t="s">
        <v>730</v>
      </c>
      <c r="B224" s="209">
        <v>1</v>
      </c>
      <c r="C224" s="209"/>
      <c r="D224" s="209"/>
      <c r="E224" s="209"/>
    </row>
    <row r="225" spans="1:5">
      <c r="A225" t="s">
        <v>731</v>
      </c>
      <c r="B225" s="209">
        <v>3</v>
      </c>
      <c r="C225" s="209"/>
      <c r="D225" s="209"/>
      <c r="E225" s="209"/>
    </row>
    <row r="226" spans="1:5">
      <c r="A226" t="s">
        <v>732</v>
      </c>
      <c r="B226" s="209">
        <v>2</v>
      </c>
      <c r="C226" s="201">
        <v>45471</v>
      </c>
      <c r="D226" s="201">
        <v>45481</v>
      </c>
      <c r="E226" s="201">
        <v>45481</v>
      </c>
    </row>
    <row r="227" spans="1:5">
      <c r="A227" t="s">
        <v>733</v>
      </c>
      <c r="B227" s="209">
        <v>1</v>
      </c>
      <c r="C227" s="209"/>
      <c r="D227" s="209"/>
      <c r="E227" s="209"/>
    </row>
    <row r="228" spans="1:5">
      <c r="A228" t="s">
        <v>734</v>
      </c>
      <c r="B228" s="209">
        <v>1</v>
      </c>
      <c r="C228" s="209"/>
      <c r="D228" s="209"/>
      <c r="E228" s="209"/>
    </row>
    <row r="229" spans="1:5">
      <c r="A229" t="s">
        <v>735</v>
      </c>
      <c r="B229" s="209">
        <v>1</v>
      </c>
      <c r="C229" s="209"/>
      <c r="D229" s="209"/>
      <c r="E229" s="209"/>
    </row>
    <row r="230" spans="1:5">
      <c r="A230" t="s">
        <v>736</v>
      </c>
      <c r="B230" s="209">
        <v>1</v>
      </c>
      <c r="C230" s="209"/>
      <c r="D230" s="209"/>
      <c r="E230" s="209"/>
    </row>
    <row r="231" spans="1:5">
      <c r="A231" t="s">
        <v>737</v>
      </c>
      <c r="B231" s="209">
        <v>1</v>
      </c>
      <c r="C231" s="209"/>
      <c r="D231" s="209"/>
      <c r="E231" s="209"/>
    </row>
    <row r="232" spans="1:5">
      <c r="A232" t="s">
        <v>738</v>
      </c>
      <c r="B232" s="209">
        <v>1</v>
      </c>
      <c r="C232" s="209"/>
      <c r="D232" s="209"/>
      <c r="E232" s="209"/>
    </row>
    <row r="233" spans="1:5">
      <c r="A233" t="s">
        <v>739</v>
      </c>
      <c r="B233" s="209">
        <v>1</v>
      </c>
      <c r="C233" s="209"/>
      <c r="D233" s="209"/>
      <c r="E233" s="209"/>
    </row>
    <row r="234" spans="1:5">
      <c r="A234" t="s">
        <v>740</v>
      </c>
      <c r="B234" s="209">
        <v>1</v>
      </c>
      <c r="C234" s="209"/>
      <c r="D234" s="209"/>
      <c r="E234" s="209"/>
    </row>
    <row r="235" spans="1:5">
      <c r="A235" t="s">
        <v>741</v>
      </c>
      <c r="B235" s="209">
        <v>1</v>
      </c>
      <c r="C235" s="209"/>
      <c r="D235" s="209"/>
      <c r="E235" s="209"/>
    </row>
    <row r="236" spans="1:5">
      <c r="A236" t="s">
        <v>742</v>
      </c>
      <c r="B236" s="209">
        <v>1</v>
      </c>
      <c r="C236" s="209"/>
      <c r="D236" s="209"/>
      <c r="E236" s="209"/>
    </row>
    <row r="237" spans="1:5">
      <c r="A237" t="s">
        <v>743</v>
      </c>
      <c r="B237" s="209">
        <v>7</v>
      </c>
      <c r="C237" s="209"/>
      <c r="D237" s="209"/>
      <c r="E237" s="209"/>
    </row>
    <row r="238" spans="1:5">
      <c r="A238" t="s">
        <v>744</v>
      </c>
      <c r="B238" s="209">
        <v>7</v>
      </c>
      <c r="C238" s="209"/>
      <c r="D238" s="209"/>
      <c r="E238" s="209"/>
    </row>
    <row r="239" spans="1:5">
      <c r="A239" t="s">
        <v>745</v>
      </c>
      <c r="B239" s="209">
        <v>7</v>
      </c>
      <c r="C239" s="209"/>
      <c r="D239" s="209"/>
      <c r="E239" s="209"/>
    </row>
    <row r="240" spans="1:5">
      <c r="A240" t="s">
        <v>746</v>
      </c>
      <c r="B240" s="209">
        <v>1</v>
      </c>
      <c r="C240" s="209"/>
      <c r="D240" s="209"/>
      <c r="E240" s="209"/>
    </row>
    <row r="241" spans="1:5">
      <c r="A241" t="s">
        <v>747</v>
      </c>
      <c r="B241" s="209">
        <v>7</v>
      </c>
      <c r="C241" s="209"/>
      <c r="D241" s="209"/>
      <c r="E241" s="209"/>
    </row>
    <row r="242" spans="1:5">
      <c r="A242" t="s">
        <v>748</v>
      </c>
      <c r="B242" s="209">
        <v>1</v>
      </c>
      <c r="C242" s="209"/>
      <c r="D242" s="209"/>
      <c r="E242" s="209"/>
    </row>
    <row r="243" spans="1:5">
      <c r="A243" t="s">
        <v>749</v>
      </c>
      <c r="B243" s="209">
        <v>1</v>
      </c>
      <c r="C243" s="209"/>
      <c r="D243" s="209"/>
      <c r="E243" s="209"/>
    </row>
    <row r="244" spans="1:5">
      <c r="A244" t="s">
        <v>750</v>
      </c>
      <c r="B244" s="209">
        <v>1</v>
      </c>
      <c r="C244" s="209"/>
      <c r="D244" s="209"/>
      <c r="E244" s="209"/>
    </row>
    <row r="245" spans="1:5">
      <c r="A245" t="s">
        <v>751</v>
      </c>
      <c r="B245" s="209">
        <v>1</v>
      </c>
      <c r="C245" s="209"/>
      <c r="D245" s="209"/>
      <c r="E245" s="209"/>
    </row>
    <row r="246" spans="1:5">
      <c r="A246" t="s">
        <v>752</v>
      </c>
      <c r="B246" s="209">
        <v>1</v>
      </c>
      <c r="C246" s="209"/>
      <c r="D246" s="209"/>
      <c r="E246" s="209"/>
    </row>
    <row r="247" spans="1:5">
      <c r="A247" t="s">
        <v>753</v>
      </c>
      <c r="B247" s="209">
        <v>1</v>
      </c>
      <c r="C247" s="209"/>
      <c r="D247" s="209"/>
      <c r="E247" s="209"/>
    </row>
    <row r="248" spans="1:5">
      <c r="A248" t="s">
        <v>754</v>
      </c>
      <c r="B248" s="209">
        <v>7</v>
      </c>
      <c r="C248" s="209"/>
      <c r="D248" s="209"/>
      <c r="E248" s="209"/>
    </row>
    <row r="249" spans="1:5">
      <c r="A249" t="s">
        <v>755</v>
      </c>
      <c r="B249" s="209">
        <v>7</v>
      </c>
      <c r="C249" s="209"/>
      <c r="D249" s="209"/>
      <c r="E249" s="209"/>
    </row>
    <row r="250" spans="1:5">
      <c r="A250" t="s">
        <v>756</v>
      </c>
      <c r="B250" s="209">
        <v>7</v>
      </c>
      <c r="C250" s="209"/>
      <c r="D250" s="209"/>
      <c r="E250" s="209"/>
    </row>
    <row r="251" spans="1:5">
      <c r="A251" t="s">
        <v>757</v>
      </c>
      <c r="B251" s="209">
        <v>7</v>
      </c>
      <c r="C251" s="209"/>
      <c r="D251" s="209"/>
      <c r="E251" s="209"/>
    </row>
    <row r="252" spans="1:5">
      <c r="A252" t="s">
        <v>758</v>
      </c>
      <c r="B252" s="209">
        <v>1</v>
      </c>
      <c r="C252" s="209"/>
      <c r="D252" s="209"/>
      <c r="E252" s="209"/>
    </row>
    <row r="253" spans="1:5">
      <c r="A253" t="s">
        <v>759</v>
      </c>
      <c r="B253" s="209">
        <v>1</v>
      </c>
      <c r="C253" s="209"/>
      <c r="D253" s="209"/>
      <c r="E253" s="209"/>
    </row>
    <row r="254" spans="1:5">
      <c r="A254" t="s">
        <v>760</v>
      </c>
      <c r="B254" s="209">
        <v>1</v>
      </c>
      <c r="C254" s="209"/>
      <c r="D254" s="209"/>
      <c r="E254" s="209"/>
    </row>
    <row r="255" spans="1:5">
      <c r="A255" t="s">
        <v>761</v>
      </c>
      <c r="B255" s="209">
        <v>7</v>
      </c>
      <c r="C255" s="209"/>
      <c r="D255" s="209"/>
      <c r="E255" s="209"/>
    </row>
    <row r="256" spans="1:5">
      <c r="A256" t="s">
        <v>762</v>
      </c>
      <c r="B256" s="209">
        <v>7</v>
      </c>
      <c r="C256" s="209"/>
      <c r="D256" s="209"/>
      <c r="E256" s="209"/>
    </row>
    <row r="257" spans="1:5">
      <c r="A257" t="s">
        <v>763</v>
      </c>
      <c r="B257" s="209">
        <v>7</v>
      </c>
      <c r="C257" s="209"/>
      <c r="D257" s="209"/>
      <c r="E257" s="209"/>
    </row>
    <row r="258" spans="1:5">
      <c r="A258" t="s">
        <v>764</v>
      </c>
      <c r="B258" s="209">
        <v>7</v>
      </c>
      <c r="C258" s="209"/>
      <c r="D258" s="209"/>
      <c r="E258" s="209"/>
    </row>
    <row r="259" spans="1:5">
      <c r="A259" t="s">
        <v>765</v>
      </c>
      <c r="B259" s="209">
        <v>7</v>
      </c>
      <c r="C259" s="209"/>
      <c r="D259" s="209"/>
      <c r="E259" s="209"/>
    </row>
    <row r="260" spans="1:5">
      <c r="A260" t="s">
        <v>766</v>
      </c>
      <c r="B260" s="209">
        <v>1</v>
      </c>
      <c r="C260" s="209"/>
      <c r="D260" s="209"/>
      <c r="E260" s="209"/>
    </row>
    <row r="261" spans="1:5">
      <c r="A261" t="s">
        <v>767</v>
      </c>
      <c r="B261" s="209">
        <v>7</v>
      </c>
      <c r="C261" s="209"/>
      <c r="D261" s="209"/>
      <c r="E261" s="209"/>
    </row>
    <row r="262" spans="1:5">
      <c r="A262" t="s">
        <v>768</v>
      </c>
      <c r="B262" s="209">
        <v>1</v>
      </c>
      <c r="C262" s="209"/>
      <c r="D262" s="209"/>
      <c r="E262" s="209"/>
    </row>
    <row r="263" spans="1:5">
      <c r="A263" t="s">
        <v>769</v>
      </c>
      <c r="B263" s="209">
        <v>1</v>
      </c>
      <c r="C263" s="209"/>
      <c r="D263" s="209"/>
      <c r="E263" s="209"/>
    </row>
    <row r="264" spans="1:5">
      <c r="A264" t="s">
        <v>770</v>
      </c>
      <c r="B264" s="209">
        <v>7</v>
      </c>
      <c r="C264" s="209"/>
      <c r="D264" s="209"/>
      <c r="E264" s="209"/>
    </row>
    <row r="265" spans="1:5">
      <c r="A265" t="s">
        <v>771</v>
      </c>
      <c r="B265" s="209">
        <v>7</v>
      </c>
      <c r="C265" s="209"/>
      <c r="D265" s="209"/>
      <c r="E265" s="209"/>
    </row>
    <row r="266" spans="1:5">
      <c r="A266" t="s">
        <v>772</v>
      </c>
      <c r="B266" s="209">
        <v>7</v>
      </c>
      <c r="C266" s="209"/>
      <c r="D266" s="209"/>
      <c r="E266" s="209"/>
    </row>
    <row r="267" spans="1:5">
      <c r="A267" t="s">
        <v>773</v>
      </c>
      <c r="B267" s="209">
        <v>1</v>
      </c>
      <c r="C267" s="209"/>
      <c r="D267" s="209"/>
      <c r="E267" s="209"/>
    </row>
    <row r="268" spans="1:5">
      <c r="A268" t="s">
        <v>774</v>
      </c>
      <c r="B268" s="209">
        <v>1</v>
      </c>
      <c r="C268" s="209"/>
      <c r="D268" s="209"/>
      <c r="E268" s="209"/>
    </row>
    <row r="269" spans="1:5">
      <c r="A269" t="s">
        <v>775</v>
      </c>
      <c r="B269" s="209">
        <v>1</v>
      </c>
      <c r="C269" s="209"/>
      <c r="D269" s="209"/>
      <c r="E269" s="209"/>
    </row>
    <row r="270" spans="1:5">
      <c r="A270" t="s">
        <v>776</v>
      </c>
      <c r="B270" s="209">
        <v>1</v>
      </c>
      <c r="C270" s="209"/>
      <c r="D270" s="209"/>
      <c r="E270" s="209"/>
    </row>
    <row r="271" spans="1:5">
      <c r="A271" t="s">
        <v>777</v>
      </c>
      <c r="B271" s="209">
        <v>7</v>
      </c>
      <c r="C271" s="209"/>
      <c r="D271" s="209"/>
      <c r="E271" s="209"/>
    </row>
    <row r="272" spans="1:5">
      <c r="A272" t="s">
        <v>778</v>
      </c>
      <c r="B272" s="209">
        <v>7</v>
      </c>
      <c r="C272" s="209"/>
      <c r="D272" s="209"/>
      <c r="E272" s="209"/>
    </row>
    <row r="273" spans="1:5">
      <c r="A273" t="s">
        <v>779</v>
      </c>
      <c r="B273" s="209">
        <v>7</v>
      </c>
      <c r="C273" s="209"/>
      <c r="D273" s="209"/>
      <c r="E273" s="209"/>
    </row>
    <row r="274" spans="1:5">
      <c r="A274" t="s">
        <v>780</v>
      </c>
      <c r="B274" s="209">
        <v>7</v>
      </c>
      <c r="C274" s="209"/>
      <c r="D274" s="209"/>
      <c r="E274" s="209"/>
    </row>
    <row r="275" spans="1:5">
      <c r="A275" t="s">
        <v>781</v>
      </c>
      <c r="B275" s="209">
        <v>1</v>
      </c>
      <c r="C275" s="209"/>
      <c r="D275" s="209"/>
      <c r="E275" s="209"/>
    </row>
    <row r="276" spans="1:5">
      <c r="A276" t="s">
        <v>782</v>
      </c>
      <c r="B276" s="209">
        <v>1</v>
      </c>
      <c r="C276" s="209"/>
      <c r="D276" s="209"/>
      <c r="E276" s="209"/>
    </row>
    <row r="277" spans="1:5">
      <c r="A277" t="s">
        <v>783</v>
      </c>
      <c r="B277" s="209">
        <v>7</v>
      </c>
      <c r="C277" s="209"/>
      <c r="D277" s="209"/>
      <c r="E277" s="209"/>
    </row>
    <row r="278" spans="1:5">
      <c r="A278" t="s">
        <v>784</v>
      </c>
      <c r="B278" s="209">
        <v>7</v>
      </c>
      <c r="C278" s="209"/>
      <c r="D278" s="209"/>
      <c r="E278" s="209"/>
    </row>
    <row r="279" spans="1:5">
      <c r="A279" t="s">
        <v>785</v>
      </c>
      <c r="B279" s="209">
        <v>7</v>
      </c>
      <c r="C279" s="209"/>
      <c r="D279" s="209"/>
      <c r="E279" s="209"/>
    </row>
    <row r="280" spans="1:5">
      <c r="A280" t="s">
        <v>786</v>
      </c>
      <c r="B280" s="209">
        <v>7</v>
      </c>
      <c r="C280" s="209"/>
      <c r="D280" s="209"/>
      <c r="E280" s="209"/>
    </row>
    <row r="281" spans="1:5">
      <c r="A281" t="s">
        <v>787</v>
      </c>
      <c r="B281" s="209">
        <v>7</v>
      </c>
      <c r="C281" s="209"/>
      <c r="D281" s="209"/>
      <c r="E281" s="209"/>
    </row>
    <row r="282" spans="1:5">
      <c r="A282" t="s">
        <v>788</v>
      </c>
      <c r="B282" s="209">
        <v>7</v>
      </c>
      <c r="C282" s="209"/>
      <c r="D282" s="209"/>
      <c r="E282" s="209"/>
    </row>
    <row r="283" spans="1:5">
      <c r="A283" t="s">
        <v>789</v>
      </c>
      <c r="B283" s="209">
        <v>7</v>
      </c>
      <c r="C283" s="209"/>
      <c r="D283" s="209"/>
      <c r="E283" s="209"/>
    </row>
    <row r="284" spans="1:5">
      <c r="A284" t="s">
        <v>790</v>
      </c>
      <c r="B284" s="209">
        <v>7</v>
      </c>
      <c r="C284" s="209"/>
      <c r="D284" s="209"/>
      <c r="E284" s="209"/>
    </row>
    <row r="285" spans="1:5">
      <c r="A285" t="s">
        <v>791</v>
      </c>
      <c r="B285" s="209">
        <v>7</v>
      </c>
      <c r="C285" s="209"/>
      <c r="D285" s="209"/>
      <c r="E285" s="209"/>
    </row>
    <row r="286" spans="1:5">
      <c r="A286" t="s">
        <v>792</v>
      </c>
      <c r="B286" s="209">
        <v>7</v>
      </c>
      <c r="C286" s="209"/>
      <c r="D286" s="209"/>
      <c r="E286" s="209"/>
    </row>
    <row r="287" spans="1:5">
      <c r="A287" t="s">
        <v>793</v>
      </c>
      <c r="B287" s="209">
        <v>1</v>
      </c>
      <c r="C287" s="209"/>
      <c r="D287" s="209"/>
      <c r="E287" s="209"/>
    </row>
    <row r="288" spans="1:5">
      <c r="A288" t="s">
        <v>794</v>
      </c>
      <c r="B288" s="209">
        <v>1</v>
      </c>
      <c r="C288" s="209"/>
      <c r="D288" s="209"/>
      <c r="E288" s="209"/>
    </row>
    <row r="289" spans="1:5">
      <c r="A289" t="s">
        <v>795</v>
      </c>
      <c r="B289" s="209">
        <v>7</v>
      </c>
      <c r="C289" s="209"/>
      <c r="D289" s="209"/>
      <c r="E289" s="209"/>
    </row>
    <row r="290" spans="1:5">
      <c r="A290" t="s">
        <v>796</v>
      </c>
      <c r="B290" s="209">
        <v>7</v>
      </c>
      <c r="C290" s="209"/>
      <c r="D290" s="209"/>
      <c r="E290" s="209"/>
    </row>
    <row r="291" spans="1:5">
      <c r="A291" t="s">
        <v>797</v>
      </c>
      <c r="B291" s="209">
        <v>1</v>
      </c>
      <c r="C291" s="209"/>
      <c r="D291" s="209"/>
      <c r="E291" s="209"/>
    </row>
    <row r="292" spans="1:5">
      <c r="A292" t="s">
        <v>798</v>
      </c>
      <c r="B292" s="209">
        <v>7</v>
      </c>
      <c r="C292" s="209"/>
      <c r="D292" s="209"/>
      <c r="E292" s="209"/>
    </row>
    <row r="293" spans="1:5">
      <c r="A293" t="s">
        <v>799</v>
      </c>
      <c r="B293" s="209">
        <v>7</v>
      </c>
      <c r="C293" s="209"/>
      <c r="D293" s="209"/>
      <c r="E293" s="209"/>
    </row>
    <row r="294" spans="1:5">
      <c r="A294" t="s">
        <v>800</v>
      </c>
      <c r="B294" s="209">
        <v>7</v>
      </c>
      <c r="C294" s="209"/>
      <c r="D294" s="209"/>
      <c r="E294" s="209"/>
    </row>
    <row r="295" spans="1:5">
      <c r="A295" t="s">
        <v>801</v>
      </c>
      <c r="B295" s="209">
        <v>7</v>
      </c>
      <c r="C295" s="209"/>
      <c r="D295" s="209"/>
      <c r="E295" s="209"/>
    </row>
    <row r="296" spans="1:5">
      <c r="A296" t="s">
        <v>802</v>
      </c>
      <c r="B296" s="209">
        <v>7</v>
      </c>
      <c r="C296" s="209"/>
      <c r="D296" s="209"/>
      <c r="E296" s="209"/>
    </row>
    <row r="297" spans="1:5">
      <c r="A297" t="s">
        <v>803</v>
      </c>
      <c r="B297" s="209">
        <v>7</v>
      </c>
      <c r="C297" s="209"/>
      <c r="D297" s="209"/>
      <c r="E297" s="209"/>
    </row>
    <row r="298" spans="1:5">
      <c r="A298" t="s">
        <v>804</v>
      </c>
      <c r="B298" s="209">
        <v>7</v>
      </c>
      <c r="C298" s="209"/>
      <c r="D298" s="209"/>
      <c r="E298" s="209"/>
    </row>
    <row r="299" spans="1:5">
      <c r="A299" t="s">
        <v>805</v>
      </c>
      <c r="B299" s="209">
        <v>7</v>
      </c>
      <c r="C299" s="209"/>
      <c r="D299" s="209"/>
      <c r="E299" s="209"/>
    </row>
    <row r="300" spans="1:5">
      <c r="A300" t="s">
        <v>806</v>
      </c>
      <c r="B300" s="209">
        <v>1</v>
      </c>
      <c r="C300" s="209"/>
      <c r="D300" s="209"/>
      <c r="E300" s="209"/>
    </row>
    <row r="301" spans="1:5">
      <c r="A301" t="s">
        <v>807</v>
      </c>
      <c r="B301" s="209">
        <v>7</v>
      </c>
      <c r="C301" s="209"/>
      <c r="D301" s="209"/>
      <c r="E301" s="209"/>
    </row>
    <row r="302" spans="1:5">
      <c r="A302" t="s">
        <v>808</v>
      </c>
      <c r="B302" s="209">
        <v>7</v>
      </c>
      <c r="C302" s="209"/>
      <c r="D302" s="209"/>
      <c r="E302" s="209"/>
    </row>
    <row r="303" spans="1:5">
      <c r="A303" t="s">
        <v>809</v>
      </c>
      <c r="B303" s="209">
        <v>7</v>
      </c>
      <c r="C303" s="209"/>
      <c r="D303" s="209"/>
      <c r="E303" s="209"/>
    </row>
    <row r="304" spans="1:5">
      <c r="A304" t="s">
        <v>810</v>
      </c>
      <c r="B304" s="209">
        <v>7</v>
      </c>
      <c r="C304" s="209"/>
      <c r="D304" s="209"/>
      <c r="E304" s="209"/>
    </row>
    <row r="305" spans="1:5">
      <c r="A305" t="s">
        <v>811</v>
      </c>
      <c r="B305" s="209">
        <v>7</v>
      </c>
      <c r="C305" s="209"/>
      <c r="D305" s="209"/>
      <c r="E305" s="209"/>
    </row>
    <row r="306" spans="1:5">
      <c r="A306" t="s">
        <v>812</v>
      </c>
      <c r="B306" s="209">
        <v>4</v>
      </c>
      <c r="C306" s="209"/>
      <c r="D306" s="209"/>
      <c r="E306" s="209"/>
    </row>
    <row r="307" spans="1:5">
      <c r="A307" t="s">
        <v>813</v>
      </c>
      <c r="B307" s="209">
        <v>1</v>
      </c>
      <c r="C307" s="209"/>
      <c r="D307" s="209"/>
      <c r="E307" s="209"/>
    </row>
    <row r="308" spans="1:5">
      <c r="A308" t="s">
        <v>814</v>
      </c>
      <c r="B308" s="209">
        <v>7</v>
      </c>
      <c r="C308" s="209"/>
      <c r="D308" s="209"/>
      <c r="E308" s="209"/>
    </row>
    <row r="309" spans="1:5">
      <c r="A309" t="s">
        <v>815</v>
      </c>
      <c r="B309" s="209">
        <v>7</v>
      </c>
      <c r="C309" s="209"/>
      <c r="D309" s="209"/>
      <c r="E309" s="209"/>
    </row>
    <row r="310" spans="1:5">
      <c r="A310" t="s">
        <v>816</v>
      </c>
      <c r="B310" s="209">
        <v>7</v>
      </c>
      <c r="C310" s="209"/>
      <c r="D310" s="209"/>
      <c r="E310" s="209"/>
    </row>
    <row r="311" spans="1:5">
      <c r="A311" t="s">
        <v>817</v>
      </c>
      <c r="B311" s="209">
        <v>7</v>
      </c>
      <c r="C311" s="209"/>
      <c r="D311" s="209"/>
      <c r="E311" s="209"/>
    </row>
    <row r="312" spans="1:5">
      <c r="A312" t="s">
        <v>818</v>
      </c>
      <c r="B312" s="209">
        <v>7</v>
      </c>
      <c r="C312" s="209"/>
      <c r="D312" s="209"/>
      <c r="E312" s="209"/>
    </row>
    <row r="313" spans="1:5">
      <c r="A313" t="s">
        <v>819</v>
      </c>
      <c r="B313" s="209">
        <v>4</v>
      </c>
      <c r="C313" s="209"/>
      <c r="D313" s="209"/>
      <c r="E313" s="209"/>
    </row>
    <row r="314" spans="1:5">
      <c r="A314" t="s">
        <v>820</v>
      </c>
      <c r="B314" s="209">
        <v>4</v>
      </c>
      <c r="C314" s="209"/>
      <c r="D314" s="209"/>
      <c r="E314" s="209"/>
    </row>
    <row r="315" spans="1:5">
      <c r="A315" t="s">
        <v>821</v>
      </c>
      <c r="B315" s="209">
        <v>0</v>
      </c>
      <c r="C315" s="209"/>
      <c r="D315" s="209"/>
      <c r="E315" s="209"/>
    </row>
    <row r="316" spans="1:5">
      <c r="A316" t="s">
        <v>822</v>
      </c>
      <c r="B316" s="209">
        <v>0</v>
      </c>
      <c r="C316" s="209"/>
      <c r="D316" s="209"/>
      <c r="E316" s="209"/>
    </row>
    <row r="317" spans="1:5">
      <c r="A317" t="s">
        <v>823</v>
      </c>
      <c r="B317" s="209">
        <v>0</v>
      </c>
      <c r="C317" s="209"/>
      <c r="D317" s="209"/>
      <c r="E317" s="209"/>
    </row>
    <row r="318" spans="1:5">
      <c r="A318" t="s">
        <v>824</v>
      </c>
      <c r="B318" s="209">
        <v>0</v>
      </c>
      <c r="C318" s="209"/>
      <c r="D318" s="209"/>
      <c r="E318" s="209"/>
    </row>
    <row r="319" spans="1:5">
      <c r="A319" t="s">
        <v>825</v>
      </c>
      <c r="B319" s="209">
        <v>7</v>
      </c>
      <c r="C319" s="209"/>
      <c r="D319" s="209"/>
      <c r="E319" s="209"/>
    </row>
    <row r="320" spans="1:5">
      <c r="A320" t="s">
        <v>826</v>
      </c>
      <c r="B320" s="209">
        <v>7</v>
      </c>
      <c r="C320" s="209"/>
      <c r="D320" s="209"/>
      <c r="E320" s="209"/>
    </row>
    <row r="321" spans="1:5">
      <c r="A321" t="s">
        <v>827</v>
      </c>
      <c r="B321" s="209">
        <v>7</v>
      </c>
      <c r="C321" s="209"/>
      <c r="D321" s="209"/>
      <c r="E321" s="209"/>
    </row>
    <row r="322" spans="1:5">
      <c r="A322" t="s">
        <v>828</v>
      </c>
      <c r="B322" s="209">
        <v>4</v>
      </c>
      <c r="C322" s="209"/>
      <c r="D322" s="209"/>
      <c r="E322" s="209"/>
    </row>
    <row r="323" spans="1:5">
      <c r="A323" t="s">
        <v>829</v>
      </c>
      <c r="B323" s="209">
        <v>4</v>
      </c>
      <c r="C323" s="209"/>
      <c r="D323" s="209"/>
      <c r="E323" s="209"/>
    </row>
    <row r="324" spans="1:5">
      <c r="A324" t="s">
        <v>830</v>
      </c>
      <c r="B324" s="209">
        <v>4</v>
      </c>
      <c r="C324" s="209"/>
      <c r="D324" s="209"/>
      <c r="E324" s="209"/>
    </row>
    <row r="325" spans="1:5">
      <c r="A325" t="s">
        <v>831</v>
      </c>
      <c r="B325" s="209">
        <v>4</v>
      </c>
      <c r="C325" s="209"/>
      <c r="D325" s="209"/>
      <c r="E325" s="209"/>
    </row>
    <row r="326" spans="1:5">
      <c r="A326" t="s">
        <v>832</v>
      </c>
      <c r="B326" s="209">
        <v>4</v>
      </c>
      <c r="C326" s="209"/>
      <c r="D326" s="209"/>
      <c r="E326" s="209"/>
    </row>
    <row r="327" spans="1:5">
      <c r="A327" t="s">
        <v>833</v>
      </c>
      <c r="B327" s="209">
        <v>7</v>
      </c>
      <c r="C327" s="209"/>
      <c r="D327" s="209"/>
      <c r="E327" s="209"/>
    </row>
    <row r="328" spans="1:5">
      <c r="A328" t="s">
        <v>834</v>
      </c>
      <c r="B328" s="209">
        <v>7</v>
      </c>
      <c r="C328" s="209"/>
      <c r="D328" s="209"/>
      <c r="E328" s="209"/>
    </row>
    <row r="329" spans="1:5">
      <c r="A329" t="s">
        <v>835</v>
      </c>
      <c r="B329" s="209">
        <v>4</v>
      </c>
      <c r="C329" s="209"/>
      <c r="D329" s="209"/>
      <c r="E329" s="209"/>
    </row>
    <row r="330" spans="1:5">
      <c r="A330" t="s">
        <v>836</v>
      </c>
      <c r="B330" s="209">
        <v>1</v>
      </c>
      <c r="C330" s="209"/>
      <c r="D330" s="209"/>
      <c r="E330" s="209"/>
    </row>
    <row r="331" spans="1:5">
      <c r="A331" t="s">
        <v>837</v>
      </c>
      <c r="B331" s="209">
        <v>1</v>
      </c>
      <c r="C331" s="209"/>
      <c r="D331" s="209"/>
      <c r="E331" s="209"/>
    </row>
    <row r="332" spans="1:5">
      <c r="A332" t="s">
        <v>838</v>
      </c>
      <c r="B332" s="209">
        <v>1</v>
      </c>
      <c r="C332" s="209"/>
      <c r="D332" s="209"/>
      <c r="E332" s="209"/>
    </row>
    <row r="333" spans="1:5">
      <c r="A333" t="s">
        <v>839</v>
      </c>
      <c r="B333" s="209">
        <v>1</v>
      </c>
      <c r="C333" s="209"/>
      <c r="D333" s="209"/>
      <c r="E333" s="209"/>
    </row>
    <row r="334" spans="1:5">
      <c r="A334" t="s">
        <v>840</v>
      </c>
      <c r="B334" s="209">
        <v>1</v>
      </c>
      <c r="C334" s="209"/>
      <c r="D334" s="209"/>
      <c r="E334" s="209"/>
    </row>
    <row r="335" spans="1:5">
      <c r="A335" t="s">
        <v>841</v>
      </c>
      <c r="B335" s="209">
        <v>1</v>
      </c>
      <c r="C335" s="209"/>
      <c r="D335" s="209"/>
      <c r="E335" s="209"/>
    </row>
    <row r="336" spans="1:5">
      <c r="A336" t="s">
        <v>842</v>
      </c>
      <c r="B336" s="209">
        <v>1</v>
      </c>
      <c r="C336" s="209"/>
      <c r="D336" s="209"/>
      <c r="E336" s="209"/>
    </row>
    <row r="337" spans="1:5">
      <c r="A337" t="s">
        <v>843</v>
      </c>
      <c r="B337" s="209">
        <v>1</v>
      </c>
      <c r="C337" s="209"/>
      <c r="D337" s="209"/>
      <c r="E337" s="209"/>
    </row>
    <row r="338" spans="1:5">
      <c r="A338" t="s">
        <v>844</v>
      </c>
      <c r="B338" s="209">
        <v>1</v>
      </c>
      <c r="C338" s="209"/>
      <c r="D338" s="209"/>
      <c r="E338" s="209"/>
    </row>
    <row r="339" spans="1:5">
      <c r="A339" t="s">
        <v>845</v>
      </c>
      <c r="B339" s="209">
        <v>1</v>
      </c>
      <c r="C339" s="209"/>
      <c r="D339" s="209"/>
      <c r="E339" s="209"/>
    </row>
    <row r="340" spans="1:5">
      <c r="A340" t="s">
        <v>846</v>
      </c>
      <c r="B340" s="209">
        <v>7</v>
      </c>
      <c r="C340" s="209"/>
      <c r="D340" s="209"/>
      <c r="E340" s="209"/>
    </row>
    <row r="341" spans="1:5">
      <c r="A341" t="s">
        <v>847</v>
      </c>
      <c r="B341" s="209">
        <v>7</v>
      </c>
      <c r="C341" s="209"/>
      <c r="D341" s="209"/>
      <c r="E341" s="209"/>
    </row>
    <row r="342" spans="1:5">
      <c r="A342" t="s">
        <v>848</v>
      </c>
      <c r="B342" s="209">
        <v>7</v>
      </c>
      <c r="C342" s="209"/>
      <c r="D342" s="209"/>
      <c r="E342" s="209"/>
    </row>
    <row r="343" spans="1:5">
      <c r="A343" t="s">
        <v>849</v>
      </c>
      <c r="B343" s="209">
        <v>7</v>
      </c>
      <c r="C343" s="209"/>
      <c r="D343" s="209"/>
      <c r="E343" s="209"/>
    </row>
    <row r="344" spans="1:5">
      <c r="A344" t="s">
        <v>850</v>
      </c>
      <c r="B344" s="209">
        <v>7</v>
      </c>
      <c r="C344" s="209"/>
      <c r="D344" s="209"/>
      <c r="E344" s="209"/>
    </row>
    <row r="345" spans="1:5">
      <c r="A345" t="s">
        <v>851</v>
      </c>
      <c r="B345" s="209">
        <v>7</v>
      </c>
      <c r="C345" s="209"/>
      <c r="D345" s="209"/>
      <c r="E345" s="209"/>
    </row>
    <row r="346" spans="1:5">
      <c r="A346" t="s">
        <v>852</v>
      </c>
      <c r="B346" s="209">
        <v>7</v>
      </c>
      <c r="C346" s="209"/>
      <c r="D346" s="209"/>
      <c r="E346" s="209"/>
    </row>
    <row r="347" spans="1:5">
      <c r="A347" t="s">
        <v>853</v>
      </c>
      <c r="B347" s="209">
        <v>7</v>
      </c>
      <c r="C347" s="209"/>
      <c r="D347" s="209"/>
      <c r="E347" s="209"/>
    </row>
    <row r="348" spans="1:5">
      <c r="A348" t="s">
        <v>854</v>
      </c>
      <c r="B348" s="209">
        <v>7</v>
      </c>
      <c r="C348" s="209"/>
      <c r="D348" s="209"/>
      <c r="E348" s="209"/>
    </row>
    <row r="349" spans="1:5">
      <c r="A349" t="s">
        <v>855</v>
      </c>
      <c r="B349" s="209">
        <v>7</v>
      </c>
      <c r="C349" s="209"/>
      <c r="D349" s="209"/>
      <c r="E349" s="209"/>
    </row>
    <row r="350" spans="1:5">
      <c r="A350" t="s">
        <v>856</v>
      </c>
      <c r="B350" s="209">
        <v>7</v>
      </c>
      <c r="C350" s="209"/>
      <c r="D350" s="209"/>
      <c r="E350" s="209"/>
    </row>
    <row r="351" spans="1:5">
      <c r="A351" t="s">
        <v>857</v>
      </c>
      <c r="B351" s="209">
        <v>7</v>
      </c>
      <c r="C351" s="209"/>
      <c r="D351" s="209"/>
      <c r="E351" s="209"/>
    </row>
    <row r="352" spans="1:5">
      <c r="A352" t="s">
        <v>858</v>
      </c>
      <c r="B352" s="209">
        <v>7</v>
      </c>
      <c r="C352" s="209"/>
      <c r="D352" s="209"/>
      <c r="E352" s="209"/>
    </row>
    <row r="353" spans="1:5">
      <c r="A353" t="s">
        <v>859</v>
      </c>
      <c r="B353" s="209">
        <v>7</v>
      </c>
      <c r="C353" s="209"/>
      <c r="D353" s="209"/>
      <c r="E353" s="209"/>
    </row>
    <row r="354" spans="1:5">
      <c r="A354" t="s">
        <v>860</v>
      </c>
      <c r="B354" s="209">
        <v>7</v>
      </c>
      <c r="C354" s="209"/>
      <c r="D354" s="209"/>
      <c r="E354" s="209"/>
    </row>
    <row r="355" spans="1:5">
      <c r="A355" t="s">
        <v>861</v>
      </c>
      <c r="B355" s="209">
        <v>7</v>
      </c>
      <c r="C355" s="209"/>
      <c r="D355" s="209"/>
      <c r="E355" s="209"/>
    </row>
    <row r="356" spans="1:5">
      <c r="A356" t="s">
        <v>862</v>
      </c>
      <c r="B356" s="209">
        <v>7</v>
      </c>
      <c r="C356" s="209"/>
      <c r="D356" s="209"/>
      <c r="E356" s="209"/>
    </row>
    <row r="357" spans="1:5">
      <c r="A357" t="s">
        <v>863</v>
      </c>
      <c r="B357" s="209">
        <v>7</v>
      </c>
      <c r="C357" s="209"/>
      <c r="D357" s="209"/>
      <c r="E357" s="209"/>
    </row>
    <row r="358" spans="1:5">
      <c r="A358" t="s">
        <v>864</v>
      </c>
      <c r="B358" s="209">
        <v>7</v>
      </c>
      <c r="C358" s="209"/>
      <c r="D358" s="209"/>
      <c r="E358" s="209"/>
    </row>
    <row r="359" spans="1:5">
      <c r="A359" t="s">
        <v>865</v>
      </c>
      <c r="B359" s="209">
        <v>1</v>
      </c>
      <c r="C359" s="209"/>
      <c r="D359" s="209"/>
      <c r="E359" s="209"/>
    </row>
    <row r="360" spans="1:5">
      <c r="A360" t="s">
        <v>866</v>
      </c>
      <c r="B360" s="209">
        <v>1</v>
      </c>
      <c r="C360" s="209"/>
      <c r="D360" s="209"/>
      <c r="E360" s="209"/>
    </row>
    <row r="361" spans="1:5">
      <c r="A361" t="s">
        <v>867</v>
      </c>
      <c r="B361" s="209">
        <v>1</v>
      </c>
      <c r="C361" s="209"/>
      <c r="D361" s="209"/>
      <c r="E361" s="209"/>
    </row>
    <row r="362" spans="1:5">
      <c r="A362" t="s">
        <v>868</v>
      </c>
      <c r="B362" s="209">
        <v>1</v>
      </c>
      <c r="C362" s="209"/>
      <c r="D362" s="209"/>
      <c r="E362" s="209"/>
    </row>
    <row r="363" spans="1:5">
      <c r="A363" t="s">
        <v>869</v>
      </c>
      <c r="B363" s="209">
        <v>1</v>
      </c>
      <c r="C363" s="209"/>
      <c r="D363" s="209"/>
      <c r="E363" s="209"/>
    </row>
    <row r="364" spans="1:5">
      <c r="A364" t="s">
        <v>870</v>
      </c>
      <c r="B364" s="209">
        <v>1</v>
      </c>
      <c r="C364" s="209"/>
      <c r="D364" s="209"/>
      <c r="E364" s="209"/>
    </row>
    <row r="365" spans="1:5">
      <c r="A365" t="s">
        <v>871</v>
      </c>
      <c r="B365" s="209">
        <v>1</v>
      </c>
      <c r="C365" s="209"/>
      <c r="D365" s="209"/>
      <c r="E365" s="209"/>
    </row>
    <row r="366" spans="1:5">
      <c r="A366" t="s">
        <v>872</v>
      </c>
      <c r="B366" s="209">
        <v>1</v>
      </c>
      <c r="C366" s="209"/>
      <c r="D366" s="209"/>
      <c r="E366" s="209"/>
    </row>
    <row r="367" spans="1:5">
      <c r="A367" t="s">
        <v>1855</v>
      </c>
      <c r="B367" s="209">
        <v>1</v>
      </c>
      <c r="C367" s="209"/>
      <c r="D367" s="201">
        <v>45534</v>
      </c>
      <c r="E367" s="201">
        <v>45534</v>
      </c>
    </row>
    <row r="368" spans="1:5">
      <c r="A368" t="s">
        <v>1856</v>
      </c>
      <c r="B368" s="209">
        <v>1</v>
      </c>
      <c r="C368" s="209"/>
      <c r="D368" s="201">
        <v>45534</v>
      </c>
      <c r="E368" s="201">
        <v>45534</v>
      </c>
    </row>
    <row r="369" spans="1:5">
      <c r="A369" t="s">
        <v>873</v>
      </c>
      <c r="B369" s="209">
        <v>1</v>
      </c>
      <c r="C369" s="209"/>
      <c r="D369" s="201">
        <v>45534</v>
      </c>
      <c r="E369" s="201">
        <v>45534</v>
      </c>
    </row>
    <row r="370" spans="1:5">
      <c r="A370" t="s">
        <v>874</v>
      </c>
      <c r="B370" s="209">
        <v>0</v>
      </c>
      <c r="C370" s="209"/>
      <c r="D370" s="201">
        <v>45534</v>
      </c>
      <c r="E370" s="201">
        <v>45534</v>
      </c>
    </row>
    <row r="371" spans="1:5">
      <c r="A371" t="s">
        <v>875</v>
      </c>
      <c r="B371" s="209">
        <v>1</v>
      </c>
      <c r="C371" s="209"/>
      <c r="D371" s="201">
        <v>45534</v>
      </c>
      <c r="E371" s="201">
        <v>45534</v>
      </c>
    </row>
    <row r="372" spans="1:5">
      <c r="A372" t="s">
        <v>876</v>
      </c>
      <c r="B372" s="209">
        <v>1</v>
      </c>
      <c r="C372" s="209"/>
      <c r="D372" s="201">
        <v>45534</v>
      </c>
      <c r="E372" s="201">
        <v>45534</v>
      </c>
    </row>
    <row r="373" spans="1:5">
      <c r="A373" t="s">
        <v>877</v>
      </c>
      <c r="B373" s="209">
        <v>1</v>
      </c>
      <c r="C373" s="209"/>
      <c r="D373" s="201">
        <v>45534</v>
      </c>
      <c r="E373" s="201">
        <v>45534</v>
      </c>
    </row>
    <row r="374" spans="1:5">
      <c r="A374" t="s">
        <v>878</v>
      </c>
      <c r="B374" s="209">
        <v>1</v>
      </c>
      <c r="C374" s="209"/>
      <c r="D374" s="201">
        <v>45534</v>
      </c>
      <c r="E374" s="201">
        <v>45534</v>
      </c>
    </row>
    <row r="375" spans="1:5">
      <c r="A375" t="s">
        <v>879</v>
      </c>
      <c r="B375" s="209">
        <v>1</v>
      </c>
      <c r="C375" s="209"/>
      <c r="D375" s="201">
        <v>45534</v>
      </c>
      <c r="E375" s="201">
        <v>45534</v>
      </c>
    </row>
    <row r="376" spans="1:5">
      <c r="A376" t="s">
        <v>880</v>
      </c>
      <c r="B376" s="209">
        <v>1</v>
      </c>
      <c r="C376" s="209"/>
      <c r="D376" s="201">
        <v>45534</v>
      </c>
      <c r="E376" s="201">
        <v>45534</v>
      </c>
    </row>
    <row r="377" spans="1:5">
      <c r="A377" t="s">
        <v>1857</v>
      </c>
      <c r="B377" s="209">
        <v>1</v>
      </c>
      <c r="C377" s="209"/>
      <c r="D377" s="201">
        <v>45534</v>
      </c>
      <c r="E377" s="201">
        <v>45534</v>
      </c>
    </row>
    <row r="378" spans="1:5">
      <c r="A378" t="s">
        <v>881</v>
      </c>
      <c r="B378" s="209">
        <v>1</v>
      </c>
      <c r="C378" s="209"/>
      <c r="D378" s="201">
        <v>45534</v>
      </c>
      <c r="E378" s="201">
        <v>45534</v>
      </c>
    </row>
    <row r="379" spans="1:5">
      <c r="A379" t="s">
        <v>882</v>
      </c>
      <c r="B379" s="209">
        <v>1</v>
      </c>
      <c r="C379" s="209"/>
      <c r="D379" s="201">
        <v>45534</v>
      </c>
      <c r="E379" s="201">
        <v>45534</v>
      </c>
    </row>
    <row r="380" spans="1:5">
      <c r="A380" t="s">
        <v>883</v>
      </c>
      <c r="B380" s="209">
        <v>1</v>
      </c>
      <c r="C380" s="209"/>
      <c r="D380" s="201">
        <v>45534</v>
      </c>
      <c r="E380" s="201">
        <v>45534</v>
      </c>
    </row>
    <row r="381" spans="1:5">
      <c r="A381" t="s">
        <v>884</v>
      </c>
      <c r="B381" s="209">
        <v>1</v>
      </c>
      <c r="C381" s="209"/>
      <c r="D381" s="201">
        <v>45534</v>
      </c>
      <c r="E381" s="201">
        <v>45534</v>
      </c>
    </row>
    <row r="382" spans="1:5">
      <c r="A382" t="s">
        <v>885</v>
      </c>
      <c r="B382" s="209">
        <v>1</v>
      </c>
      <c r="C382" s="209"/>
      <c r="D382" s="201">
        <v>45534</v>
      </c>
      <c r="E382" s="201">
        <v>45534</v>
      </c>
    </row>
    <row r="383" spans="1:5">
      <c r="A383" t="s">
        <v>886</v>
      </c>
      <c r="B383" s="209">
        <v>1</v>
      </c>
      <c r="C383" s="209"/>
      <c r="D383" s="201">
        <v>45534</v>
      </c>
      <c r="E383" s="201">
        <v>45534</v>
      </c>
    </row>
    <row r="384" spans="1:5">
      <c r="A384" t="s">
        <v>1858</v>
      </c>
      <c r="B384" s="209">
        <v>1</v>
      </c>
      <c r="C384" s="209"/>
      <c r="D384" s="201">
        <v>45534</v>
      </c>
      <c r="E384" s="201">
        <v>45534</v>
      </c>
    </row>
    <row r="385" spans="1:5">
      <c r="A385" t="s">
        <v>887</v>
      </c>
      <c r="B385" s="209">
        <v>1</v>
      </c>
      <c r="C385" s="209"/>
      <c r="D385" s="201">
        <v>45534</v>
      </c>
      <c r="E385" s="201">
        <v>45534</v>
      </c>
    </row>
    <row r="386" spans="1:5">
      <c r="A386" t="s">
        <v>888</v>
      </c>
      <c r="B386" s="209">
        <v>1</v>
      </c>
      <c r="C386" s="209"/>
      <c r="D386" s="209"/>
      <c r="E386" s="209"/>
    </row>
    <row r="387" spans="1:5">
      <c r="A387" t="s">
        <v>889</v>
      </c>
      <c r="B387" s="209">
        <v>0</v>
      </c>
      <c r="C387" s="209"/>
      <c r="D387" s="209"/>
      <c r="E387" s="209"/>
    </row>
    <row r="388" spans="1:5">
      <c r="A388" t="s">
        <v>1829</v>
      </c>
      <c r="B388" s="209">
        <v>1</v>
      </c>
      <c r="C388" s="209"/>
      <c r="D388" s="209"/>
      <c r="E388" s="209"/>
    </row>
    <row r="389" spans="1:5">
      <c r="A389" t="s">
        <v>890</v>
      </c>
      <c r="B389" s="209">
        <v>1</v>
      </c>
      <c r="C389" s="209"/>
      <c r="D389" s="209"/>
      <c r="E389" s="209"/>
    </row>
    <row r="390" spans="1:5">
      <c r="A390" t="s">
        <v>891</v>
      </c>
      <c r="B390" s="209">
        <v>1</v>
      </c>
      <c r="C390" s="209"/>
      <c r="D390" s="209"/>
      <c r="E390" s="209"/>
    </row>
    <row r="391" spans="1:5">
      <c r="A391" t="s">
        <v>892</v>
      </c>
      <c r="B391" s="209">
        <v>0</v>
      </c>
      <c r="C391" s="209"/>
      <c r="D391" s="209"/>
      <c r="E391" s="209"/>
    </row>
    <row r="392" spans="1:5">
      <c r="A392" t="s">
        <v>893</v>
      </c>
      <c r="B392" s="209">
        <v>1</v>
      </c>
      <c r="C392" s="209"/>
      <c r="D392" s="209"/>
      <c r="E392" s="209"/>
    </row>
    <row r="393" spans="1:5">
      <c r="A393" t="s">
        <v>1830</v>
      </c>
      <c r="B393" s="209">
        <v>1</v>
      </c>
      <c r="C393" s="209"/>
      <c r="D393" s="209"/>
      <c r="E393" s="209"/>
    </row>
    <row r="394" spans="1:5">
      <c r="A394" t="s">
        <v>894</v>
      </c>
      <c r="B394" s="209">
        <v>1</v>
      </c>
      <c r="C394" s="209"/>
      <c r="D394" s="209"/>
      <c r="E394" s="209"/>
    </row>
    <row r="395" spans="1:5">
      <c r="A395" t="s">
        <v>895</v>
      </c>
      <c r="B395" s="209">
        <v>0</v>
      </c>
      <c r="C395" s="209"/>
      <c r="D395" s="209"/>
      <c r="E395" s="209"/>
    </row>
    <row r="396" spans="1:5">
      <c r="A396" t="s">
        <v>1831</v>
      </c>
      <c r="B396" s="209">
        <v>1</v>
      </c>
      <c r="C396" s="209"/>
      <c r="D396" s="209"/>
      <c r="E396" s="209"/>
    </row>
    <row r="397" spans="1:5">
      <c r="A397" t="s">
        <v>896</v>
      </c>
      <c r="B397" s="209">
        <v>1</v>
      </c>
      <c r="C397" s="209"/>
      <c r="D397" s="209"/>
      <c r="E397" s="209"/>
    </row>
    <row r="398" spans="1:5">
      <c r="A398" t="s">
        <v>897</v>
      </c>
      <c r="B398" s="209">
        <v>1</v>
      </c>
      <c r="C398" s="209"/>
      <c r="D398" s="209"/>
      <c r="E398" s="209"/>
    </row>
    <row r="399" spans="1:5">
      <c r="A399" t="s">
        <v>898</v>
      </c>
      <c r="B399" s="209">
        <v>1</v>
      </c>
      <c r="C399" s="209"/>
      <c r="D399" s="209"/>
      <c r="E399" s="209"/>
    </row>
    <row r="400" spans="1:5">
      <c r="A400" t="s">
        <v>899</v>
      </c>
      <c r="B400" s="209">
        <v>1</v>
      </c>
      <c r="C400" s="209"/>
      <c r="D400" s="209"/>
      <c r="E400" s="209"/>
    </row>
    <row r="401" spans="1:5">
      <c r="A401" t="s">
        <v>900</v>
      </c>
      <c r="B401" s="209">
        <v>1</v>
      </c>
      <c r="C401" s="209"/>
      <c r="D401" s="209"/>
      <c r="E401" s="209"/>
    </row>
    <row r="402" spans="1:5">
      <c r="A402" t="s">
        <v>901</v>
      </c>
      <c r="B402" s="209">
        <v>0</v>
      </c>
      <c r="C402" s="209"/>
      <c r="D402" s="209"/>
      <c r="E402" s="209"/>
    </row>
    <row r="403" spans="1:5">
      <c r="A403" t="s">
        <v>902</v>
      </c>
      <c r="B403" s="209">
        <v>0</v>
      </c>
      <c r="C403" s="209"/>
      <c r="D403" s="209"/>
      <c r="E403" s="209"/>
    </row>
    <row r="404" spans="1:5">
      <c r="A404" t="s">
        <v>903</v>
      </c>
      <c r="B404" s="209">
        <v>0</v>
      </c>
      <c r="C404" s="209"/>
      <c r="D404" s="209"/>
      <c r="E404" s="209"/>
    </row>
    <row r="405" spans="1:5">
      <c r="A405" t="s">
        <v>904</v>
      </c>
      <c r="B405" s="209">
        <v>1</v>
      </c>
      <c r="C405" s="209"/>
      <c r="D405" s="209"/>
      <c r="E405" s="209"/>
    </row>
    <row r="406" spans="1:5">
      <c r="A406" t="s">
        <v>905</v>
      </c>
      <c r="B406" s="209">
        <v>1</v>
      </c>
      <c r="C406" s="209"/>
      <c r="D406" s="209"/>
      <c r="E406" s="209"/>
    </row>
    <row r="407" spans="1:5">
      <c r="A407" t="s">
        <v>906</v>
      </c>
      <c r="B407" s="209">
        <v>0</v>
      </c>
      <c r="C407" s="209"/>
      <c r="D407" s="209"/>
      <c r="E407" s="209"/>
    </row>
    <row r="408" spans="1:5">
      <c r="A408" t="s">
        <v>907</v>
      </c>
      <c r="B408" s="209">
        <v>1</v>
      </c>
      <c r="C408" s="209"/>
      <c r="D408" s="209"/>
      <c r="E408" s="209"/>
    </row>
    <row r="409" spans="1:5">
      <c r="A409" t="s">
        <v>908</v>
      </c>
      <c r="B409" s="209">
        <v>1</v>
      </c>
      <c r="C409" s="209"/>
      <c r="D409" s="209"/>
      <c r="E409" s="209"/>
    </row>
    <row r="410" spans="1:5">
      <c r="A410" t="s">
        <v>909</v>
      </c>
      <c r="B410" s="209">
        <v>1</v>
      </c>
      <c r="C410" s="209"/>
      <c r="D410" s="209"/>
      <c r="E410" s="209"/>
    </row>
    <row r="411" spans="1:5">
      <c r="A411" t="s">
        <v>910</v>
      </c>
      <c r="B411" s="209">
        <v>1</v>
      </c>
      <c r="C411" s="209"/>
      <c r="D411" s="209"/>
      <c r="E411" s="209"/>
    </row>
    <row r="412" spans="1:5">
      <c r="A412" t="s">
        <v>911</v>
      </c>
      <c r="B412" s="209">
        <v>1</v>
      </c>
      <c r="C412" s="209"/>
      <c r="D412" s="209"/>
      <c r="E412" s="209"/>
    </row>
    <row r="413" spans="1:5">
      <c r="A413" t="s">
        <v>912</v>
      </c>
      <c r="B413" s="209">
        <v>1</v>
      </c>
      <c r="C413" s="209"/>
      <c r="D413" s="209"/>
      <c r="E413" s="209"/>
    </row>
    <row r="414" spans="1:5">
      <c r="A414" t="s">
        <v>913</v>
      </c>
      <c r="B414" s="209">
        <v>1</v>
      </c>
      <c r="C414" s="209"/>
      <c r="D414" s="209"/>
      <c r="E414" s="209"/>
    </row>
    <row r="415" spans="1:5">
      <c r="A415" t="s">
        <v>914</v>
      </c>
      <c r="B415" s="209">
        <v>1</v>
      </c>
      <c r="C415" s="209"/>
      <c r="D415" s="209"/>
      <c r="E415" s="209"/>
    </row>
    <row r="416" spans="1:5">
      <c r="A416" t="s">
        <v>915</v>
      </c>
      <c r="B416" s="209">
        <v>1</v>
      </c>
      <c r="C416" s="209"/>
      <c r="D416" s="209"/>
      <c r="E416" s="209"/>
    </row>
    <row r="417" spans="1:5">
      <c r="A417" t="s">
        <v>916</v>
      </c>
      <c r="B417" s="209">
        <v>1</v>
      </c>
      <c r="C417" s="209"/>
      <c r="D417" s="209"/>
      <c r="E417" s="209"/>
    </row>
    <row r="418" spans="1:5">
      <c r="A418" t="s">
        <v>917</v>
      </c>
      <c r="B418" s="209">
        <v>1</v>
      </c>
      <c r="C418" s="209"/>
      <c r="D418" s="209"/>
      <c r="E418" s="209"/>
    </row>
    <row r="419" spans="1:5">
      <c r="A419" t="s">
        <v>918</v>
      </c>
      <c r="B419" s="209">
        <v>1</v>
      </c>
      <c r="C419" s="209"/>
      <c r="D419" s="209"/>
      <c r="E419" s="209"/>
    </row>
    <row r="420" spans="1:5">
      <c r="A420" t="s">
        <v>919</v>
      </c>
      <c r="B420" s="209">
        <v>1</v>
      </c>
      <c r="C420" s="209"/>
      <c r="D420" s="209"/>
      <c r="E420" s="209"/>
    </row>
    <row r="421" spans="1:5">
      <c r="A421" t="s">
        <v>920</v>
      </c>
      <c r="B421" s="209">
        <v>1</v>
      </c>
      <c r="C421" s="209"/>
      <c r="D421" s="209"/>
      <c r="E421" s="209"/>
    </row>
    <row r="422" spans="1:5">
      <c r="A422" t="s">
        <v>921</v>
      </c>
      <c r="B422" s="209">
        <v>1</v>
      </c>
      <c r="C422" s="209"/>
      <c r="D422" s="209"/>
      <c r="E422" s="209"/>
    </row>
    <row r="423" spans="1:5">
      <c r="A423" t="s">
        <v>922</v>
      </c>
      <c r="B423" s="209">
        <v>1</v>
      </c>
      <c r="C423" s="201">
        <v>45491</v>
      </c>
      <c r="D423" s="209"/>
      <c r="E423" s="201">
        <v>45499</v>
      </c>
    </row>
    <row r="424" spans="1:5">
      <c r="A424" t="s">
        <v>923</v>
      </c>
      <c r="B424" s="209">
        <v>1</v>
      </c>
      <c r="C424" s="201">
        <v>45491</v>
      </c>
      <c r="D424" s="209"/>
      <c r="E424" s="201">
        <v>45499</v>
      </c>
    </row>
    <row r="425" spans="1:5">
      <c r="A425" t="s">
        <v>924</v>
      </c>
      <c r="B425" s="209">
        <v>1</v>
      </c>
      <c r="C425" s="209"/>
      <c r="D425" s="209"/>
      <c r="E425" s="209"/>
    </row>
    <row r="426" spans="1:5">
      <c r="A426" t="s">
        <v>925</v>
      </c>
      <c r="B426" s="209">
        <v>1</v>
      </c>
      <c r="C426" s="209"/>
      <c r="D426" s="201">
        <v>45534</v>
      </c>
      <c r="E426" s="201">
        <v>45534</v>
      </c>
    </row>
    <row r="427" spans="1:5">
      <c r="A427" t="s">
        <v>926</v>
      </c>
      <c r="B427" s="209">
        <v>1</v>
      </c>
      <c r="C427" s="209"/>
      <c r="D427" s="201">
        <v>45534</v>
      </c>
      <c r="E427" s="201">
        <v>45534</v>
      </c>
    </row>
    <row r="428" spans="1:5">
      <c r="A428" t="s">
        <v>927</v>
      </c>
      <c r="B428" s="209">
        <v>1</v>
      </c>
      <c r="C428" s="201">
        <v>45471</v>
      </c>
      <c r="D428" s="201">
        <v>45534</v>
      </c>
      <c r="E428" s="201">
        <v>45534</v>
      </c>
    </row>
    <row r="429" spans="1:5">
      <c r="A429" t="s">
        <v>928</v>
      </c>
      <c r="B429" s="209">
        <v>1</v>
      </c>
      <c r="C429" s="209"/>
      <c r="D429" s="201">
        <v>45534</v>
      </c>
      <c r="E429" s="201">
        <v>45534</v>
      </c>
    </row>
    <row r="430" spans="1:5">
      <c r="A430" t="s">
        <v>929</v>
      </c>
      <c r="B430" s="209">
        <v>1</v>
      </c>
      <c r="C430" s="209"/>
      <c r="D430" s="201">
        <v>45534</v>
      </c>
      <c r="E430" s="201">
        <v>45534</v>
      </c>
    </row>
    <row r="431" spans="1:5">
      <c r="A431" t="s">
        <v>930</v>
      </c>
      <c r="B431" s="209">
        <v>1</v>
      </c>
      <c r="C431" s="209"/>
      <c r="D431" s="201">
        <v>45534</v>
      </c>
      <c r="E431" s="201">
        <v>45534</v>
      </c>
    </row>
    <row r="432" spans="1:5">
      <c r="A432" t="s">
        <v>931</v>
      </c>
      <c r="B432" s="209">
        <v>1</v>
      </c>
      <c r="C432" s="209"/>
      <c r="D432" s="201">
        <v>45534</v>
      </c>
      <c r="E432" s="201">
        <v>45534</v>
      </c>
    </row>
    <row r="433" spans="1:5">
      <c r="A433" t="s">
        <v>932</v>
      </c>
      <c r="B433" s="209">
        <v>1</v>
      </c>
      <c r="C433" s="209"/>
      <c r="D433" s="201">
        <v>45534</v>
      </c>
      <c r="E433" s="201">
        <v>45534</v>
      </c>
    </row>
    <row r="434" spans="1:5">
      <c r="A434" t="s">
        <v>933</v>
      </c>
      <c r="B434" s="209">
        <v>1</v>
      </c>
      <c r="C434" s="209"/>
      <c r="D434" s="201">
        <v>45534</v>
      </c>
      <c r="E434" s="201">
        <v>45534</v>
      </c>
    </row>
    <row r="435" spans="1:5">
      <c r="A435" t="s">
        <v>934</v>
      </c>
      <c r="B435" s="209">
        <v>1</v>
      </c>
      <c r="C435" s="209"/>
      <c r="D435" s="201">
        <v>45534</v>
      </c>
      <c r="E435" s="201">
        <v>45534</v>
      </c>
    </row>
    <row r="436" spans="1:5">
      <c r="A436" t="s">
        <v>935</v>
      </c>
      <c r="B436" s="209">
        <v>1</v>
      </c>
      <c r="C436" s="209"/>
      <c r="D436" s="201">
        <v>45534</v>
      </c>
      <c r="E436" s="201">
        <v>45534</v>
      </c>
    </row>
    <row r="437" spans="1:5">
      <c r="A437" t="s">
        <v>936</v>
      </c>
      <c r="B437" s="209">
        <v>1</v>
      </c>
      <c r="C437" s="209"/>
      <c r="D437" s="201">
        <v>45534</v>
      </c>
      <c r="E437" s="201">
        <v>45534</v>
      </c>
    </row>
    <row r="438" spans="1:5">
      <c r="A438" t="s">
        <v>937</v>
      </c>
      <c r="B438" s="209">
        <v>1</v>
      </c>
      <c r="C438" s="209"/>
      <c r="D438" s="201">
        <v>45534</v>
      </c>
      <c r="E438" s="201">
        <v>45534</v>
      </c>
    </row>
    <row r="439" spans="1:5">
      <c r="A439" t="s">
        <v>1845</v>
      </c>
      <c r="B439" s="209">
        <v>1</v>
      </c>
      <c r="C439" s="209"/>
      <c r="D439" s="201">
        <v>45534</v>
      </c>
      <c r="E439" s="201">
        <v>45534</v>
      </c>
    </row>
    <row r="440" spans="1:5">
      <c r="A440" t="s">
        <v>938</v>
      </c>
      <c r="B440" s="209">
        <v>1</v>
      </c>
      <c r="C440" s="209"/>
      <c r="D440" s="201">
        <v>45534</v>
      </c>
      <c r="E440" s="201">
        <v>45534</v>
      </c>
    </row>
    <row r="441" spans="1:5">
      <c r="A441" t="s">
        <v>939</v>
      </c>
      <c r="B441" s="209">
        <v>1</v>
      </c>
      <c r="C441" s="209"/>
      <c r="D441" s="201">
        <v>45534</v>
      </c>
      <c r="E441" s="201">
        <v>45534</v>
      </c>
    </row>
    <row r="442" spans="1:5">
      <c r="A442" t="s">
        <v>940</v>
      </c>
      <c r="B442" s="209">
        <v>1</v>
      </c>
      <c r="C442" s="209"/>
      <c r="D442" s="201">
        <v>45534</v>
      </c>
      <c r="E442" s="201">
        <v>45534</v>
      </c>
    </row>
    <row r="443" spans="1:5">
      <c r="A443" t="s">
        <v>941</v>
      </c>
      <c r="B443" s="209">
        <v>1</v>
      </c>
      <c r="C443" s="209"/>
      <c r="D443" s="201">
        <v>45534</v>
      </c>
      <c r="E443" s="201">
        <v>45534</v>
      </c>
    </row>
    <row r="444" spans="1:5">
      <c r="A444" t="s">
        <v>942</v>
      </c>
      <c r="B444" s="209">
        <v>1</v>
      </c>
      <c r="C444" s="209"/>
      <c r="D444" s="201">
        <v>45534</v>
      </c>
      <c r="E444" s="201">
        <v>45534</v>
      </c>
    </row>
    <row r="445" spans="1:5">
      <c r="A445" t="s">
        <v>943</v>
      </c>
      <c r="B445" s="209">
        <v>0</v>
      </c>
      <c r="C445" s="209"/>
      <c r="D445" s="209"/>
      <c r="E445" s="209"/>
    </row>
    <row r="446" spans="1:5">
      <c r="A446" t="s">
        <v>944</v>
      </c>
      <c r="B446" s="209">
        <v>0</v>
      </c>
      <c r="C446" s="209"/>
      <c r="D446" s="209"/>
      <c r="E446" s="209"/>
    </row>
    <row r="447" spans="1:5">
      <c r="A447" t="s">
        <v>945</v>
      </c>
      <c r="B447" s="209">
        <v>0</v>
      </c>
      <c r="C447" s="209"/>
      <c r="D447" s="209"/>
      <c r="E447" s="209"/>
    </row>
    <row r="448" spans="1:5">
      <c r="A448" t="s">
        <v>946</v>
      </c>
      <c r="B448" s="209">
        <v>1</v>
      </c>
      <c r="C448" s="209"/>
      <c r="D448" s="201">
        <v>45534</v>
      </c>
      <c r="E448" s="201">
        <v>45534</v>
      </c>
    </row>
    <row r="449" spans="1:5">
      <c r="A449" t="s">
        <v>947</v>
      </c>
      <c r="B449" s="209">
        <v>1</v>
      </c>
      <c r="C449" s="209"/>
      <c r="D449" s="201">
        <v>45534</v>
      </c>
      <c r="E449" s="201">
        <v>45534</v>
      </c>
    </row>
    <row r="450" spans="1:5">
      <c r="A450" t="s">
        <v>948</v>
      </c>
      <c r="B450" s="209">
        <v>1</v>
      </c>
      <c r="C450" s="209"/>
      <c r="D450" s="201">
        <v>45534</v>
      </c>
      <c r="E450" s="201">
        <v>45534</v>
      </c>
    </row>
    <row r="451" spans="1:5">
      <c r="A451" t="s">
        <v>1840</v>
      </c>
      <c r="B451" s="209">
        <v>1</v>
      </c>
      <c r="C451" s="209"/>
      <c r="D451" s="201">
        <v>45534</v>
      </c>
      <c r="E451" s="201">
        <v>45534</v>
      </c>
    </row>
    <row r="452" spans="1:5">
      <c r="A452" t="s">
        <v>949</v>
      </c>
      <c r="B452" s="209">
        <v>1</v>
      </c>
      <c r="C452" s="209"/>
      <c r="D452" s="201">
        <v>45534</v>
      </c>
      <c r="E452" s="201">
        <v>45534</v>
      </c>
    </row>
    <row r="453" spans="1:5">
      <c r="A453" t="s">
        <v>950</v>
      </c>
      <c r="B453" s="209">
        <v>1</v>
      </c>
      <c r="C453" s="209"/>
      <c r="D453" s="201">
        <v>45534</v>
      </c>
      <c r="E453" s="201">
        <v>45534</v>
      </c>
    </row>
    <row r="454" spans="1:5">
      <c r="A454" t="s">
        <v>951</v>
      </c>
      <c r="B454" s="209">
        <v>1</v>
      </c>
      <c r="C454" s="209"/>
      <c r="D454" s="201">
        <v>45534</v>
      </c>
      <c r="E454" s="201">
        <v>45534</v>
      </c>
    </row>
    <row r="455" spans="1:5">
      <c r="A455" t="s">
        <v>952</v>
      </c>
      <c r="B455" s="209">
        <v>1</v>
      </c>
      <c r="C455" s="209"/>
      <c r="D455" s="201">
        <v>45534</v>
      </c>
      <c r="E455" s="201">
        <v>45534</v>
      </c>
    </row>
    <row r="456" spans="1:5">
      <c r="A456" t="s">
        <v>953</v>
      </c>
      <c r="B456" s="209">
        <v>1</v>
      </c>
      <c r="C456" s="209"/>
      <c r="D456" s="201">
        <v>45534</v>
      </c>
      <c r="E456" s="201">
        <v>45534</v>
      </c>
    </row>
    <row r="457" spans="1:5">
      <c r="A457" t="s">
        <v>954</v>
      </c>
      <c r="B457" s="209">
        <v>1</v>
      </c>
      <c r="C457" s="209"/>
      <c r="D457" s="201">
        <v>45534</v>
      </c>
      <c r="E457" s="201">
        <v>45534</v>
      </c>
    </row>
    <row r="458" spans="1:5">
      <c r="A458" t="s">
        <v>955</v>
      </c>
      <c r="B458" s="209">
        <v>1</v>
      </c>
      <c r="C458" s="209"/>
      <c r="D458" s="201">
        <v>45534</v>
      </c>
      <c r="E458" s="201">
        <v>45534</v>
      </c>
    </row>
    <row r="459" spans="1:5">
      <c r="A459" t="s">
        <v>956</v>
      </c>
      <c r="B459" s="209">
        <v>1</v>
      </c>
      <c r="C459" s="209"/>
      <c r="D459" s="201">
        <v>45534</v>
      </c>
      <c r="E459" s="201">
        <v>45534</v>
      </c>
    </row>
    <row r="460" spans="1:5">
      <c r="A460" t="s">
        <v>957</v>
      </c>
      <c r="B460" s="209">
        <v>1</v>
      </c>
      <c r="C460" s="209"/>
      <c r="D460" s="201">
        <v>45534</v>
      </c>
      <c r="E460" s="201">
        <v>45534</v>
      </c>
    </row>
    <row r="461" spans="1:5">
      <c r="A461" t="s">
        <v>958</v>
      </c>
      <c r="B461" s="209">
        <v>1</v>
      </c>
      <c r="C461" s="209"/>
      <c r="D461" s="201">
        <v>45534</v>
      </c>
      <c r="E461" s="201">
        <v>45534</v>
      </c>
    </row>
    <row r="462" spans="1:5">
      <c r="A462" t="s">
        <v>959</v>
      </c>
      <c r="B462" s="209">
        <v>1</v>
      </c>
      <c r="C462" s="209"/>
      <c r="D462" s="201">
        <v>45534</v>
      </c>
      <c r="E462" s="201">
        <v>45534</v>
      </c>
    </row>
    <row r="463" spans="1:5">
      <c r="A463" t="s">
        <v>960</v>
      </c>
      <c r="B463" s="209">
        <v>1</v>
      </c>
      <c r="C463" s="209"/>
      <c r="D463" s="201">
        <v>45534</v>
      </c>
      <c r="E463" s="201">
        <v>45534</v>
      </c>
    </row>
    <row r="464" spans="1:5">
      <c r="A464" t="s">
        <v>961</v>
      </c>
      <c r="B464" s="209">
        <v>1</v>
      </c>
      <c r="C464" s="209"/>
      <c r="D464" s="201">
        <v>45534</v>
      </c>
      <c r="E464" s="201">
        <v>45534</v>
      </c>
    </row>
    <row r="465" spans="1:5">
      <c r="A465" t="s">
        <v>962</v>
      </c>
      <c r="B465" s="209">
        <v>1</v>
      </c>
      <c r="C465" s="209"/>
      <c r="D465" s="201">
        <v>45534</v>
      </c>
      <c r="E465" s="201">
        <v>45534</v>
      </c>
    </row>
    <row r="466" spans="1:5">
      <c r="A466" t="s">
        <v>963</v>
      </c>
      <c r="B466" s="209">
        <v>1</v>
      </c>
      <c r="C466" s="209"/>
      <c r="D466" s="201">
        <v>45534</v>
      </c>
      <c r="E466" s="201">
        <v>45534</v>
      </c>
    </row>
    <row r="467" spans="1:5">
      <c r="A467" t="s">
        <v>964</v>
      </c>
      <c r="B467" s="209">
        <v>1</v>
      </c>
      <c r="C467" s="209"/>
      <c r="D467" s="201">
        <v>45534</v>
      </c>
      <c r="E467" s="201">
        <v>45534</v>
      </c>
    </row>
    <row r="468" spans="1:5">
      <c r="A468" t="s">
        <v>965</v>
      </c>
      <c r="B468" s="209">
        <v>1</v>
      </c>
      <c r="C468" s="209"/>
      <c r="D468" s="201">
        <v>45534</v>
      </c>
      <c r="E468" s="201">
        <v>45534</v>
      </c>
    </row>
    <row r="469" spans="1:5">
      <c r="A469" t="s">
        <v>966</v>
      </c>
      <c r="B469" s="209">
        <v>1</v>
      </c>
      <c r="C469" s="209"/>
      <c r="D469" s="201">
        <v>45534</v>
      </c>
      <c r="E469" s="201">
        <v>45534</v>
      </c>
    </row>
    <row r="470" spans="1:5">
      <c r="A470" t="s">
        <v>967</v>
      </c>
      <c r="B470" s="209">
        <v>1</v>
      </c>
      <c r="C470" s="209"/>
      <c r="D470" s="201">
        <v>45534</v>
      </c>
      <c r="E470" s="201">
        <v>45534</v>
      </c>
    </row>
    <row r="471" spans="1:5">
      <c r="A471" t="s">
        <v>968</v>
      </c>
      <c r="B471" s="209">
        <v>1</v>
      </c>
      <c r="C471" s="209"/>
      <c r="D471" s="201">
        <v>45534</v>
      </c>
      <c r="E471" s="201">
        <v>45534</v>
      </c>
    </row>
    <row r="472" spans="1:5">
      <c r="A472" t="s">
        <v>969</v>
      </c>
      <c r="B472" s="209">
        <v>1</v>
      </c>
      <c r="C472" s="209"/>
      <c r="D472" s="201">
        <v>45534</v>
      </c>
      <c r="E472" s="201">
        <v>45534</v>
      </c>
    </row>
    <row r="473" spans="1:5">
      <c r="A473" t="s">
        <v>970</v>
      </c>
      <c r="B473" s="209">
        <v>1</v>
      </c>
      <c r="C473" s="209"/>
      <c r="D473" s="201">
        <v>45534</v>
      </c>
      <c r="E473" s="201">
        <v>45534</v>
      </c>
    </row>
    <row r="474" spans="1:5">
      <c r="A474" t="s">
        <v>971</v>
      </c>
      <c r="B474" s="209">
        <v>1</v>
      </c>
      <c r="C474" s="209"/>
      <c r="D474" s="201">
        <v>45534</v>
      </c>
      <c r="E474" s="201">
        <v>45534</v>
      </c>
    </row>
    <row r="475" spans="1:5">
      <c r="A475" t="s">
        <v>972</v>
      </c>
      <c r="B475" s="209">
        <v>1</v>
      </c>
      <c r="C475" s="209"/>
      <c r="D475" s="201">
        <v>45534</v>
      </c>
      <c r="E475" s="201">
        <v>45534</v>
      </c>
    </row>
    <row r="476" spans="1:5">
      <c r="A476" t="s">
        <v>973</v>
      </c>
      <c r="B476" s="209">
        <v>1</v>
      </c>
      <c r="C476" s="209"/>
      <c r="D476" s="201">
        <v>45534</v>
      </c>
      <c r="E476" s="201">
        <v>45534</v>
      </c>
    </row>
    <row r="477" spans="1:5">
      <c r="A477" t="s">
        <v>974</v>
      </c>
      <c r="B477" s="209">
        <v>1</v>
      </c>
      <c r="C477" s="209"/>
      <c r="D477" s="201">
        <v>45534</v>
      </c>
      <c r="E477" s="201">
        <v>45534</v>
      </c>
    </row>
    <row r="478" spans="1:5">
      <c r="A478" t="s">
        <v>975</v>
      </c>
      <c r="B478" s="209">
        <v>1</v>
      </c>
      <c r="C478" s="209"/>
      <c r="D478" s="201">
        <v>45534</v>
      </c>
      <c r="E478" s="201">
        <v>45534</v>
      </c>
    </row>
    <row r="479" spans="1:5">
      <c r="A479" t="s">
        <v>976</v>
      </c>
      <c r="B479" s="209">
        <v>1</v>
      </c>
      <c r="C479" s="209"/>
      <c r="D479" s="201">
        <v>45534</v>
      </c>
      <c r="E479" s="201">
        <v>45534</v>
      </c>
    </row>
    <row r="480" spans="1:5">
      <c r="A480" t="s">
        <v>977</v>
      </c>
      <c r="B480" s="209">
        <v>1</v>
      </c>
      <c r="C480" s="209"/>
      <c r="D480" s="201">
        <v>45534</v>
      </c>
      <c r="E480" s="201">
        <v>45534</v>
      </c>
    </row>
    <row r="481" spans="1:5">
      <c r="A481" t="s">
        <v>978</v>
      </c>
      <c r="B481" s="209">
        <v>1</v>
      </c>
      <c r="C481" s="209"/>
      <c r="D481" s="201">
        <v>45534</v>
      </c>
      <c r="E481" s="201">
        <v>45534</v>
      </c>
    </row>
    <row r="482" spans="1:5">
      <c r="A482" t="s">
        <v>979</v>
      </c>
      <c r="B482" s="209">
        <v>1</v>
      </c>
      <c r="C482" s="209"/>
      <c r="D482" s="201">
        <v>45534</v>
      </c>
      <c r="E482" s="201">
        <v>45534</v>
      </c>
    </row>
    <row r="483" spans="1:5">
      <c r="A483" t="s">
        <v>1819</v>
      </c>
      <c r="B483" s="209">
        <v>1</v>
      </c>
      <c r="C483" s="209"/>
      <c r="D483" s="201">
        <v>45534</v>
      </c>
      <c r="E483" s="201">
        <v>45534</v>
      </c>
    </row>
    <row r="484" spans="1:5">
      <c r="A484" t="s">
        <v>980</v>
      </c>
      <c r="B484" s="209">
        <v>1</v>
      </c>
      <c r="C484" s="209"/>
      <c r="D484" s="201">
        <v>45534</v>
      </c>
      <c r="E484" s="201">
        <v>45534</v>
      </c>
    </row>
    <row r="485" spans="1:5">
      <c r="A485" t="s">
        <v>981</v>
      </c>
      <c r="B485" s="209">
        <v>1</v>
      </c>
      <c r="C485" s="209"/>
      <c r="D485" s="201">
        <v>45534</v>
      </c>
      <c r="E485" s="201">
        <v>45534</v>
      </c>
    </row>
    <row r="486" spans="1:5">
      <c r="A486" t="s">
        <v>982</v>
      </c>
      <c r="B486" s="209">
        <v>1</v>
      </c>
      <c r="C486" s="209"/>
      <c r="D486" s="201">
        <v>45534</v>
      </c>
      <c r="E486" s="201">
        <v>45534</v>
      </c>
    </row>
    <row r="487" spans="1:5">
      <c r="A487" t="s">
        <v>983</v>
      </c>
      <c r="B487" s="209">
        <v>1</v>
      </c>
      <c r="C487" s="209"/>
      <c r="D487" s="201">
        <v>45534</v>
      </c>
      <c r="E487" s="201">
        <v>45534</v>
      </c>
    </row>
    <row r="488" spans="1:5">
      <c r="A488" t="s">
        <v>984</v>
      </c>
      <c r="B488" s="209">
        <v>1</v>
      </c>
      <c r="C488" s="209"/>
      <c r="D488" s="201">
        <v>45534</v>
      </c>
      <c r="E488" s="201">
        <v>45534</v>
      </c>
    </row>
    <row r="489" spans="1:5">
      <c r="A489" t="s">
        <v>985</v>
      </c>
      <c r="B489" s="209">
        <v>1</v>
      </c>
      <c r="C489" s="209"/>
      <c r="D489" s="201">
        <v>45534</v>
      </c>
      <c r="E489" s="201">
        <v>45534</v>
      </c>
    </row>
    <row r="490" spans="1:5">
      <c r="A490" t="s">
        <v>986</v>
      </c>
      <c r="B490" s="209">
        <v>1</v>
      </c>
      <c r="C490" s="209"/>
      <c r="D490" s="201">
        <v>45534</v>
      </c>
      <c r="E490" s="201">
        <v>45534</v>
      </c>
    </row>
    <row r="491" spans="1:5">
      <c r="A491" t="s">
        <v>987</v>
      </c>
      <c r="B491" s="209">
        <v>1</v>
      </c>
      <c r="C491" s="209"/>
      <c r="D491" s="201">
        <v>45534</v>
      </c>
      <c r="E491" s="201">
        <v>45534</v>
      </c>
    </row>
    <row r="492" spans="1:5">
      <c r="A492" t="s">
        <v>988</v>
      </c>
      <c r="B492" s="209">
        <v>1</v>
      </c>
      <c r="C492" s="209"/>
      <c r="D492" s="201">
        <v>45534</v>
      </c>
      <c r="E492" s="201">
        <v>45534</v>
      </c>
    </row>
    <row r="493" spans="1:5">
      <c r="A493" t="s">
        <v>989</v>
      </c>
      <c r="B493" s="209">
        <v>1</v>
      </c>
      <c r="C493" s="209"/>
      <c r="D493" s="201">
        <v>45534</v>
      </c>
      <c r="E493" s="201">
        <v>45534</v>
      </c>
    </row>
    <row r="494" spans="1:5">
      <c r="A494" t="s">
        <v>990</v>
      </c>
      <c r="B494" s="209">
        <v>1</v>
      </c>
      <c r="C494" s="209"/>
      <c r="D494" s="201">
        <v>45534</v>
      </c>
      <c r="E494" s="201">
        <v>45534</v>
      </c>
    </row>
    <row r="495" spans="1:5">
      <c r="A495" t="s">
        <v>991</v>
      </c>
      <c r="B495" s="209">
        <v>1</v>
      </c>
      <c r="C495" s="209"/>
      <c r="D495" s="201">
        <v>45534</v>
      </c>
      <c r="E495" s="201">
        <v>45534</v>
      </c>
    </row>
    <row r="496" spans="1:5">
      <c r="A496" t="s">
        <v>992</v>
      </c>
      <c r="B496" s="209">
        <v>4</v>
      </c>
      <c r="C496" s="209"/>
      <c r="D496" s="209"/>
      <c r="E496" s="209"/>
    </row>
    <row r="497" spans="1:5">
      <c r="A497" t="s">
        <v>993</v>
      </c>
      <c r="B497" s="209">
        <v>1</v>
      </c>
      <c r="C497" s="209"/>
      <c r="D497" s="209"/>
      <c r="E497" s="209"/>
    </row>
    <row r="498" spans="1:5">
      <c r="A498" t="s">
        <v>994</v>
      </c>
      <c r="B498" s="209">
        <v>1</v>
      </c>
      <c r="C498" s="209"/>
      <c r="D498" s="209"/>
      <c r="E498" s="209"/>
    </row>
    <row r="499" spans="1:5">
      <c r="A499" t="s">
        <v>995</v>
      </c>
      <c r="B499" s="209">
        <v>1</v>
      </c>
      <c r="C499" s="209"/>
      <c r="D499" s="209"/>
      <c r="E499" s="209"/>
    </row>
    <row r="500" spans="1:5">
      <c r="A500" t="s">
        <v>996</v>
      </c>
      <c r="B500" s="209">
        <v>1</v>
      </c>
      <c r="C500" s="209"/>
      <c r="D500" s="209"/>
      <c r="E500" s="209"/>
    </row>
    <row r="501" spans="1:5">
      <c r="A501" t="s">
        <v>997</v>
      </c>
      <c r="B501" s="209">
        <v>1</v>
      </c>
      <c r="C501" s="209"/>
      <c r="D501" s="209"/>
      <c r="E501" s="209"/>
    </row>
    <row r="502" spans="1:5">
      <c r="A502" t="s">
        <v>998</v>
      </c>
      <c r="B502" s="209">
        <v>1</v>
      </c>
      <c r="C502" s="209"/>
      <c r="D502" s="209"/>
      <c r="E502" s="209"/>
    </row>
    <row r="503" spans="1:5">
      <c r="A503" t="s">
        <v>999</v>
      </c>
      <c r="B503" s="209">
        <v>1</v>
      </c>
      <c r="C503" s="209"/>
      <c r="D503" s="209"/>
      <c r="E503" s="209"/>
    </row>
    <row r="504" spans="1:5">
      <c r="A504" t="s">
        <v>1000</v>
      </c>
      <c r="B504" s="209">
        <v>1</v>
      </c>
      <c r="C504" s="209"/>
      <c r="D504" s="209"/>
      <c r="E504" s="209"/>
    </row>
    <row r="505" spans="1:5">
      <c r="A505" t="s">
        <v>1001</v>
      </c>
      <c r="B505" s="209">
        <v>1</v>
      </c>
      <c r="C505" s="209"/>
      <c r="D505" s="209"/>
      <c r="E505" s="209"/>
    </row>
    <row r="506" spans="1:5">
      <c r="A506" t="s">
        <v>1002</v>
      </c>
      <c r="B506" s="209">
        <v>1</v>
      </c>
      <c r="C506" s="209"/>
      <c r="D506" s="209"/>
      <c r="E506" s="209"/>
    </row>
    <row r="507" spans="1:5">
      <c r="A507" t="s">
        <v>1003</v>
      </c>
      <c r="B507" s="209">
        <v>4</v>
      </c>
      <c r="C507" s="201">
        <v>45561</v>
      </c>
      <c r="D507" s="209"/>
      <c r="E507" s="209"/>
    </row>
    <row r="508" spans="1:5">
      <c r="A508" t="s">
        <v>1004</v>
      </c>
      <c r="B508" s="209">
        <v>4</v>
      </c>
      <c r="C508" s="201">
        <v>45561</v>
      </c>
      <c r="D508" s="209"/>
      <c r="E508" s="209"/>
    </row>
    <row r="509" spans="1:5">
      <c r="A509" t="s">
        <v>1005</v>
      </c>
      <c r="B509" s="209">
        <v>1</v>
      </c>
      <c r="C509" s="209"/>
      <c r="D509" s="209"/>
      <c r="E509" s="209"/>
    </row>
    <row r="510" spans="1:5">
      <c r="A510" t="s">
        <v>1006</v>
      </c>
      <c r="B510" s="209">
        <v>4</v>
      </c>
      <c r="C510" s="201">
        <v>45561</v>
      </c>
      <c r="D510" s="209"/>
      <c r="E510" s="209"/>
    </row>
    <row r="511" spans="1:5">
      <c r="A511" t="s">
        <v>1007</v>
      </c>
      <c r="B511" s="209">
        <v>4</v>
      </c>
      <c r="C511" s="201">
        <v>45561</v>
      </c>
      <c r="D511" s="209"/>
      <c r="E511" s="209"/>
    </row>
    <row r="512" spans="1:5">
      <c r="A512" t="s">
        <v>1008</v>
      </c>
      <c r="B512" s="209">
        <v>2</v>
      </c>
      <c r="C512" s="201">
        <v>45560</v>
      </c>
      <c r="D512" s="209"/>
      <c r="E512" s="201">
        <v>45562</v>
      </c>
    </row>
    <row r="513" spans="1:5">
      <c r="A513" t="s">
        <v>1009</v>
      </c>
      <c r="B513" s="209">
        <v>2</v>
      </c>
      <c r="C513" s="201">
        <v>45560</v>
      </c>
      <c r="D513" s="209"/>
      <c r="E513" s="201">
        <v>45562</v>
      </c>
    </row>
    <row r="514" spans="1:5">
      <c r="A514" t="s">
        <v>1010</v>
      </c>
      <c r="B514" s="209">
        <v>2</v>
      </c>
      <c r="C514" s="201">
        <v>45560</v>
      </c>
      <c r="D514" s="209"/>
      <c r="E514" s="201">
        <v>45562</v>
      </c>
    </row>
    <row r="515" spans="1:5">
      <c r="A515" t="s">
        <v>1011</v>
      </c>
      <c r="B515" s="209">
        <v>1</v>
      </c>
      <c r="C515" s="209"/>
      <c r="D515" s="209"/>
      <c r="E515" s="209"/>
    </row>
    <row r="516" spans="1:5">
      <c r="A516" t="s">
        <v>1012</v>
      </c>
      <c r="B516" s="209">
        <v>2</v>
      </c>
      <c r="C516" s="201">
        <v>45560</v>
      </c>
      <c r="D516" s="209"/>
      <c r="E516" s="201">
        <v>45562</v>
      </c>
    </row>
    <row r="517" spans="1:5">
      <c r="A517" t="s">
        <v>1013</v>
      </c>
      <c r="B517" s="209">
        <v>2</v>
      </c>
      <c r="C517" s="201">
        <v>45560</v>
      </c>
      <c r="D517" s="209"/>
      <c r="E517" s="201">
        <v>45562</v>
      </c>
    </row>
    <row r="518" spans="1:5">
      <c r="A518" t="s">
        <v>1014</v>
      </c>
      <c r="B518" s="209">
        <v>1</v>
      </c>
      <c r="C518" s="209"/>
      <c r="D518" s="209"/>
      <c r="E518" s="209"/>
    </row>
    <row r="519" spans="1:5">
      <c r="A519" t="s">
        <v>1015</v>
      </c>
      <c r="B519" s="209">
        <v>2</v>
      </c>
      <c r="C519" s="201">
        <v>45560</v>
      </c>
      <c r="D519" s="209"/>
      <c r="E519" s="209"/>
    </row>
    <row r="520" spans="1:5">
      <c r="A520" t="s">
        <v>1016</v>
      </c>
      <c r="B520" s="209">
        <v>2</v>
      </c>
      <c r="C520" s="201">
        <v>45560</v>
      </c>
      <c r="D520" s="209"/>
      <c r="E520" s="209"/>
    </row>
    <row r="521" spans="1:5">
      <c r="A521" t="s">
        <v>1017</v>
      </c>
      <c r="B521" s="209">
        <v>2</v>
      </c>
      <c r="C521" s="201">
        <v>45560</v>
      </c>
      <c r="D521" s="209"/>
      <c r="E521" s="209"/>
    </row>
    <row r="522" spans="1:5">
      <c r="A522" t="s">
        <v>1018</v>
      </c>
      <c r="B522" s="209">
        <v>6</v>
      </c>
      <c r="C522" s="201">
        <v>45561</v>
      </c>
      <c r="D522" s="209"/>
      <c r="E522" s="209"/>
    </row>
    <row r="523" spans="1:5">
      <c r="A523" t="s">
        <v>1019</v>
      </c>
      <c r="B523" s="209">
        <v>6</v>
      </c>
      <c r="C523" s="201">
        <v>45561</v>
      </c>
      <c r="D523" s="209"/>
      <c r="E523" s="209"/>
    </row>
    <row r="524" spans="1:5">
      <c r="A524" t="s">
        <v>1020</v>
      </c>
      <c r="B524" s="209">
        <v>6</v>
      </c>
      <c r="C524" s="201">
        <v>45561</v>
      </c>
      <c r="D524" s="209"/>
      <c r="E524" s="209"/>
    </row>
    <row r="525" spans="1:5">
      <c r="A525" t="s">
        <v>1021</v>
      </c>
      <c r="B525" s="209">
        <v>6</v>
      </c>
      <c r="C525" s="201">
        <v>45561</v>
      </c>
      <c r="D525" s="209"/>
      <c r="E525" s="209"/>
    </row>
    <row r="526" spans="1:5">
      <c r="A526" t="s">
        <v>1022</v>
      </c>
      <c r="B526" s="209">
        <v>6</v>
      </c>
      <c r="C526" s="201">
        <v>45561</v>
      </c>
      <c r="D526" s="209"/>
      <c r="E526" s="209"/>
    </row>
    <row r="527" spans="1:5">
      <c r="A527" t="s">
        <v>1023</v>
      </c>
      <c r="B527" s="209">
        <v>6</v>
      </c>
      <c r="C527" s="201">
        <v>45561</v>
      </c>
      <c r="D527" s="209"/>
      <c r="E527" s="209"/>
    </row>
    <row r="528" spans="1:5">
      <c r="A528" t="s">
        <v>1024</v>
      </c>
      <c r="B528" s="209">
        <v>6</v>
      </c>
      <c r="C528" s="201">
        <v>45561</v>
      </c>
      <c r="D528" s="209"/>
      <c r="E528" s="209"/>
    </row>
    <row r="529" spans="1:5">
      <c r="A529" t="s">
        <v>1025</v>
      </c>
      <c r="B529" s="209">
        <v>6</v>
      </c>
      <c r="C529" s="201">
        <v>45561</v>
      </c>
      <c r="D529" s="209"/>
      <c r="E529" s="209"/>
    </row>
    <row r="530" spans="1:5">
      <c r="A530" t="s">
        <v>1026</v>
      </c>
      <c r="B530" s="209">
        <v>6</v>
      </c>
      <c r="C530" s="201">
        <v>45561</v>
      </c>
      <c r="D530" s="209"/>
      <c r="E530" s="209"/>
    </row>
    <row r="531" spans="1:5">
      <c r="A531" t="s">
        <v>1027</v>
      </c>
      <c r="B531" s="209">
        <v>6</v>
      </c>
      <c r="C531" s="201">
        <v>45561</v>
      </c>
      <c r="D531" s="209"/>
      <c r="E531" s="209"/>
    </row>
    <row r="532" spans="1:5">
      <c r="A532" t="s">
        <v>1028</v>
      </c>
      <c r="B532" s="209">
        <v>6</v>
      </c>
      <c r="C532" s="201">
        <v>45561</v>
      </c>
      <c r="D532" s="209"/>
      <c r="E532" s="209"/>
    </row>
    <row r="533" spans="1:5">
      <c r="A533" t="s">
        <v>1029</v>
      </c>
      <c r="B533" s="209">
        <v>6</v>
      </c>
      <c r="C533" s="201">
        <v>45561</v>
      </c>
      <c r="D533" s="209"/>
      <c r="E533" s="209"/>
    </row>
    <row r="534" spans="1:5">
      <c r="A534" t="s">
        <v>1030</v>
      </c>
      <c r="B534" s="209">
        <v>6</v>
      </c>
      <c r="C534" s="201">
        <v>45561</v>
      </c>
      <c r="D534" s="209"/>
      <c r="E534" s="209"/>
    </row>
    <row r="535" spans="1:5">
      <c r="A535" t="s">
        <v>1031</v>
      </c>
      <c r="B535" s="209">
        <v>6</v>
      </c>
      <c r="C535" s="201">
        <v>45561</v>
      </c>
      <c r="D535" s="209"/>
      <c r="E535" s="209"/>
    </row>
    <row r="536" spans="1:5">
      <c r="A536" t="s">
        <v>1032</v>
      </c>
      <c r="B536" s="209">
        <v>6</v>
      </c>
      <c r="C536" s="201">
        <v>45561</v>
      </c>
      <c r="D536" s="209"/>
      <c r="E536" s="209"/>
    </row>
    <row r="537" spans="1:5">
      <c r="A537" t="s">
        <v>1033</v>
      </c>
      <c r="B537" s="209">
        <v>6</v>
      </c>
      <c r="C537" s="201">
        <v>45553</v>
      </c>
      <c r="D537" s="201">
        <v>45565</v>
      </c>
      <c r="E537" s="209"/>
    </row>
    <row r="538" spans="1:5">
      <c r="A538" t="s">
        <v>1034</v>
      </c>
      <c r="B538" s="209">
        <v>6</v>
      </c>
      <c r="C538" s="201">
        <v>45553</v>
      </c>
      <c r="D538" s="201">
        <v>45565</v>
      </c>
      <c r="E538" s="209"/>
    </row>
    <row r="539" spans="1:5">
      <c r="A539" t="s">
        <v>1035</v>
      </c>
      <c r="B539" s="209">
        <v>4</v>
      </c>
      <c r="C539" s="201">
        <v>45561</v>
      </c>
      <c r="D539" s="209"/>
      <c r="E539" s="209"/>
    </row>
    <row r="540" spans="1:5">
      <c r="A540" t="s">
        <v>1036</v>
      </c>
      <c r="B540" s="209">
        <v>4</v>
      </c>
      <c r="C540" s="201">
        <v>45561</v>
      </c>
      <c r="D540" s="209"/>
      <c r="E540" s="209"/>
    </row>
    <row r="541" spans="1:5">
      <c r="A541" t="s">
        <v>1037</v>
      </c>
      <c r="B541" s="209">
        <v>1</v>
      </c>
      <c r="C541" s="201">
        <v>45512</v>
      </c>
      <c r="D541" s="209"/>
      <c r="E541" s="209"/>
    </row>
    <row r="542" spans="1:5">
      <c r="A542" t="s">
        <v>1038</v>
      </c>
      <c r="B542" s="209">
        <v>6</v>
      </c>
      <c r="C542" s="201">
        <v>45561</v>
      </c>
      <c r="D542" s="209"/>
      <c r="E542" s="209"/>
    </row>
    <row r="543" spans="1:5">
      <c r="A543" t="s">
        <v>1039</v>
      </c>
      <c r="B543" s="209">
        <v>6</v>
      </c>
      <c r="C543" s="201">
        <v>45553</v>
      </c>
      <c r="D543" s="201">
        <v>45565</v>
      </c>
      <c r="E543" s="209"/>
    </row>
    <row r="544" spans="1:5">
      <c r="A544" t="s">
        <v>1040</v>
      </c>
      <c r="B544" s="209">
        <v>6</v>
      </c>
      <c r="C544" s="201">
        <v>45553</v>
      </c>
      <c r="D544" s="201">
        <v>45565</v>
      </c>
      <c r="E544" s="209"/>
    </row>
    <row r="545" spans="1:5">
      <c r="A545" t="s">
        <v>1041</v>
      </c>
      <c r="B545" s="209">
        <v>4</v>
      </c>
      <c r="C545" s="201">
        <v>45561</v>
      </c>
      <c r="D545" s="209"/>
      <c r="E545" s="209"/>
    </row>
    <row r="546" spans="1:5">
      <c r="A546" t="s">
        <v>1042</v>
      </c>
      <c r="B546" s="209">
        <v>4</v>
      </c>
      <c r="C546" s="201">
        <v>45561</v>
      </c>
      <c r="D546" s="209"/>
      <c r="E546" s="209"/>
    </row>
    <row r="547" spans="1:5">
      <c r="A547" t="s">
        <v>1043</v>
      </c>
      <c r="B547" s="209">
        <v>2</v>
      </c>
      <c r="C547" s="209"/>
      <c r="D547" s="209"/>
      <c r="E547" s="209"/>
    </row>
    <row r="548" spans="1:5">
      <c r="A548" t="s">
        <v>1044</v>
      </c>
      <c r="B548" s="209">
        <v>2</v>
      </c>
      <c r="C548" s="209"/>
      <c r="D548" s="209"/>
      <c r="E548" s="209"/>
    </row>
    <row r="549" spans="1:5">
      <c r="A549" t="s">
        <v>1045</v>
      </c>
      <c r="B549" s="209">
        <v>2</v>
      </c>
      <c r="C549" s="209"/>
      <c r="D549" s="209"/>
      <c r="E549" s="209"/>
    </row>
    <row r="550" spans="1:5">
      <c r="A550" t="s">
        <v>1046</v>
      </c>
      <c r="B550" s="209">
        <v>1</v>
      </c>
      <c r="C550" s="209"/>
      <c r="D550" s="209"/>
      <c r="E550" s="209"/>
    </row>
    <row r="551" spans="1:5">
      <c r="A551" t="s">
        <v>1047</v>
      </c>
      <c r="B551" s="209">
        <v>2</v>
      </c>
      <c r="C551" s="209"/>
      <c r="D551" s="209"/>
      <c r="E551" s="209"/>
    </row>
    <row r="552" spans="1:5">
      <c r="A552" t="s">
        <v>1048</v>
      </c>
      <c r="B552" s="209">
        <v>2</v>
      </c>
      <c r="C552" s="209"/>
      <c r="D552" s="209"/>
      <c r="E552" s="209"/>
    </row>
    <row r="553" spans="1:5">
      <c r="A553" t="s">
        <v>1049</v>
      </c>
      <c r="B553" s="209">
        <v>2</v>
      </c>
      <c r="C553" s="209"/>
      <c r="D553" s="209"/>
      <c r="E553" s="209"/>
    </row>
    <row r="554" spans="1:5">
      <c r="A554" t="s">
        <v>1050</v>
      </c>
      <c r="B554" s="209">
        <v>1</v>
      </c>
      <c r="C554" s="209"/>
      <c r="D554" s="209"/>
      <c r="E554" s="209"/>
    </row>
    <row r="555" spans="1:5">
      <c r="A555" t="s">
        <v>1051</v>
      </c>
      <c r="B555" s="209">
        <v>1</v>
      </c>
      <c r="C555" s="209"/>
      <c r="D555" s="209"/>
      <c r="E555" s="209"/>
    </row>
    <row r="556" spans="1:5">
      <c r="A556" t="s">
        <v>1052</v>
      </c>
      <c r="B556" s="209">
        <v>1</v>
      </c>
      <c r="C556" s="209"/>
      <c r="D556" s="209"/>
      <c r="E556" s="209"/>
    </row>
    <row r="557" spans="1:5">
      <c r="A557" t="s">
        <v>1053</v>
      </c>
      <c r="B557" s="209">
        <v>1</v>
      </c>
      <c r="C557" s="209"/>
      <c r="D557" s="209"/>
      <c r="E557" s="209"/>
    </row>
    <row r="558" spans="1:5">
      <c r="A558" t="s">
        <v>1054</v>
      </c>
      <c r="B558" s="209">
        <v>1</v>
      </c>
      <c r="C558" s="209"/>
      <c r="D558" s="209"/>
      <c r="E558" s="209"/>
    </row>
    <row r="559" spans="1:5">
      <c r="A559" t="s">
        <v>1055</v>
      </c>
      <c r="B559" s="209">
        <v>6</v>
      </c>
      <c r="C559" s="201">
        <v>45559</v>
      </c>
      <c r="D559" s="209"/>
      <c r="E559" s="209"/>
    </row>
    <row r="560" spans="1:5">
      <c r="A560" t="s">
        <v>1056</v>
      </c>
      <c r="B560" s="209">
        <v>6</v>
      </c>
      <c r="C560" s="201">
        <v>45560</v>
      </c>
      <c r="D560" s="209"/>
      <c r="E560" s="209"/>
    </row>
    <row r="561" spans="1:5">
      <c r="A561" t="s">
        <v>1057</v>
      </c>
      <c r="B561" s="209">
        <v>2</v>
      </c>
      <c r="C561" s="201">
        <v>45559</v>
      </c>
      <c r="D561" s="209"/>
      <c r="E561" s="209"/>
    </row>
    <row r="562" spans="1:5">
      <c r="A562" t="s">
        <v>1058</v>
      </c>
      <c r="B562" s="209">
        <v>2</v>
      </c>
      <c r="C562" s="201">
        <v>45559</v>
      </c>
      <c r="D562" s="209"/>
      <c r="E562" s="209"/>
    </row>
    <row r="563" spans="1:5">
      <c r="A563" t="s">
        <v>1059</v>
      </c>
      <c r="B563" s="209">
        <v>2</v>
      </c>
      <c r="C563" s="201">
        <v>45559</v>
      </c>
      <c r="D563" s="209"/>
      <c r="E563" s="209"/>
    </row>
    <row r="564" spans="1:5">
      <c r="A564" t="s">
        <v>1060</v>
      </c>
      <c r="B564" s="209">
        <v>1</v>
      </c>
      <c r="C564" s="209"/>
      <c r="D564" s="209"/>
      <c r="E564" s="209"/>
    </row>
    <row r="565" spans="1:5">
      <c r="A565" t="s">
        <v>1061</v>
      </c>
      <c r="B565" s="209">
        <v>2</v>
      </c>
      <c r="C565" s="201">
        <v>45559</v>
      </c>
      <c r="D565" s="209"/>
      <c r="E565" s="209"/>
    </row>
    <row r="566" spans="1:5">
      <c r="A566" t="s">
        <v>1062</v>
      </c>
      <c r="B566" s="209">
        <v>2</v>
      </c>
      <c r="C566" s="201">
        <v>45559</v>
      </c>
      <c r="D566" s="209"/>
      <c r="E566" s="209"/>
    </row>
    <row r="567" spans="1:5">
      <c r="A567" t="s">
        <v>1063</v>
      </c>
      <c r="B567" s="209">
        <v>2</v>
      </c>
      <c r="C567" s="201">
        <v>45559</v>
      </c>
      <c r="D567" s="209"/>
      <c r="E567" s="209"/>
    </row>
    <row r="568" spans="1:5">
      <c r="A568" t="s">
        <v>1064</v>
      </c>
      <c r="B568" s="209">
        <v>1</v>
      </c>
      <c r="C568" s="209"/>
      <c r="D568" s="209"/>
      <c r="E568" s="209"/>
    </row>
    <row r="569" spans="1:5">
      <c r="A569" t="s">
        <v>1065</v>
      </c>
      <c r="B569" s="209">
        <v>1</v>
      </c>
      <c r="C569" s="209"/>
      <c r="D569" s="209"/>
      <c r="E569" s="209"/>
    </row>
    <row r="570" spans="1:5">
      <c r="A570" t="s">
        <v>1066</v>
      </c>
      <c r="B570" s="209">
        <v>1</v>
      </c>
      <c r="C570" s="209"/>
      <c r="D570" s="209"/>
      <c r="E570" s="209"/>
    </row>
    <row r="571" spans="1:5">
      <c r="A571" t="s">
        <v>1067</v>
      </c>
      <c r="B571" s="209">
        <v>6</v>
      </c>
      <c r="C571" s="201">
        <v>45563</v>
      </c>
      <c r="D571" s="209"/>
      <c r="E571" s="209"/>
    </row>
    <row r="572" spans="1:5">
      <c r="A572" t="s">
        <v>1068</v>
      </c>
      <c r="B572" s="209">
        <v>6</v>
      </c>
      <c r="C572" s="201">
        <v>45563</v>
      </c>
      <c r="D572" s="209"/>
      <c r="E572" s="209"/>
    </row>
    <row r="573" spans="1:5">
      <c r="A573" t="s">
        <v>1069</v>
      </c>
      <c r="B573" s="209">
        <v>6</v>
      </c>
      <c r="C573" s="201">
        <v>45563</v>
      </c>
      <c r="D573" s="209"/>
      <c r="E573" s="209"/>
    </row>
    <row r="574" spans="1:5">
      <c r="A574" t="s">
        <v>1070</v>
      </c>
      <c r="B574" s="209">
        <v>6</v>
      </c>
      <c r="C574" s="201">
        <v>45563</v>
      </c>
      <c r="D574" s="209"/>
      <c r="E574" s="209"/>
    </row>
    <row r="575" spans="1:5">
      <c r="A575" t="s">
        <v>1071</v>
      </c>
      <c r="B575" s="209">
        <v>6</v>
      </c>
      <c r="C575" s="201">
        <v>45563</v>
      </c>
      <c r="D575" s="209"/>
      <c r="E575" s="209"/>
    </row>
    <row r="576" spans="1:5">
      <c r="A576" t="s">
        <v>1072</v>
      </c>
      <c r="B576" s="209">
        <v>6</v>
      </c>
      <c r="C576" s="201">
        <v>45563</v>
      </c>
      <c r="D576" s="209"/>
      <c r="E576" s="209"/>
    </row>
    <row r="577" spans="1:5">
      <c r="A577" t="s">
        <v>1073</v>
      </c>
      <c r="B577" s="209">
        <v>4</v>
      </c>
      <c r="C577" s="201">
        <v>45562</v>
      </c>
      <c r="D577" s="201">
        <v>45565</v>
      </c>
      <c r="E577" s="209"/>
    </row>
    <row r="578" spans="1:5">
      <c r="A578" t="s">
        <v>1074</v>
      </c>
      <c r="B578" s="209">
        <v>6</v>
      </c>
      <c r="C578" s="201">
        <v>45563</v>
      </c>
      <c r="D578" s="209"/>
      <c r="E578" s="209"/>
    </row>
    <row r="579" spans="1:5">
      <c r="A579" t="s">
        <v>1075</v>
      </c>
      <c r="B579" s="209">
        <v>6</v>
      </c>
      <c r="C579" s="201">
        <v>45563</v>
      </c>
      <c r="D579" s="209"/>
      <c r="E579" s="209"/>
    </row>
    <row r="580" spans="1:5">
      <c r="A580" t="s">
        <v>1076</v>
      </c>
      <c r="B580" s="209">
        <v>6</v>
      </c>
      <c r="C580" s="201">
        <v>45563</v>
      </c>
      <c r="D580" s="209"/>
      <c r="E580" s="209"/>
    </row>
    <row r="581" spans="1:5">
      <c r="A581" t="s">
        <v>1077</v>
      </c>
      <c r="B581" s="209">
        <v>6</v>
      </c>
      <c r="C581" s="201">
        <v>45563</v>
      </c>
      <c r="D581" s="209"/>
      <c r="E581" s="209"/>
    </row>
    <row r="582" spans="1:5">
      <c r="A582" t="s">
        <v>1078</v>
      </c>
      <c r="B582" s="209">
        <v>0</v>
      </c>
      <c r="C582" s="201">
        <v>45562</v>
      </c>
      <c r="D582" s="209"/>
      <c r="E582" s="209"/>
    </row>
    <row r="583" spans="1:5">
      <c r="A583" t="s">
        <v>1079</v>
      </c>
      <c r="B583" s="209">
        <v>1</v>
      </c>
      <c r="C583" s="209"/>
      <c r="D583" s="209"/>
      <c r="E583" s="209"/>
    </row>
    <row r="584" spans="1:5">
      <c r="A584" t="s">
        <v>1080</v>
      </c>
      <c r="B584" s="209">
        <v>6</v>
      </c>
      <c r="C584" s="201">
        <v>45561</v>
      </c>
      <c r="D584" s="209"/>
      <c r="E584" s="209"/>
    </row>
    <row r="585" spans="1:5">
      <c r="A585" t="s">
        <v>1081</v>
      </c>
      <c r="B585" s="209">
        <v>6</v>
      </c>
      <c r="C585" s="201">
        <v>45561</v>
      </c>
      <c r="D585" s="209"/>
      <c r="E585" s="209"/>
    </row>
    <row r="586" spans="1:5">
      <c r="A586" t="s">
        <v>1082</v>
      </c>
      <c r="B586" s="209">
        <v>1</v>
      </c>
      <c r="C586" s="209"/>
      <c r="D586" s="209"/>
      <c r="E586" s="209"/>
    </row>
    <row r="587" spans="1:5">
      <c r="A587" t="s">
        <v>1083</v>
      </c>
      <c r="B587" s="209">
        <v>1</v>
      </c>
      <c r="C587" s="209"/>
      <c r="D587" s="209"/>
      <c r="E587" s="209"/>
    </row>
    <row r="588" spans="1:5">
      <c r="A588" t="s">
        <v>1084</v>
      </c>
      <c r="B588" s="209">
        <v>6</v>
      </c>
      <c r="C588" s="201">
        <v>45563</v>
      </c>
      <c r="D588" s="209"/>
      <c r="E588" s="209"/>
    </row>
    <row r="589" spans="1:5">
      <c r="A589" t="s">
        <v>1085</v>
      </c>
      <c r="B589" s="209">
        <v>1</v>
      </c>
      <c r="C589" s="209"/>
      <c r="D589" s="209"/>
      <c r="E589" s="209"/>
    </row>
    <row r="590" spans="1:5">
      <c r="A590" t="s">
        <v>1086</v>
      </c>
      <c r="B590" s="209">
        <v>1</v>
      </c>
      <c r="C590" s="209"/>
      <c r="D590" s="209"/>
      <c r="E590" s="209"/>
    </row>
    <row r="591" spans="1:5">
      <c r="A591" t="s">
        <v>1087</v>
      </c>
      <c r="B591" s="209">
        <v>1</v>
      </c>
      <c r="C591" s="209"/>
      <c r="D591" s="209"/>
      <c r="E591" s="209"/>
    </row>
    <row r="592" spans="1:5">
      <c r="A592" t="s">
        <v>1088</v>
      </c>
      <c r="B592" s="209">
        <v>1</v>
      </c>
      <c r="C592" s="209"/>
      <c r="D592" s="209"/>
      <c r="E592" s="209"/>
    </row>
    <row r="593" spans="1:5">
      <c r="A593" t="s">
        <v>1089</v>
      </c>
      <c r="B593" s="209">
        <v>1</v>
      </c>
      <c r="C593" s="209"/>
      <c r="D593" s="209"/>
      <c r="E593" s="209"/>
    </row>
    <row r="594" spans="1:5">
      <c r="A594" t="s">
        <v>1090</v>
      </c>
      <c r="B594" s="209">
        <v>1</v>
      </c>
      <c r="C594" s="209"/>
      <c r="D594" s="209"/>
      <c r="E594" s="209"/>
    </row>
    <row r="595" spans="1:5">
      <c r="A595" t="s">
        <v>1091</v>
      </c>
      <c r="B595" s="209">
        <v>6</v>
      </c>
      <c r="C595" s="201">
        <v>45563</v>
      </c>
      <c r="D595" s="209"/>
      <c r="E595" s="209"/>
    </row>
    <row r="596" spans="1:5">
      <c r="A596" t="s">
        <v>1092</v>
      </c>
      <c r="B596" s="209">
        <v>6</v>
      </c>
      <c r="C596" s="201">
        <v>45563</v>
      </c>
      <c r="D596" s="209"/>
      <c r="E596" s="209"/>
    </row>
    <row r="597" spans="1:5">
      <c r="A597" t="s">
        <v>1093</v>
      </c>
      <c r="B597" s="209">
        <v>6</v>
      </c>
      <c r="C597" s="201">
        <v>45563</v>
      </c>
      <c r="D597" s="209"/>
      <c r="E597" s="209"/>
    </row>
    <row r="598" spans="1:5">
      <c r="A598" t="s">
        <v>1094</v>
      </c>
      <c r="B598" s="209">
        <v>5</v>
      </c>
      <c r="C598" s="201">
        <v>45561</v>
      </c>
      <c r="D598" s="209"/>
      <c r="E598" s="209"/>
    </row>
    <row r="599" spans="1:5">
      <c r="A599" t="s">
        <v>1095</v>
      </c>
      <c r="B599" s="209">
        <v>5</v>
      </c>
      <c r="C599" s="201">
        <v>45561</v>
      </c>
      <c r="D599" s="209"/>
      <c r="E599" s="209"/>
    </row>
    <row r="600" spans="1:5">
      <c r="A600" t="s">
        <v>1096</v>
      </c>
      <c r="B600" s="209">
        <v>1</v>
      </c>
      <c r="C600" s="209"/>
      <c r="D600" s="209"/>
      <c r="E600" s="209"/>
    </row>
    <row r="601" spans="1:5">
      <c r="A601" t="s">
        <v>1097</v>
      </c>
      <c r="B601" s="209">
        <v>1</v>
      </c>
      <c r="C601" s="209"/>
      <c r="D601" s="209"/>
      <c r="E601" s="209"/>
    </row>
    <row r="602" spans="1:5">
      <c r="A602" t="s">
        <v>1098</v>
      </c>
      <c r="B602" s="209">
        <v>1</v>
      </c>
      <c r="C602" s="209"/>
      <c r="D602" s="209"/>
      <c r="E602" s="209"/>
    </row>
    <row r="603" spans="1:5">
      <c r="A603" t="s">
        <v>1099</v>
      </c>
      <c r="B603" s="209">
        <v>6</v>
      </c>
      <c r="C603" s="201">
        <v>45563</v>
      </c>
      <c r="D603" s="209"/>
      <c r="E603" s="209"/>
    </row>
    <row r="604" spans="1:5">
      <c r="A604" t="s">
        <v>1100</v>
      </c>
      <c r="B604" s="209">
        <v>6</v>
      </c>
      <c r="C604" s="201">
        <v>45563</v>
      </c>
      <c r="D604" s="209"/>
      <c r="E604" s="209"/>
    </row>
    <row r="605" spans="1:5">
      <c r="A605" t="s">
        <v>1101</v>
      </c>
      <c r="B605" s="209">
        <v>6</v>
      </c>
      <c r="C605" s="201">
        <v>45563</v>
      </c>
      <c r="D605" s="209"/>
      <c r="E605" s="209"/>
    </row>
    <row r="606" spans="1:5">
      <c r="A606" t="s">
        <v>1861</v>
      </c>
      <c r="B606" s="209">
        <v>0</v>
      </c>
      <c r="C606" s="201">
        <v>45561</v>
      </c>
      <c r="D606" s="209"/>
      <c r="E606" s="209"/>
    </row>
    <row r="607" spans="1:5">
      <c r="A607" t="s">
        <v>1102</v>
      </c>
      <c r="B607" s="209">
        <v>4</v>
      </c>
      <c r="C607" s="209"/>
      <c r="D607" s="209"/>
      <c r="E607" s="209"/>
    </row>
    <row r="608" spans="1:5">
      <c r="A608" t="s">
        <v>1103</v>
      </c>
      <c r="B608" s="209">
        <v>6</v>
      </c>
      <c r="C608" s="201">
        <v>45563</v>
      </c>
      <c r="D608" s="209"/>
      <c r="E608" s="209"/>
    </row>
    <row r="609" spans="1:5">
      <c r="A609" t="s">
        <v>1104</v>
      </c>
      <c r="B609" s="209">
        <v>6</v>
      </c>
      <c r="C609" s="201">
        <v>45563</v>
      </c>
      <c r="D609" s="209"/>
      <c r="E609" s="209"/>
    </row>
    <row r="610" spans="1:5">
      <c r="A610" t="s">
        <v>1105</v>
      </c>
      <c r="B610" s="209">
        <v>6</v>
      </c>
      <c r="C610" s="201">
        <v>45563</v>
      </c>
      <c r="D610" s="209"/>
      <c r="E610" s="209"/>
    </row>
    <row r="611" spans="1:5">
      <c r="A611" t="s">
        <v>1106</v>
      </c>
      <c r="B611" s="209">
        <v>6</v>
      </c>
      <c r="C611" s="201">
        <v>45563</v>
      </c>
      <c r="D611" s="209"/>
      <c r="E611" s="209"/>
    </row>
    <row r="612" spans="1:5">
      <c r="A612" t="s">
        <v>1862</v>
      </c>
      <c r="B612" s="209">
        <v>0</v>
      </c>
      <c r="C612" s="201">
        <v>45561</v>
      </c>
      <c r="D612" s="209"/>
      <c r="E612" s="209"/>
    </row>
    <row r="613" spans="1:5">
      <c r="A613" t="s">
        <v>1107</v>
      </c>
      <c r="B613" s="209">
        <v>1</v>
      </c>
      <c r="C613" s="209"/>
      <c r="D613" s="209"/>
      <c r="E613" s="209"/>
    </row>
    <row r="614" spans="1:5">
      <c r="A614" t="s">
        <v>1108</v>
      </c>
      <c r="B614" s="209">
        <v>6</v>
      </c>
      <c r="C614" s="201">
        <v>45563</v>
      </c>
      <c r="D614" s="209"/>
      <c r="E614" s="209"/>
    </row>
    <row r="615" spans="1:5">
      <c r="A615" t="s">
        <v>1109</v>
      </c>
      <c r="B615" s="209">
        <v>6</v>
      </c>
      <c r="C615" s="201">
        <v>45563</v>
      </c>
      <c r="D615" s="209"/>
      <c r="E615" s="209"/>
    </row>
    <row r="616" spans="1:5">
      <c r="A616" t="s">
        <v>1110</v>
      </c>
      <c r="B616" s="209">
        <v>6</v>
      </c>
      <c r="C616" s="201">
        <v>45563</v>
      </c>
      <c r="D616" s="209"/>
      <c r="E616" s="209"/>
    </row>
    <row r="617" spans="1:5">
      <c r="A617" t="s">
        <v>1111</v>
      </c>
      <c r="B617" s="209">
        <v>7</v>
      </c>
      <c r="C617" s="201">
        <v>45563</v>
      </c>
      <c r="D617" s="201">
        <v>45565</v>
      </c>
      <c r="E617" s="201">
        <v>45562</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zoomScale="85" zoomScaleNormal="85" workbookViewId="0">
      <selection activeCell="D11" sqref="D11"/>
    </sheetView>
  </sheetViews>
  <sheetFormatPr defaultRowHeight="13.8"/>
  <cols>
    <col min="1" max="1" width="3.69921875" customWidth="1"/>
    <col min="2" max="2" width="15.8984375" customWidth="1"/>
    <col min="3" max="3" width="17" customWidth="1"/>
    <col min="4" max="4" width="11.3984375" customWidth="1"/>
    <col min="5" max="5" width="38.296875" customWidth="1"/>
    <col min="6" max="6" width="11.5" customWidth="1"/>
    <col min="7" max="7" width="14.8984375" customWidth="1"/>
    <col min="8" max="8" width="37.19921875" bestFit="1" customWidth="1"/>
    <col min="9"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c r="B2" s="145" t="s">
        <v>1112</v>
      </c>
      <c r="C2" s="12"/>
      <c r="D2" s="12"/>
      <c r="E2" s="12"/>
      <c r="F2" s="12"/>
      <c r="G2" s="12"/>
      <c r="H2" s="12"/>
      <c r="I2" s="12"/>
      <c r="J2" s="12"/>
      <c r="K2" s="12"/>
      <c r="L2" s="12"/>
    </row>
    <row r="5" spans="2:12">
      <c r="B5" s="55" t="s">
        <v>13</v>
      </c>
      <c r="C5" t="s" vm="3">
        <v>28</v>
      </c>
    </row>
    <row r="6" spans="2:12">
      <c r="B6" s="55" t="s">
        <v>14</v>
      </c>
      <c r="C6" t="s" vm="4">
        <v>1113</v>
      </c>
    </row>
    <row r="7" spans="2:12">
      <c r="B7" s="55" t="s">
        <v>15</v>
      </c>
      <c r="C7" t="s" vm="5">
        <v>40</v>
      </c>
    </row>
    <row r="9" spans="2:12">
      <c r="B9" s="55" t="s">
        <v>1114</v>
      </c>
      <c r="C9" s="55" t="s">
        <v>1115</v>
      </c>
    </row>
    <row r="10" spans="2:12">
      <c r="B10" s="55" t="s">
        <v>1116</v>
      </c>
      <c r="C10" t="s">
        <v>476</v>
      </c>
      <c r="D10" t="s">
        <v>477</v>
      </c>
      <c r="E10" t="s">
        <v>482</v>
      </c>
      <c r="F10" t="s">
        <v>1111</v>
      </c>
    </row>
    <row r="11" spans="2:12">
      <c r="B11" s="56" t="s">
        <v>86</v>
      </c>
      <c r="C11" s="209">
        <v>1</v>
      </c>
      <c r="D11" s="209">
        <v>14</v>
      </c>
      <c r="E11" s="209"/>
      <c r="F11" s="209">
        <v>15</v>
      </c>
    </row>
    <row r="12" spans="2:12">
      <c r="B12" s="56" t="s">
        <v>56</v>
      </c>
      <c r="C12" s="209">
        <v>3</v>
      </c>
      <c r="D12" s="209">
        <v>17</v>
      </c>
      <c r="E12" s="209"/>
      <c r="F12" s="209">
        <v>20</v>
      </c>
    </row>
    <row r="13" spans="2:12">
      <c r="B13" s="56" t="s">
        <v>55</v>
      </c>
      <c r="C13" s="209">
        <v>4</v>
      </c>
      <c r="D13" s="209">
        <v>13</v>
      </c>
      <c r="E13" s="209"/>
      <c r="F13" s="209">
        <v>17</v>
      </c>
    </row>
    <row r="14" spans="2:12">
      <c r="B14" s="56" t="s">
        <v>120</v>
      </c>
      <c r="C14" s="209"/>
      <c r="D14" s="209">
        <v>50</v>
      </c>
      <c r="E14" s="209">
        <v>22</v>
      </c>
      <c r="F14" s="209">
        <v>72</v>
      </c>
    </row>
    <row r="15" spans="2:12">
      <c r="B15" s="56" t="s">
        <v>92</v>
      </c>
      <c r="C15" s="209">
        <v>2</v>
      </c>
      <c r="D15" s="209">
        <v>30</v>
      </c>
      <c r="E15" s="209"/>
      <c r="F15" s="209">
        <v>32</v>
      </c>
    </row>
    <row r="16" spans="2:12">
      <c r="B16" s="56" t="s">
        <v>37</v>
      </c>
      <c r="C16" s="209"/>
      <c r="D16" s="209"/>
      <c r="E16" s="209">
        <v>12</v>
      </c>
      <c r="F16" s="209">
        <v>12</v>
      </c>
    </row>
    <row r="17" spans="2:6">
      <c r="B17" s="56" t="s">
        <v>1111</v>
      </c>
      <c r="C17" s="209">
        <v>10</v>
      </c>
      <c r="D17" s="209">
        <v>124</v>
      </c>
      <c r="E17" s="209">
        <v>34</v>
      </c>
      <c r="F17" s="209">
        <v>168</v>
      </c>
    </row>
    <row r="23" spans="2:6">
      <c r="B23" s="55" t="s">
        <v>13</v>
      </c>
      <c r="C23" t="s" vm="3">
        <v>28</v>
      </c>
    </row>
    <row r="24" spans="2:6">
      <c r="B24" s="55" t="s">
        <v>14</v>
      </c>
      <c r="C24" t="s" vm="4">
        <v>1113</v>
      </c>
    </row>
    <row r="25" spans="2:6">
      <c r="B25" s="55" t="s">
        <v>15</v>
      </c>
      <c r="C25" t="s" vm="5">
        <v>40</v>
      </c>
    </row>
    <row r="27" spans="2:6">
      <c r="B27" s="55" t="s">
        <v>1116</v>
      </c>
      <c r="C27" t="s">
        <v>1114</v>
      </c>
    </row>
    <row r="28" spans="2:6">
      <c r="B28" s="56" t="s">
        <v>476</v>
      </c>
      <c r="C28" s="209">
        <v>10</v>
      </c>
    </row>
    <row r="29" spans="2:6">
      <c r="B29" s="56" t="s">
        <v>477</v>
      </c>
      <c r="C29" s="209">
        <v>124</v>
      </c>
    </row>
    <row r="30" spans="2:6">
      <c r="B30" s="56" t="s">
        <v>482</v>
      </c>
      <c r="C30" s="209">
        <v>34</v>
      </c>
    </row>
    <row r="31" spans="2:6">
      <c r="B31" s="56" t="s">
        <v>1111</v>
      </c>
      <c r="C31" s="209">
        <v>168</v>
      </c>
    </row>
    <row r="42" spans="2:16" ht="22.2">
      <c r="B42" s="145" t="s">
        <v>489</v>
      </c>
      <c r="C42" s="12"/>
      <c r="D42" s="12"/>
      <c r="E42" s="12"/>
      <c r="F42" s="12"/>
      <c r="G42" s="12"/>
      <c r="H42" s="12"/>
      <c r="I42" s="12"/>
      <c r="J42" s="12"/>
      <c r="K42" s="12"/>
      <c r="L42" s="12"/>
      <c r="M42" s="12"/>
      <c r="N42" s="12"/>
      <c r="O42" s="12"/>
      <c r="P42" s="12"/>
    </row>
    <row r="44" spans="2:16">
      <c r="B44" s="55" t="s">
        <v>13</v>
      </c>
      <c r="C44" t="s" vm="3">
        <v>28</v>
      </c>
    </row>
    <row r="45" spans="2:16">
      <c r="B45" s="55" t="s">
        <v>14</v>
      </c>
      <c r="C45" t="s" vm="6">
        <v>1113</v>
      </c>
    </row>
    <row r="46" spans="2:16">
      <c r="B46" s="55" t="s">
        <v>15</v>
      </c>
      <c r="C46" t="s" vm="5">
        <v>40</v>
      </c>
    </row>
    <row r="48" spans="2:16">
      <c r="B48" s="55" t="s">
        <v>1114</v>
      </c>
      <c r="C48" s="55" t="s">
        <v>1115</v>
      </c>
    </row>
    <row r="49" spans="2:9">
      <c r="B49" s="55" t="s">
        <v>1116</v>
      </c>
      <c r="C49" t="s">
        <v>476</v>
      </c>
      <c r="D49" t="s">
        <v>477</v>
      </c>
      <c r="E49" t="s">
        <v>177</v>
      </c>
      <c r="F49" t="s">
        <v>479</v>
      </c>
      <c r="G49" t="s">
        <v>480</v>
      </c>
      <c r="H49" t="s">
        <v>482</v>
      </c>
      <c r="I49" t="s">
        <v>1111</v>
      </c>
    </row>
    <row r="50" spans="2:9">
      <c r="B50" s="56" t="s">
        <v>179</v>
      </c>
      <c r="C50" s="209">
        <v>2</v>
      </c>
      <c r="D50" s="209">
        <v>12</v>
      </c>
      <c r="E50" s="209"/>
      <c r="F50" s="209">
        <v>1</v>
      </c>
      <c r="G50" s="209">
        <v>2</v>
      </c>
      <c r="H50" s="209">
        <v>13</v>
      </c>
      <c r="I50" s="209">
        <v>30</v>
      </c>
    </row>
    <row r="51" spans="2:9">
      <c r="B51" s="56" t="s">
        <v>320</v>
      </c>
      <c r="C51" s="209">
        <v>1</v>
      </c>
      <c r="D51" s="209">
        <v>1</v>
      </c>
      <c r="E51" s="209"/>
      <c r="F51" s="209">
        <v>1</v>
      </c>
      <c r="G51" s="209"/>
      <c r="H51" s="209">
        <v>11</v>
      </c>
      <c r="I51" s="209">
        <v>14</v>
      </c>
    </row>
    <row r="52" spans="2:9">
      <c r="B52" s="56" t="s">
        <v>318</v>
      </c>
      <c r="C52" s="209"/>
      <c r="D52" s="209">
        <v>8</v>
      </c>
      <c r="E52" s="209">
        <v>6</v>
      </c>
      <c r="F52" s="209"/>
      <c r="G52" s="209"/>
      <c r="H52" s="209">
        <v>1</v>
      </c>
      <c r="I52" s="209">
        <v>15</v>
      </c>
    </row>
    <row r="53" spans="2:9">
      <c r="B53" s="56" t="s">
        <v>312</v>
      </c>
      <c r="C53" s="209"/>
      <c r="D53" s="209">
        <v>2</v>
      </c>
      <c r="E53" s="209">
        <v>6</v>
      </c>
      <c r="F53" s="209">
        <v>4</v>
      </c>
      <c r="G53" s="209"/>
      <c r="H53" s="209">
        <v>20</v>
      </c>
      <c r="I53" s="209">
        <v>32</v>
      </c>
    </row>
    <row r="54" spans="2:9">
      <c r="B54" s="56" t="s">
        <v>302</v>
      </c>
      <c r="C54" s="209"/>
      <c r="D54" s="209">
        <v>6</v>
      </c>
      <c r="E54" s="209">
        <v>8</v>
      </c>
      <c r="F54" s="209">
        <v>4</v>
      </c>
      <c r="G54" s="209"/>
      <c r="H54" s="209"/>
      <c r="I54" s="209">
        <v>18</v>
      </c>
    </row>
    <row r="55" spans="2:9">
      <c r="B55" s="56" t="s">
        <v>209</v>
      </c>
      <c r="C55" s="209"/>
      <c r="D55" s="209">
        <v>5</v>
      </c>
      <c r="E55" s="209"/>
      <c r="F55" s="209">
        <v>1</v>
      </c>
      <c r="G55" s="209"/>
      <c r="H55" s="209"/>
      <c r="I55" s="209">
        <v>6</v>
      </c>
    </row>
    <row r="56" spans="2:9">
      <c r="B56" s="56" t="s">
        <v>208</v>
      </c>
      <c r="C56" s="209"/>
      <c r="D56" s="209">
        <v>41</v>
      </c>
      <c r="E56" s="209"/>
      <c r="F56" s="209"/>
      <c r="G56" s="209"/>
      <c r="H56" s="209"/>
      <c r="I56" s="209">
        <v>41</v>
      </c>
    </row>
    <row r="57" spans="2:9">
      <c r="B57" s="56" t="s">
        <v>206</v>
      </c>
      <c r="C57" s="209">
        <v>3</v>
      </c>
      <c r="D57" s="209">
        <v>6</v>
      </c>
      <c r="E57" s="209"/>
      <c r="F57" s="209"/>
      <c r="G57" s="209"/>
      <c r="H57" s="209"/>
      <c r="I57" s="209">
        <v>9</v>
      </c>
    </row>
    <row r="58" spans="2:9">
      <c r="B58" s="56" t="s">
        <v>205</v>
      </c>
      <c r="C58" s="209"/>
      <c r="D58" s="209">
        <v>17</v>
      </c>
      <c r="E58" s="209"/>
      <c r="F58" s="209"/>
      <c r="G58" s="209"/>
      <c r="H58" s="209"/>
      <c r="I58" s="209">
        <v>17</v>
      </c>
    </row>
    <row r="59" spans="2:9">
      <c r="B59" s="56" t="s">
        <v>210</v>
      </c>
      <c r="C59" s="209"/>
      <c r="D59" s="209">
        <v>17</v>
      </c>
      <c r="E59" s="209"/>
      <c r="F59" s="209"/>
      <c r="G59" s="209"/>
      <c r="H59" s="209"/>
      <c r="I59" s="209">
        <v>17</v>
      </c>
    </row>
    <row r="60" spans="2:9">
      <c r="B60" s="56" t="s">
        <v>211</v>
      </c>
      <c r="C60" s="209">
        <v>7</v>
      </c>
      <c r="D60" s="209">
        <v>14</v>
      </c>
      <c r="E60" s="209"/>
      <c r="F60" s="209"/>
      <c r="G60" s="209"/>
      <c r="H60" s="209"/>
      <c r="I60" s="209">
        <v>21</v>
      </c>
    </row>
    <row r="61" spans="2:9">
      <c r="B61" s="56" t="s">
        <v>212</v>
      </c>
      <c r="C61" s="209">
        <v>1</v>
      </c>
      <c r="D61" s="209">
        <v>17</v>
      </c>
      <c r="E61" s="209"/>
      <c r="F61" s="209"/>
      <c r="G61" s="209"/>
      <c r="H61" s="209"/>
      <c r="I61" s="209">
        <v>18</v>
      </c>
    </row>
    <row r="62" spans="2:9">
      <c r="B62" s="56" t="s">
        <v>207</v>
      </c>
      <c r="C62" s="209"/>
      <c r="D62" s="209">
        <v>7</v>
      </c>
      <c r="E62" s="209"/>
      <c r="F62" s="209"/>
      <c r="G62" s="209"/>
      <c r="H62" s="209"/>
      <c r="I62" s="209">
        <v>7</v>
      </c>
    </row>
    <row r="63" spans="2:9">
      <c r="B63" s="56" t="s">
        <v>1111</v>
      </c>
      <c r="C63" s="209">
        <v>14</v>
      </c>
      <c r="D63" s="209">
        <v>153</v>
      </c>
      <c r="E63" s="209">
        <v>20</v>
      </c>
      <c r="F63" s="209">
        <v>11</v>
      </c>
      <c r="G63" s="209">
        <v>2</v>
      </c>
      <c r="H63" s="209">
        <v>45</v>
      </c>
      <c r="I63" s="209">
        <v>245</v>
      </c>
    </row>
    <row r="68" spans="2:3">
      <c r="B68" s="55" t="s">
        <v>13</v>
      </c>
      <c r="C68" t="s" vm="3">
        <v>28</v>
      </c>
    </row>
    <row r="69" spans="2:3">
      <c r="B69" s="55" t="s">
        <v>14</v>
      </c>
      <c r="C69" t="s" vm="6">
        <v>1113</v>
      </c>
    </row>
    <row r="70" spans="2:3">
      <c r="B70" s="55" t="s">
        <v>15</v>
      </c>
      <c r="C70" t="s" vm="5">
        <v>40</v>
      </c>
    </row>
    <row r="72" spans="2:3">
      <c r="B72" s="55" t="s">
        <v>1116</v>
      </c>
      <c r="C72" t="s">
        <v>1114</v>
      </c>
    </row>
    <row r="73" spans="2:3">
      <c r="B73" s="56" t="s">
        <v>476</v>
      </c>
      <c r="C73" s="209">
        <v>14</v>
      </c>
    </row>
    <row r="74" spans="2:3">
      <c r="B74" s="56" t="s">
        <v>477</v>
      </c>
      <c r="C74" s="209">
        <v>153</v>
      </c>
    </row>
    <row r="75" spans="2:3">
      <c r="B75" s="56" t="s">
        <v>177</v>
      </c>
      <c r="C75" s="209">
        <v>20</v>
      </c>
    </row>
    <row r="76" spans="2:3">
      <c r="B76" s="56" t="s">
        <v>479</v>
      </c>
      <c r="C76" s="209">
        <v>11</v>
      </c>
    </row>
    <row r="77" spans="2:3">
      <c r="B77" s="56" t="s">
        <v>480</v>
      </c>
      <c r="C77" s="209">
        <v>2</v>
      </c>
    </row>
    <row r="78" spans="2:3">
      <c r="B78" s="56" t="s">
        <v>482</v>
      </c>
      <c r="C78" s="209">
        <v>45</v>
      </c>
    </row>
    <row r="79" spans="2:3">
      <c r="B79" s="56" t="s">
        <v>1111</v>
      </c>
      <c r="C79" s="209">
        <v>245</v>
      </c>
    </row>
    <row r="87" spans="2:16" ht="22.2">
      <c r="B87" s="145" t="s">
        <v>490</v>
      </c>
      <c r="C87" s="12"/>
      <c r="D87" s="12"/>
      <c r="E87" s="12"/>
      <c r="F87" s="12"/>
      <c r="G87" s="12"/>
      <c r="H87" s="12"/>
      <c r="I87" s="12"/>
      <c r="J87" s="12"/>
      <c r="K87" s="12"/>
      <c r="L87" s="12"/>
      <c r="M87" s="12"/>
      <c r="N87" s="12"/>
      <c r="O87" s="12"/>
      <c r="P87" s="12"/>
    </row>
    <row r="88" spans="2:16" ht="22.2">
      <c r="B88" s="158"/>
    </row>
    <row r="90" spans="2:16">
      <c r="B90" s="55" t="s">
        <v>13</v>
      </c>
      <c r="C90" t="s" vm="3">
        <v>28</v>
      </c>
    </row>
    <row r="91" spans="2:16">
      <c r="B91" s="55" t="s">
        <v>14</v>
      </c>
      <c r="C91" t="s" vm="7">
        <v>28</v>
      </c>
    </row>
    <row r="92" spans="2:16">
      <c r="B92" s="55" t="s">
        <v>15</v>
      </c>
      <c r="C92" t="s" vm="5">
        <v>40</v>
      </c>
    </row>
    <row r="94" spans="2:16">
      <c r="B94" s="55" t="s">
        <v>1114</v>
      </c>
      <c r="C94" s="55" t="s">
        <v>1115</v>
      </c>
    </row>
    <row r="95" spans="2:16">
      <c r="B95" s="55" t="s">
        <v>1116</v>
      </c>
      <c r="C95" t="s">
        <v>477</v>
      </c>
      <c r="D95" t="s">
        <v>479</v>
      </c>
      <c r="E95" t="s">
        <v>30</v>
      </c>
      <c r="F95" t="s">
        <v>1111</v>
      </c>
    </row>
    <row r="96" spans="2:16">
      <c r="B96" s="56" t="s">
        <v>367</v>
      </c>
      <c r="C96" s="209">
        <v>20</v>
      </c>
      <c r="D96" s="209"/>
      <c r="E96" s="209">
        <v>14</v>
      </c>
      <c r="F96" s="209">
        <v>34</v>
      </c>
    </row>
    <row r="97" spans="2:6">
      <c r="B97" s="56" t="s">
        <v>323</v>
      </c>
      <c r="C97" s="209">
        <v>11</v>
      </c>
      <c r="D97" s="209"/>
      <c r="E97" s="209">
        <v>32</v>
      </c>
      <c r="F97" s="209">
        <v>43</v>
      </c>
    </row>
    <row r="98" spans="2:6">
      <c r="B98" s="56" t="s">
        <v>356</v>
      </c>
      <c r="C98" s="209">
        <v>1</v>
      </c>
      <c r="D98" s="209">
        <v>9</v>
      </c>
      <c r="E98" s="209">
        <v>10</v>
      </c>
      <c r="F98" s="209">
        <v>20</v>
      </c>
    </row>
    <row r="99" spans="2:6">
      <c r="B99" s="56" t="s">
        <v>427</v>
      </c>
      <c r="C99" s="209">
        <v>5</v>
      </c>
      <c r="D99" s="209"/>
      <c r="E99" s="209"/>
      <c r="F99" s="209">
        <v>5</v>
      </c>
    </row>
    <row r="100" spans="2:6">
      <c r="B100" s="56" t="s">
        <v>429</v>
      </c>
      <c r="C100" s="209">
        <v>5</v>
      </c>
      <c r="D100" s="209"/>
      <c r="E100" s="209"/>
      <c r="F100" s="209">
        <v>5</v>
      </c>
    </row>
    <row r="101" spans="2:6">
      <c r="B101" s="56" t="s">
        <v>377</v>
      </c>
      <c r="C101" s="209"/>
      <c r="D101" s="209"/>
      <c r="E101" s="209">
        <v>10</v>
      </c>
      <c r="F101" s="209">
        <v>10</v>
      </c>
    </row>
    <row r="102" spans="2:6">
      <c r="B102" s="56" t="s">
        <v>380</v>
      </c>
      <c r="C102" s="209"/>
      <c r="D102" s="209"/>
      <c r="E102" s="209">
        <v>9</v>
      </c>
      <c r="F102" s="209">
        <v>9</v>
      </c>
    </row>
    <row r="103" spans="2:6">
      <c r="B103" s="56" t="s">
        <v>1111</v>
      </c>
      <c r="C103" s="209">
        <v>42</v>
      </c>
      <c r="D103" s="209">
        <v>9</v>
      </c>
      <c r="E103" s="209">
        <v>75</v>
      </c>
      <c r="F103" s="209">
        <v>126</v>
      </c>
    </row>
    <row r="108" spans="2:6">
      <c r="B108" s="56"/>
    </row>
    <row r="109" spans="2:6">
      <c r="B109" s="56"/>
    </row>
    <row r="111" spans="2:6">
      <c r="B111" s="55" t="s">
        <v>13</v>
      </c>
      <c r="C111" t="s" vm="3">
        <v>28</v>
      </c>
    </row>
    <row r="112" spans="2:6">
      <c r="B112" s="55" t="s">
        <v>14</v>
      </c>
      <c r="C112" t="s" vm="7">
        <v>28</v>
      </c>
    </row>
    <row r="113" spans="2:3">
      <c r="B113" s="55" t="s">
        <v>15</v>
      </c>
      <c r="C113" t="s" vm="5">
        <v>40</v>
      </c>
    </row>
    <row r="115" spans="2:3">
      <c r="B115" s="55" t="s">
        <v>1116</v>
      </c>
      <c r="C115" t="s">
        <v>1114</v>
      </c>
    </row>
    <row r="116" spans="2:3">
      <c r="B116" s="56" t="s">
        <v>30</v>
      </c>
      <c r="C116" s="209">
        <v>75</v>
      </c>
    </row>
    <row r="117" spans="2:3">
      <c r="B117" s="56" t="s">
        <v>477</v>
      </c>
      <c r="C117" s="209">
        <v>42</v>
      </c>
    </row>
    <row r="118" spans="2:3">
      <c r="B118" s="56" t="s">
        <v>479</v>
      </c>
      <c r="C118" s="209">
        <v>9</v>
      </c>
    </row>
    <row r="119" spans="2:3">
      <c r="B119" s="56" t="s">
        <v>1111</v>
      </c>
      <c r="C119" s="209">
        <v>126</v>
      </c>
    </row>
    <row r="121" spans="2:3">
      <c r="B121" s="56"/>
    </row>
    <row r="122" spans="2:3">
      <c r="B122" s="56"/>
    </row>
    <row r="123" spans="2:3">
      <c r="B123" s="56"/>
    </row>
    <row r="124" spans="2:3">
      <c r="B124" s="56"/>
    </row>
    <row r="125" spans="2:3">
      <c r="B125" s="56"/>
    </row>
    <row r="129" spans="2:16" ht="22.2">
      <c r="B129" s="145" t="s">
        <v>491</v>
      </c>
      <c r="C129" s="12"/>
      <c r="D129" s="12"/>
      <c r="E129" s="12"/>
      <c r="F129" s="12"/>
      <c r="G129" s="12"/>
      <c r="H129" s="12"/>
      <c r="I129" s="12"/>
      <c r="J129" s="12"/>
      <c r="K129" s="12"/>
      <c r="L129" s="12"/>
      <c r="M129" s="12"/>
      <c r="N129" s="12"/>
      <c r="O129" s="12"/>
      <c r="P129" s="12"/>
    </row>
    <row r="132" spans="2:16">
      <c r="B132" s="55" t="s">
        <v>13</v>
      </c>
      <c r="C132" t="s" vm="2">
        <v>32</v>
      </c>
    </row>
    <row r="133" spans="2:16">
      <c r="B133" s="55" t="s">
        <v>15</v>
      </c>
      <c r="C133" t="s" vm="1">
        <v>40</v>
      </c>
    </row>
    <row r="135" spans="2:16">
      <c r="B135" s="55" t="s">
        <v>1114</v>
      </c>
      <c r="C135" s="55" t="s">
        <v>1115</v>
      </c>
    </row>
    <row r="136" spans="2:16">
      <c r="B136" s="55" t="s">
        <v>1116</v>
      </c>
      <c r="C136" t="s">
        <v>477</v>
      </c>
      <c r="D136" t="s">
        <v>177</v>
      </c>
      <c r="E136" t="s">
        <v>478</v>
      </c>
      <c r="F136" t="s">
        <v>1111</v>
      </c>
    </row>
    <row r="137" spans="2:16">
      <c r="B137" s="56" t="s">
        <v>439</v>
      </c>
      <c r="C137" s="209">
        <v>23</v>
      </c>
      <c r="D137" s="209">
        <v>26</v>
      </c>
      <c r="E137" s="209">
        <v>1</v>
      </c>
      <c r="F137" s="209">
        <v>50</v>
      </c>
    </row>
    <row r="138" spans="2:16">
      <c r="B138" s="56" t="s">
        <v>1111</v>
      </c>
      <c r="C138" s="209">
        <v>23</v>
      </c>
      <c r="D138" s="209">
        <v>26</v>
      </c>
      <c r="E138" s="209">
        <v>1</v>
      </c>
      <c r="F138" s="209">
        <v>50</v>
      </c>
    </row>
    <row r="141" spans="2:16">
      <c r="B141" s="55" t="s">
        <v>13</v>
      </c>
      <c r="C141" t="s" vm="2">
        <v>32</v>
      </c>
    </row>
    <row r="142" spans="2:16">
      <c r="B142" s="55" t="s">
        <v>15</v>
      </c>
      <c r="C142" t="s" vm="1">
        <v>40</v>
      </c>
    </row>
    <row r="144" spans="2:16">
      <c r="B144" s="55" t="s">
        <v>1116</v>
      </c>
      <c r="C144" t="s">
        <v>1114</v>
      </c>
    </row>
    <row r="145" spans="2:3">
      <c r="B145" s="56" t="s">
        <v>477</v>
      </c>
      <c r="C145" s="209">
        <v>23</v>
      </c>
    </row>
    <row r="146" spans="2:3">
      <c r="B146" s="56" t="s">
        <v>177</v>
      </c>
      <c r="C146" s="209">
        <v>26</v>
      </c>
    </row>
    <row r="147" spans="2:3">
      <c r="B147" s="56" t="s">
        <v>478</v>
      </c>
      <c r="C147" s="209">
        <v>1</v>
      </c>
    </row>
    <row r="148" spans="2:3">
      <c r="B148" s="56" t="s">
        <v>1111</v>
      </c>
      <c r="C148" s="209">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43"/>
  <sheetViews>
    <sheetView showGridLines="0" topLeftCell="K1" zoomScale="60" zoomScaleNormal="60" workbookViewId="0">
      <selection activeCell="O290" sqref="O290"/>
    </sheetView>
  </sheetViews>
  <sheetFormatPr defaultRowHeight="13.8"/>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1117</v>
      </c>
      <c r="R7" t="s">
        <v>1118</v>
      </c>
    </row>
    <row r="8" spans="1:45" ht="15" customHeight="1">
      <c r="B8" s="50" t="s">
        <v>13</v>
      </c>
      <c r="C8" s="50" t="s">
        <v>14</v>
      </c>
      <c r="D8" s="51" t="s">
        <v>1119</v>
      </c>
      <c r="E8" s="51" t="s">
        <v>1120</v>
      </c>
      <c r="F8" s="51" t="s">
        <v>16</v>
      </c>
      <c r="G8" s="51" t="s">
        <v>17</v>
      </c>
      <c r="H8" s="62" t="s">
        <v>515</v>
      </c>
      <c r="I8" s="52" t="s">
        <v>18</v>
      </c>
      <c r="J8" s="52" t="s">
        <v>19</v>
      </c>
      <c r="K8" s="51" t="s">
        <v>1121</v>
      </c>
      <c r="L8" s="51" t="s">
        <v>1122</v>
      </c>
      <c r="M8" s="51" t="s">
        <v>1123</v>
      </c>
      <c r="N8" s="51" t="s">
        <v>1124</v>
      </c>
      <c r="O8" s="51" t="s">
        <v>1125</v>
      </c>
      <c r="P8" s="51" t="s">
        <v>1126</v>
      </c>
      <c r="Q8" s="51" t="s">
        <v>1127</v>
      </c>
      <c r="R8" s="51" t="s">
        <v>1128</v>
      </c>
      <c r="S8" s="51" t="s">
        <v>1129</v>
      </c>
      <c r="T8" s="51" t="s">
        <v>1130</v>
      </c>
      <c r="U8" s="51" t="s">
        <v>1131</v>
      </c>
      <c r="V8" s="51" t="s">
        <v>1132</v>
      </c>
      <c r="W8" s="51" t="s">
        <v>22</v>
      </c>
      <c r="X8" s="51" t="s">
        <v>1133</v>
      </c>
    </row>
    <row r="9" spans="1:45" ht="17.399999999999999" hidden="1" customHeight="1">
      <c r="B9" s="14" t="s">
        <v>32</v>
      </c>
      <c r="C9" s="14" t="s">
        <v>32</v>
      </c>
      <c r="D9" s="3" t="s">
        <v>38</v>
      </c>
      <c r="E9" s="3" t="s">
        <v>38</v>
      </c>
      <c r="F9" s="3" t="s">
        <v>439</v>
      </c>
      <c r="G9" s="3" t="s">
        <v>38</v>
      </c>
      <c r="H9" s="63" t="str">
        <f>Table1[[#This Row],[Tabela]]&amp;Table1[[#This Row],[Campo]]</f>
        <v>lt002_insrmntn.a.</v>
      </c>
      <c r="I9" s="3" t="s">
        <v>177</v>
      </c>
      <c r="J9" s="48">
        <f>VLOOKUP(Table1[[#This Row],[Status]],Auxiliar!$B$16:$C$23,2,0)</f>
        <v>2</v>
      </c>
      <c r="K9" s="22" t="s">
        <v>1134</v>
      </c>
      <c r="L9" s="22" t="s">
        <v>1135</v>
      </c>
      <c r="M9" s="22" t="s">
        <v>1136</v>
      </c>
      <c r="N9" s="53">
        <v>45485</v>
      </c>
      <c r="O9" s="22">
        <f>INDEX(Auxiliar!$D$5:$F$13,MATCH(Table1[[#This Row],[Tipologia_Testes]],Auxiliar!$B$5:$B$13,0),MATCH(Table1[[#This Row],[Complexidade]],Auxiliar!$D$4:$F$4,0))</f>
        <v>8</v>
      </c>
      <c r="P9" s="22"/>
      <c r="Q9" s="3"/>
      <c r="R9" s="173">
        <v>45261</v>
      </c>
      <c r="S9" s="173"/>
      <c r="T9" s="173"/>
      <c r="U9" s="173"/>
      <c r="V9" s="173"/>
      <c r="W9" s="3">
        <f>VLOOKUP(Table1[[#This Row],[Status]],Auxiliar!$B$16:$D$23,3,0)*Table1[[#This Row],[Estimação (horas)]]</f>
        <v>4</v>
      </c>
      <c r="X9" s="3"/>
    </row>
    <row r="10" spans="1:45" ht="17.399999999999999" hidden="1" customHeight="1">
      <c r="B10" s="14" t="s">
        <v>32</v>
      </c>
      <c r="C10" s="14" t="s">
        <v>32</v>
      </c>
      <c r="D10" s="3" t="s">
        <v>31</v>
      </c>
      <c r="E10" s="3" t="s">
        <v>38</v>
      </c>
      <c r="F10" s="3" t="s">
        <v>439</v>
      </c>
      <c r="G10" s="3" t="s">
        <v>407</v>
      </c>
      <c r="H10" s="63" t="str">
        <f>Table1[[#This Row],[Tabela]]&amp;Table1[[#This Row],[Campo]]</f>
        <v>lt002_insrmntsstnbl_ctgry</v>
      </c>
      <c r="I10" s="134" t="s">
        <v>478</v>
      </c>
      <c r="J10" s="59">
        <f>VLOOKUP(Table1[[#This Row],[Status]],Auxiliar!$B$16:$C$23,2,0)</f>
        <v>3</v>
      </c>
      <c r="K10" s="22" t="s">
        <v>1137</v>
      </c>
      <c r="L10" s="22" t="s">
        <v>1135</v>
      </c>
      <c r="M10" s="22" t="s">
        <v>1136</v>
      </c>
      <c r="N10" s="53">
        <v>45485</v>
      </c>
      <c r="O10" s="22">
        <f>INDEX(Auxiliar!$D$5:$F$13,MATCH(Table1[[#This Row],[Tipologia_Testes]],Auxiliar!$B$5:$B$13,0),MATCH(Table1[[#This Row],[Complexidade]],Auxiliar!$D$4:$F$4,0))</f>
        <v>8</v>
      </c>
      <c r="P10" s="3"/>
      <c r="Q10" s="3"/>
      <c r="R10" s="173">
        <v>45261</v>
      </c>
      <c r="S10" s="173"/>
      <c r="T10" s="173"/>
      <c r="U10" s="173"/>
      <c r="V10" s="173"/>
      <c r="W10" s="3">
        <f>VLOOKUP(Table1[[#This Row],[Status]],Auxiliar!$B$16:$D$23,3,0)*Table1[[#This Row],[Estimação (horas)]]</f>
        <v>2</v>
      </c>
      <c r="X10" s="3"/>
    </row>
    <row r="11" spans="1:45" ht="17.399999999999999" hidden="1" customHeight="1">
      <c r="B11" s="14" t="s">
        <v>32</v>
      </c>
      <c r="C11" s="14" t="s">
        <v>32</v>
      </c>
      <c r="D11" s="3" t="s">
        <v>31</v>
      </c>
      <c r="E11" s="3" t="s">
        <v>38</v>
      </c>
      <c r="F11" s="3" t="s">
        <v>439</v>
      </c>
      <c r="G11" s="3" t="s">
        <v>407</v>
      </c>
      <c r="H11" s="63" t="str">
        <f>Table1[[#This Row],[Tabela]]&amp;Table1[[#This Row],[Campo]]</f>
        <v>lt002_insrmntsstnbl_ctgry</v>
      </c>
      <c r="I11" s="134" t="s">
        <v>478</v>
      </c>
      <c r="J11" s="59">
        <f>VLOOKUP(Table1[[#This Row],[Status]],Auxiliar!$B$16:$C$23,2,0)</f>
        <v>3</v>
      </c>
      <c r="K11" s="22" t="s">
        <v>1138</v>
      </c>
      <c r="L11" s="22" t="s">
        <v>1135</v>
      </c>
      <c r="M11" s="22" t="s">
        <v>1136</v>
      </c>
      <c r="N11" s="53">
        <v>45485</v>
      </c>
      <c r="O11" s="22">
        <f>INDEX(Auxiliar!$D$5:$F$13,MATCH(Table1[[#This Row],[Tipologia_Testes]],Auxiliar!$B$5:$B$13,0),MATCH(Table1[[#This Row],[Complexidade]],Auxiliar!$D$4:$F$4,0))</f>
        <v>8</v>
      </c>
      <c r="P11" s="3"/>
      <c r="Q11" s="3"/>
      <c r="R11" s="173">
        <v>45261</v>
      </c>
      <c r="S11" s="173"/>
      <c r="T11" s="173"/>
      <c r="U11" s="173"/>
      <c r="V11" s="173"/>
      <c r="W11" s="3">
        <f>VLOOKUP(Table1[[#This Row],[Status]],Auxiliar!$B$16:$D$23,3,0)*Table1[[#This Row],[Estimação (horas)]]</f>
        <v>2</v>
      </c>
      <c r="X11" s="3"/>
    </row>
    <row r="12" spans="1:45" ht="17.399999999999999" hidden="1" customHeight="1">
      <c r="B12" s="14" t="s">
        <v>32</v>
      </c>
      <c r="C12" s="14" t="s">
        <v>32</v>
      </c>
      <c r="D12" s="3" t="s">
        <v>31</v>
      </c>
      <c r="E12" s="3" t="s">
        <v>38</v>
      </c>
      <c r="F12" s="3" t="s">
        <v>439</v>
      </c>
      <c r="G12" s="3" t="s">
        <v>407</v>
      </c>
      <c r="H12" s="63" t="str">
        <f>Table1[[#This Row],[Tabela]]&amp;Table1[[#This Row],[Campo]]</f>
        <v>lt002_insrmntsstnbl_ctgry</v>
      </c>
      <c r="I12" s="134" t="s">
        <v>478</v>
      </c>
      <c r="J12" s="59">
        <f>VLOOKUP(Table1[[#This Row],[Status]],Auxiliar!$B$16:$C$23,2,0)</f>
        <v>3</v>
      </c>
      <c r="K12" s="22" t="s">
        <v>1139</v>
      </c>
      <c r="L12" s="22" t="s">
        <v>1135</v>
      </c>
      <c r="M12" s="22" t="s">
        <v>1136</v>
      </c>
      <c r="N12" s="53">
        <v>45485</v>
      </c>
      <c r="O12" s="22">
        <f>INDEX(Auxiliar!$D$5:$F$13,MATCH(Table1[[#This Row],[Tipologia_Testes]],Auxiliar!$B$5:$B$13,0),MATCH(Table1[[#This Row],[Complexidade]],Auxiliar!$D$4:$F$4,0))</f>
        <v>8</v>
      </c>
      <c r="P12" s="3" t="s">
        <v>1140</v>
      </c>
      <c r="Q12" s="3"/>
      <c r="R12" s="173">
        <v>45261</v>
      </c>
      <c r="S12" s="173"/>
      <c r="T12" s="173"/>
      <c r="U12" s="173"/>
      <c r="V12" s="173"/>
      <c r="W12" s="3">
        <f>VLOOKUP(Table1[[#This Row],[Status]],Auxiliar!$B$16:$D$23,3,0)*Table1[[#This Row],[Estimação (horas)]]</f>
        <v>2</v>
      </c>
      <c r="X12" s="3"/>
    </row>
    <row r="13" spans="1:45" ht="17.399999999999999" hidden="1" customHeight="1">
      <c r="B13" s="14" t="s">
        <v>32</v>
      </c>
      <c r="C13" s="14" t="s">
        <v>32</v>
      </c>
      <c r="D13" s="3" t="s">
        <v>31</v>
      </c>
      <c r="E13" s="3" t="s">
        <v>38</v>
      </c>
      <c r="F13" s="3" t="s">
        <v>439</v>
      </c>
      <c r="G13" s="3" t="s">
        <v>407</v>
      </c>
      <c r="H13" s="63" t="str">
        <f>Table1[[#This Row],[Tabela]]&amp;Table1[[#This Row],[Campo]]</f>
        <v>lt002_insrmntsstnbl_ctgry</v>
      </c>
      <c r="I13" s="134" t="s">
        <v>478</v>
      </c>
      <c r="J13" s="59">
        <f>VLOOKUP(Table1[[#This Row],[Status]],Auxiliar!$B$16:$C$23,2,0)</f>
        <v>3</v>
      </c>
      <c r="K13" s="22" t="s">
        <v>1141</v>
      </c>
      <c r="L13" s="22" t="s">
        <v>1135</v>
      </c>
      <c r="M13" s="22" t="s">
        <v>1136</v>
      </c>
      <c r="N13" s="53">
        <v>45485</v>
      </c>
      <c r="O13" s="22">
        <f>INDEX(Auxiliar!$D$5:$F$13,MATCH(Table1[[#This Row],[Tipologia_Testes]],Auxiliar!$B$5:$B$13,0),MATCH(Table1[[#This Row],[Complexidade]],Auxiliar!$D$4:$F$4,0))</f>
        <v>0.1</v>
      </c>
      <c r="P13" s="3"/>
      <c r="Q13" s="3"/>
      <c r="R13" s="173">
        <v>45261</v>
      </c>
      <c r="S13" s="173"/>
      <c r="T13" s="173"/>
      <c r="U13" s="173"/>
      <c r="V13" s="173"/>
      <c r="W13" s="3">
        <f>VLOOKUP(Table1[[#This Row],[Status]],Auxiliar!$B$16:$D$23,3,0)*Table1[[#This Row],[Estimação (horas)]]</f>
        <v>2.5000000000000001E-2</v>
      </c>
      <c r="X13" s="3"/>
    </row>
    <row r="14" spans="1:45" ht="17.399999999999999" hidden="1" customHeight="1">
      <c r="B14" s="14" t="s">
        <v>32</v>
      </c>
      <c r="C14" s="14" t="s">
        <v>32</v>
      </c>
      <c r="D14" s="3" t="s">
        <v>31</v>
      </c>
      <c r="E14" s="3" t="s">
        <v>38</v>
      </c>
      <c r="F14" s="3" t="s">
        <v>439</v>
      </c>
      <c r="G14" s="3" t="s">
        <v>407</v>
      </c>
      <c r="H14" s="63" t="str">
        <f>Table1[[#This Row],[Tabela]]&amp;Table1[[#This Row],[Campo]]</f>
        <v>lt002_insrmntsstnbl_ctgry</v>
      </c>
      <c r="I14" s="134" t="s">
        <v>478</v>
      </c>
      <c r="J14" s="59">
        <f>VLOOKUP(Table1[[#This Row],[Status]],Auxiliar!$B$16:$C$23,2,0)</f>
        <v>3</v>
      </c>
      <c r="K14" s="22" t="s">
        <v>1142</v>
      </c>
      <c r="L14" s="22" t="s">
        <v>1135</v>
      </c>
      <c r="M14" s="22" t="s">
        <v>1136</v>
      </c>
      <c r="N14" s="53">
        <v>45485</v>
      </c>
      <c r="O14" s="22">
        <f>INDEX(Auxiliar!$D$5:$F$13,MATCH(Table1[[#This Row],[Tipologia_Testes]],Auxiliar!$B$5:$B$13,0),MATCH(Table1[[#This Row],[Complexidade]],Auxiliar!$D$4:$F$4,0))</f>
        <v>2</v>
      </c>
      <c r="P14" s="3"/>
      <c r="Q14" s="3"/>
      <c r="R14" s="173">
        <v>45261</v>
      </c>
      <c r="S14" s="173"/>
      <c r="T14" s="173"/>
      <c r="U14" s="173"/>
      <c r="V14" s="173"/>
      <c r="W14" s="3">
        <f>VLOOKUP(Table1[[#This Row],[Status]],Auxiliar!$B$16:$D$23,3,0)*Table1[[#This Row],[Estimação (horas)]]</f>
        <v>0.5</v>
      </c>
      <c r="X14" s="3"/>
    </row>
    <row r="15" spans="1:45" ht="17.399999999999999" hidden="1" customHeight="1">
      <c r="B15" s="14" t="s">
        <v>32</v>
      </c>
      <c r="C15" s="14" t="s">
        <v>32</v>
      </c>
      <c r="D15" s="3" t="s">
        <v>387</v>
      </c>
      <c r="E15" s="3" t="s">
        <v>38</v>
      </c>
      <c r="F15" s="3" t="s">
        <v>439</v>
      </c>
      <c r="G15" s="3" t="s">
        <v>390</v>
      </c>
      <c r="H15" s="63" t="str">
        <f>Table1[[#This Row],[Tabela]]&amp;Table1[[#This Row],[Campo]]</f>
        <v>lt002_insrmntdflt_stts_instrmnt</v>
      </c>
      <c r="I15" s="4" t="s">
        <v>477</v>
      </c>
      <c r="J15" s="59">
        <f>VLOOKUP(Table1[[#This Row],[Status]],Auxiliar!$B$16:$C$23,2,0)</f>
        <v>1</v>
      </c>
      <c r="K15" s="22" t="s">
        <v>1143</v>
      </c>
      <c r="L15" s="22" t="s">
        <v>1144</v>
      </c>
      <c r="M15" s="22" t="s">
        <v>1145</v>
      </c>
      <c r="N15" s="53">
        <v>45485</v>
      </c>
      <c r="O15" s="22">
        <f>INDEX(Auxiliar!$D$5:$F$13,MATCH(Table1[[#This Row],[Tipologia_Testes]],Auxiliar!$B$5:$B$13,0),MATCH(Table1[[#This Row],[Complexidade]],Auxiliar!$D$4:$F$4,0))</f>
        <v>1</v>
      </c>
      <c r="P15" s="3"/>
      <c r="Q15" s="3"/>
      <c r="R15" s="173">
        <v>45261</v>
      </c>
      <c r="S15" s="173"/>
      <c r="T15" s="173"/>
      <c r="U15" s="173"/>
      <c r="V15" s="173"/>
      <c r="W15" s="3">
        <f>VLOOKUP(Table1[[#This Row],[Status]],Auxiliar!$B$16:$D$23,3,0)*Table1[[#This Row],[Estimação (horas)]]</f>
        <v>1</v>
      </c>
      <c r="X15" s="3"/>
    </row>
    <row r="16" spans="1:45" ht="17.399999999999999" hidden="1" customHeight="1">
      <c r="B16" s="14" t="s">
        <v>32</v>
      </c>
      <c r="C16" s="14" t="s">
        <v>32</v>
      </c>
      <c r="D16" s="3" t="s">
        <v>387</v>
      </c>
      <c r="E16" s="3" t="s">
        <v>38</v>
      </c>
      <c r="F16" s="3" t="s">
        <v>439</v>
      </c>
      <c r="G16" s="3" t="s">
        <v>396</v>
      </c>
      <c r="H16" s="63" t="str">
        <f>Table1[[#This Row],[Tabela]]&amp;Table1[[#This Row],[Campo]]</f>
        <v>lt002_insrmntaccmltd_chngs_fv_cr_instrmnt</v>
      </c>
      <c r="I16" s="4" t="s">
        <v>477</v>
      </c>
      <c r="J16" s="59">
        <f>VLOOKUP(Table1[[#This Row],[Status]],Auxiliar!$B$16:$C$23,2,0)</f>
        <v>1</v>
      </c>
      <c r="K16" s="22" t="s">
        <v>1143</v>
      </c>
      <c r="L16" s="22" t="s">
        <v>1144</v>
      </c>
      <c r="M16" s="22" t="s">
        <v>1145</v>
      </c>
      <c r="N16" s="53">
        <v>45485</v>
      </c>
      <c r="O16" s="22">
        <f>INDEX(Auxiliar!$D$5:$F$13,MATCH(Table1[[#This Row],[Tipologia_Testes]],Auxiliar!$B$5:$B$13,0),MATCH(Table1[[#This Row],[Complexidade]],Auxiliar!$D$4:$F$4,0))</f>
        <v>1</v>
      </c>
      <c r="P16" s="3"/>
      <c r="Q16" s="3"/>
      <c r="R16" s="173">
        <v>45261</v>
      </c>
      <c r="S16" s="173"/>
      <c r="T16" s="173"/>
      <c r="U16" s="173"/>
      <c r="V16" s="173"/>
      <c r="W16" s="3">
        <f>VLOOKUP(Table1[[#This Row],[Status]],Auxiliar!$B$16:$D$23,3,0)*Table1[[#This Row],[Estimação (horas)]]</f>
        <v>1</v>
      </c>
      <c r="X16" s="3"/>
    </row>
    <row r="17" spans="2:24" ht="17.399999999999999" hidden="1" customHeight="1">
      <c r="B17" s="14" t="s">
        <v>32</v>
      </c>
      <c r="C17" s="14" t="s">
        <v>32</v>
      </c>
      <c r="D17" s="3" t="s">
        <v>387</v>
      </c>
      <c r="E17" s="3" t="s">
        <v>38</v>
      </c>
      <c r="F17" s="3" t="s">
        <v>439</v>
      </c>
      <c r="G17" s="3" t="s">
        <v>399</v>
      </c>
      <c r="H17" s="63" t="str">
        <f>Table1[[#This Row],[Tabela]]&amp;Table1[[#This Row],[Campo]]</f>
        <v>lt002_insrmntaccmltd_imprmnt_instrmnt</v>
      </c>
      <c r="I17" s="4" t="s">
        <v>477</v>
      </c>
      <c r="J17" s="59">
        <f>VLOOKUP(Table1[[#This Row],[Status]],Auxiliar!$B$16:$C$23,2,0)</f>
        <v>1</v>
      </c>
      <c r="K17" s="22" t="s">
        <v>1143</v>
      </c>
      <c r="L17" s="22" t="s">
        <v>1144</v>
      </c>
      <c r="M17" s="22" t="s">
        <v>1145</v>
      </c>
      <c r="N17" s="53">
        <v>45485</v>
      </c>
      <c r="O17" s="22">
        <f>INDEX(Auxiliar!$D$5:$F$13,MATCH(Table1[[#This Row],[Tipologia_Testes]],Auxiliar!$B$5:$B$13,0),MATCH(Table1[[#This Row],[Complexidade]],Auxiliar!$D$4:$F$4,0))</f>
        <v>1</v>
      </c>
      <c r="P17" s="3"/>
      <c r="Q17" s="3"/>
      <c r="R17" s="173">
        <v>45261</v>
      </c>
      <c r="S17" s="173"/>
      <c r="T17" s="173"/>
      <c r="U17" s="173"/>
      <c r="V17" s="173"/>
      <c r="W17" s="3">
        <f>VLOOKUP(Table1[[#This Row],[Status]],Auxiliar!$B$16:$D$23,3,0)*Table1[[#This Row],[Estimação (horas)]]</f>
        <v>1</v>
      </c>
      <c r="X17" s="3"/>
    </row>
    <row r="18" spans="2:24" ht="17.399999999999999" hidden="1" customHeight="1">
      <c r="B18" s="14" t="s">
        <v>32</v>
      </c>
      <c r="C18" s="14" t="s">
        <v>32</v>
      </c>
      <c r="D18" s="3" t="s">
        <v>387</v>
      </c>
      <c r="E18" s="3" t="s">
        <v>38</v>
      </c>
      <c r="F18" s="3" t="s">
        <v>439</v>
      </c>
      <c r="G18" s="3" t="s">
        <v>397</v>
      </c>
      <c r="H18" s="63" t="str">
        <f>Table1[[#This Row],[Tabela]]&amp;Table1[[#This Row],[Campo]]</f>
        <v>lt002_insrmntaccntng_clssfctn</v>
      </c>
      <c r="I18" s="4" t="s">
        <v>477</v>
      </c>
      <c r="J18" s="59">
        <f>VLOOKUP(Table1[[#This Row],[Status]],Auxiliar!$B$16:$C$23,2,0)</f>
        <v>1</v>
      </c>
      <c r="K18" s="22" t="s">
        <v>1143</v>
      </c>
      <c r="L18" s="22" t="s">
        <v>1144</v>
      </c>
      <c r="M18" s="22" t="s">
        <v>1145</v>
      </c>
      <c r="N18" s="53">
        <v>45485</v>
      </c>
      <c r="O18" s="22">
        <f>INDEX(Auxiliar!$D$5:$F$13,MATCH(Table1[[#This Row],[Tipologia_Testes]],Auxiliar!$B$5:$B$13,0),MATCH(Table1[[#This Row],[Complexidade]],Auxiliar!$D$4:$F$4,0))</f>
        <v>1</v>
      </c>
      <c r="P18" s="3"/>
      <c r="Q18" s="3"/>
      <c r="R18" s="173">
        <v>45261</v>
      </c>
      <c r="S18" s="173"/>
      <c r="T18" s="173"/>
      <c r="U18" s="173"/>
      <c r="V18" s="173"/>
      <c r="W18" s="3">
        <f>VLOOKUP(Table1[[#This Row],[Status]],Auxiliar!$B$16:$D$23,3,0)*Table1[[#This Row],[Estimação (horas)]]</f>
        <v>1</v>
      </c>
      <c r="X18" s="3"/>
    </row>
    <row r="19" spans="2:24" ht="17.399999999999999" hidden="1" customHeight="1">
      <c r="B19" s="14" t="s">
        <v>32</v>
      </c>
      <c r="C19" s="14" t="s">
        <v>32</v>
      </c>
      <c r="D19" s="3" t="s">
        <v>387</v>
      </c>
      <c r="E19" s="3" t="s">
        <v>38</v>
      </c>
      <c r="F19" s="3" t="s">
        <v>439</v>
      </c>
      <c r="G19" s="3" t="s">
        <v>404</v>
      </c>
      <c r="H19" s="63" t="str">
        <f>Table1[[#This Row],[Tabela]]&amp;Table1[[#This Row],[Campo]]</f>
        <v>lt002_insrmntcod_soc</v>
      </c>
      <c r="I19" s="4" t="s">
        <v>477</v>
      </c>
      <c r="J19" s="59">
        <f>VLOOKUP(Table1[[#This Row],[Status]],Auxiliar!$B$16:$C$23,2,0)</f>
        <v>1</v>
      </c>
      <c r="K19" s="22" t="s">
        <v>1143</v>
      </c>
      <c r="L19" s="22" t="s">
        <v>1144</v>
      </c>
      <c r="M19" s="22" t="s">
        <v>1145</v>
      </c>
      <c r="N19" s="53">
        <v>45485</v>
      </c>
      <c r="O19" s="22">
        <f>INDEX(Auxiliar!$D$5:$F$13,MATCH(Table1[[#This Row],[Tipologia_Testes]],Auxiliar!$B$5:$B$13,0),MATCH(Table1[[#This Row],[Complexidade]],Auxiliar!$D$4:$F$4,0))</f>
        <v>1</v>
      </c>
      <c r="P19" s="3"/>
      <c r="Q19" s="3"/>
      <c r="R19" s="173">
        <v>45261</v>
      </c>
      <c r="S19" s="173"/>
      <c r="T19" s="173"/>
      <c r="U19" s="173"/>
      <c r="V19" s="173"/>
      <c r="W19" s="3">
        <f>VLOOKUP(Table1[[#This Row],[Status]],Auxiliar!$B$16:$D$23,3,0)*Table1[[#This Row],[Estimação (horas)]]</f>
        <v>1</v>
      </c>
      <c r="X19" s="3"/>
    </row>
    <row r="20" spans="2:24" ht="17.399999999999999" hidden="1" customHeight="1">
      <c r="B20" s="14" t="s">
        <v>32</v>
      </c>
      <c r="C20" s="14" t="s">
        <v>32</v>
      </c>
      <c r="D20" s="3" t="s">
        <v>387</v>
      </c>
      <c r="E20" s="3" t="s">
        <v>38</v>
      </c>
      <c r="F20" s="3" t="s">
        <v>439</v>
      </c>
      <c r="G20" s="3" t="s">
        <v>386</v>
      </c>
      <c r="H20" s="63" t="str">
        <f>Table1[[#This Row],[Tabela]]&amp;Table1[[#This Row],[Campo]]</f>
        <v>lt002_insrmntdt_rfrnc</v>
      </c>
      <c r="I20" s="4" t="s">
        <v>477</v>
      </c>
      <c r="J20" s="59">
        <f>VLOOKUP(Table1[[#This Row],[Status]],Auxiliar!$B$16:$C$23,2,0)</f>
        <v>1</v>
      </c>
      <c r="K20" s="22" t="s">
        <v>1143</v>
      </c>
      <c r="L20" s="22" t="s">
        <v>1144</v>
      </c>
      <c r="M20" s="22" t="s">
        <v>1145</v>
      </c>
      <c r="N20" s="53">
        <v>45485</v>
      </c>
      <c r="O20" s="22">
        <f>INDEX(Auxiliar!$D$5:$F$13,MATCH(Table1[[#This Row],[Tipologia_Testes]],Auxiliar!$B$5:$B$13,0),MATCH(Table1[[#This Row],[Complexidade]],Auxiliar!$D$4:$F$4,0))</f>
        <v>1</v>
      </c>
      <c r="P20" s="3"/>
      <c r="Q20" s="3"/>
      <c r="R20" s="173">
        <v>45261</v>
      </c>
      <c r="S20" s="173"/>
      <c r="T20" s="173"/>
      <c r="U20" s="173"/>
      <c r="V20" s="173"/>
      <c r="W20" s="3">
        <f>VLOOKUP(Table1[[#This Row],[Status]],Auxiliar!$B$16:$D$23,3,0)*Table1[[#This Row],[Estimação (horas)]]</f>
        <v>1</v>
      </c>
      <c r="X20" s="3"/>
    </row>
    <row r="21" spans="2:24" ht="17.399999999999999" hidden="1" customHeight="1">
      <c r="B21" s="14" t="s">
        <v>32</v>
      </c>
      <c r="C21" s="14" t="s">
        <v>32</v>
      </c>
      <c r="D21" s="3" t="s">
        <v>387</v>
      </c>
      <c r="E21" s="3" t="s">
        <v>38</v>
      </c>
      <c r="F21" s="3" t="s">
        <v>439</v>
      </c>
      <c r="G21" s="3" t="s">
        <v>395</v>
      </c>
      <c r="H21" s="63" t="str">
        <f>Table1[[#This Row],[Tabela]]&amp;Table1[[#This Row],[Campo]]</f>
        <v>lt002_insrmntgrss_crryng_amnt_instrmnt</v>
      </c>
      <c r="I21" s="4" t="s">
        <v>477</v>
      </c>
      <c r="J21" s="59">
        <f>VLOOKUP(Table1[[#This Row],[Status]],Auxiliar!$B$16:$C$23,2,0)</f>
        <v>1</v>
      </c>
      <c r="K21" s="22" t="s">
        <v>1143</v>
      </c>
      <c r="L21" s="22" t="s">
        <v>1144</v>
      </c>
      <c r="M21" s="22" t="s">
        <v>1145</v>
      </c>
      <c r="N21" s="53">
        <v>45485</v>
      </c>
      <c r="O21" s="22">
        <f>INDEX(Auxiliar!$D$5:$F$13,MATCH(Table1[[#This Row],[Tipologia_Testes]],Auxiliar!$B$5:$B$13,0),MATCH(Table1[[#This Row],[Complexidade]],Auxiliar!$D$4:$F$4,0))</f>
        <v>1</v>
      </c>
      <c r="P21" s="3"/>
      <c r="Q21" s="3"/>
      <c r="R21" s="173">
        <v>45261</v>
      </c>
      <c r="S21" s="173"/>
      <c r="T21" s="173"/>
      <c r="U21" s="173"/>
      <c r="V21" s="173"/>
      <c r="W21" s="3">
        <f>VLOOKUP(Table1[[#This Row],[Status]],Auxiliar!$B$16:$D$23,3,0)*Table1[[#This Row],[Estimação (horas)]]</f>
        <v>1</v>
      </c>
      <c r="X21" s="3"/>
    </row>
    <row r="22" spans="2:24" ht="17.399999999999999" hidden="1" customHeight="1">
      <c r="B22" s="14" t="s">
        <v>32</v>
      </c>
      <c r="C22" s="14" t="s">
        <v>32</v>
      </c>
      <c r="D22" s="3" t="s">
        <v>387</v>
      </c>
      <c r="E22" s="3" t="s">
        <v>38</v>
      </c>
      <c r="F22" s="3" t="s">
        <v>439</v>
      </c>
      <c r="G22" s="3" t="s">
        <v>411</v>
      </c>
      <c r="H22" s="63" t="str">
        <f>Table1[[#This Row],[Tabela]]&amp;Table1[[#This Row],[Campo]]</f>
        <v>lt002_insrmntidcmb</v>
      </c>
      <c r="I22" s="4" t="s">
        <v>477</v>
      </c>
      <c r="J22" s="59">
        <f>VLOOKUP(Table1[[#This Row],[Status]],Auxiliar!$B$16:$C$23,2,0)</f>
        <v>1</v>
      </c>
      <c r="K22" s="22" t="s">
        <v>1143</v>
      </c>
      <c r="L22" s="22" t="s">
        <v>1144</v>
      </c>
      <c r="M22" s="22" t="s">
        <v>1145</v>
      </c>
      <c r="N22" s="53">
        <v>45485</v>
      </c>
      <c r="O22" s="22">
        <f>INDEX(Auxiliar!$D$5:$F$13,MATCH(Table1[[#This Row],[Tipologia_Testes]],Auxiliar!$B$5:$B$13,0),MATCH(Table1[[#This Row],[Complexidade]],Auxiliar!$D$4:$F$4,0))</f>
        <v>1</v>
      </c>
      <c r="P22" s="3"/>
      <c r="Q22" s="3"/>
      <c r="R22" s="173">
        <v>45261</v>
      </c>
      <c r="S22" s="173"/>
      <c r="T22" s="173"/>
      <c r="U22" s="173"/>
      <c r="V22" s="173"/>
      <c r="W22" s="3">
        <f>VLOOKUP(Table1[[#This Row],[Status]],Auxiliar!$B$16:$D$23,3,0)*Table1[[#This Row],[Estimação (horas)]]</f>
        <v>1</v>
      </c>
      <c r="X22" s="3"/>
    </row>
    <row r="23" spans="2:24" ht="17.399999999999999" hidden="1" customHeight="1">
      <c r="B23" s="14" t="s">
        <v>32</v>
      </c>
      <c r="C23" s="14" t="s">
        <v>32</v>
      </c>
      <c r="D23" s="3" t="s">
        <v>387</v>
      </c>
      <c r="E23" s="3" t="s">
        <v>38</v>
      </c>
      <c r="F23" s="3" t="s">
        <v>439</v>
      </c>
      <c r="G23" s="3" t="s">
        <v>391</v>
      </c>
      <c r="H23" s="63" t="str">
        <f>Table1[[#This Row],[Tabela]]&amp;Table1[[#This Row],[Campo]]</f>
        <v>lt002_insrmntimprmnt_stts</v>
      </c>
      <c r="I23" s="4" t="s">
        <v>477</v>
      </c>
      <c r="J23" s="59">
        <f>VLOOKUP(Table1[[#This Row],[Status]],Auxiliar!$B$16:$C$23,2,0)</f>
        <v>1</v>
      </c>
      <c r="K23" s="22" t="s">
        <v>1143</v>
      </c>
      <c r="L23" s="22" t="s">
        <v>1144</v>
      </c>
      <c r="M23" s="22" t="s">
        <v>1145</v>
      </c>
      <c r="N23" s="53">
        <v>45485</v>
      </c>
      <c r="O23" s="22">
        <f>INDEX(Auxiliar!$D$5:$F$13,MATCH(Table1[[#This Row],[Tipologia_Testes]],Auxiliar!$B$5:$B$13,0),MATCH(Table1[[#This Row],[Complexidade]],Auxiliar!$D$4:$F$4,0))</f>
        <v>1</v>
      </c>
      <c r="P23" s="3"/>
      <c r="Q23" s="3"/>
      <c r="R23" s="173">
        <v>45261</v>
      </c>
      <c r="S23" s="173"/>
      <c r="T23" s="173"/>
      <c r="U23" s="173"/>
      <c r="V23" s="173"/>
      <c r="W23" s="3">
        <f>VLOOKUP(Table1[[#This Row],[Status]],Auxiliar!$B$16:$D$23,3,0)*Table1[[#This Row],[Estimação (horas)]]</f>
        <v>1</v>
      </c>
      <c r="X23" s="3"/>
    </row>
    <row r="24" spans="2:24" ht="34.799999999999997" hidden="1" customHeight="1">
      <c r="B24" s="14" t="s">
        <v>32</v>
      </c>
      <c r="C24" s="14" t="s">
        <v>32</v>
      </c>
      <c r="D24" s="3" t="s">
        <v>1146</v>
      </c>
      <c r="E24" s="3" t="s">
        <v>38</v>
      </c>
      <c r="F24" s="3" t="s">
        <v>439</v>
      </c>
      <c r="G24" s="3" t="s">
        <v>388</v>
      </c>
      <c r="H24" s="63" t="str">
        <f>Table1[[#This Row],[Tabela]]&amp;Table1[[#This Row],[Campo]]</f>
        <v>lt002_insrmntinstrmnt_id</v>
      </c>
      <c r="I24" s="3" t="s">
        <v>177</v>
      </c>
      <c r="J24" s="48">
        <f>VLOOKUP(Table1[[#This Row],[Status]],Auxiliar!$B$16:$C$23,2,0)</f>
        <v>2</v>
      </c>
      <c r="K24" s="22" t="s">
        <v>1137</v>
      </c>
      <c r="L24" s="23" t="s">
        <v>1135</v>
      </c>
      <c r="M24" s="22" t="s">
        <v>1136</v>
      </c>
      <c r="N24" s="53">
        <v>45485</v>
      </c>
      <c r="O24" s="131">
        <v>4</v>
      </c>
      <c r="P24" s="24" t="s">
        <v>1147</v>
      </c>
      <c r="Q24" s="3"/>
      <c r="R24" s="173">
        <v>45261</v>
      </c>
      <c r="S24" s="173"/>
      <c r="T24" s="173"/>
      <c r="U24" s="173"/>
      <c r="V24" s="173"/>
      <c r="W24" s="3">
        <f>VLOOKUP(Table1[[#This Row],[Status]],Auxiliar!$B$16:$D$23,3,0)*Table1[[#This Row],[Estimação (horas)]]</f>
        <v>2</v>
      </c>
      <c r="X24" s="3"/>
    </row>
    <row r="25" spans="2:24" ht="17.399999999999999" hidden="1" customHeight="1">
      <c r="B25" s="14" t="s">
        <v>32</v>
      </c>
      <c r="C25" s="14" t="s">
        <v>32</v>
      </c>
      <c r="D25" s="3" t="s">
        <v>1146</v>
      </c>
      <c r="E25" s="3" t="s">
        <v>38</v>
      </c>
      <c r="F25" s="3" t="s">
        <v>439</v>
      </c>
      <c r="G25" s="3" t="s">
        <v>388</v>
      </c>
      <c r="H25" s="63" t="str">
        <f>Table1[[#This Row],[Tabela]]&amp;Table1[[#This Row],[Campo]]</f>
        <v>lt002_insrmntinstrmnt_id</v>
      </c>
      <c r="I25" s="3" t="s">
        <v>177</v>
      </c>
      <c r="J25" s="48">
        <f>VLOOKUP(Table1[[#This Row],[Status]],Auxiliar!$B$16:$C$23,2,0)</f>
        <v>2</v>
      </c>
      <c r="K25" s="22" t="s">
        <v>1138</v>
      </c>
      <c r="L25" s="23" t="s">
        <v>1135</v>
      </c>
      <c r="M25" s="22" t="s">
        <v>1136</v>
      </c>
      <c r="N25" s="53">
        <v>45485</v>
      </c>
      <c r="O25" s="22">
        <f>INDEX(Auxiliar!$D$5:$F$13,MATCH(Table1[[#This Row],[Tipologia_Testes]],Auxiliar!$B$5:$B$13,0),MATCH(Table1[[#This Row],[Complexidade]],Auxiliar!$D$4:$F$4,0))</f>
        <v>8</v>
      </c>
      <c r="P25" s="3" t="s">
        <v>1148</v>
      </c>
      <c r="Q25" s="3"/>
      <c r="R25" s="173">
        <v>45261</v>
      </c>
      <c r="S25" s="173"/>
      <c r="T25" s="173"/>
      <c r="U25" s="173"/>
      <c r="V25" s="173"/>
      <c r="W25" s="3">
        <f>VLOOKUP(Table1[[#This Row],[Status]],Auxiliar!$B$16:$D$23,3,0)*Table1[[#This Row],[Estimação (horas)]]</f>
        <v>4</v>
      </c>
      <c r="X25" s="3"/>
    </row>
    <row r="26" spans="2:24" ht="17.399999999999999" hidden="1" customHeight="1">
      <c r="B26" s="14" t="s">
        <v>32</v>
      </c>
      <c r="C26" s="14" t="s">
        <v>32</v>
      </c>
      <c r="D26" s="3" t="s">
        <v>1146</v>
      </c>
      <c r="E26" s="3" t="s">
        <v>38</v>
      </c>
      <c r="F26" s="3" t="s">
        <v>439</v>
      </c>
      <c r="G26" s="3" t="s">
        <v>388</v>
      </c>
      <c r="H26" s="63" t="str">
        <f>Table1[[#This Row],[Tabela]]&amp;Table1[[#This Row],[Campo]]</f>
        <v>lt002_insrmntinstrmnt_id</v>
      </c>
      <c r="I26" s="3" t="s">
        <v>177</v>
      </c>
      <c r="J26" s="48">
        <f>VLOOKUP(Table1[[#This Row],[Status]],Auxiliar!$B$16:$C$23,2,0)</f>
        <v>2</v>
      </c>
      <c r="K26" s="22" t="s">
        <v>1141</v>
      </c>
      <c r="L26" s="23" t="s">
        <v>1135</v>
      </c>
      <c r="M26" s="22" t="s">
        <v>1136</v>
      </c>
      <c r="N26" s="53">
        <v>45485</v>
      </c>
      <c r="O26" s="22">
        <f>INDEX(Auxiliar!$D$5:$F$13,MATCH(Table1[[#This Row],[Tipologia_Testes]],Auxiliar!$B$5:$B$13,0),MATCH(Table1[[#This Row],[Complexidade]],Auxiliar!$D$4:$F$4,0))</f>
        <v>0.1</v>
      </c>
      <c r="P26" s="3" t="s">
        <v>1148</v>
      </c>
      <c r="Q26" s="3"/>
      <c r="R26" s="173">
        <v>45261</v>
      </c>
      <c r="S26" s="173"/>
      <c r="T26" s="173"/>
      <c r="U26" s="173"/>
      <c r="V26" s="173"/>
      <c r="W26" s="3">
        <f>VLOOKUP(Table1[[#This Row],[Status]],Auxiliar!$B$16:$D$23,3,0)*Table1[[#This Row],[Estimação (horas)]]</f>
        <v>0.05</v>
      </c>
      <c r="X26" s="3"/>
    </row>
    <row r="27" spans="2:24" ht="17.399999999999999" hidden="1" customHeight="1">
      <c r="B27" s="14" t="s">
        <v>32</v>
      </c>
      <c r="C27" s="14" t="s">
        <v>32</v>
      </c>
      <c r="D27" s="3" t="s">
        <v>387</v>
      </c>
      <c r="E27" s="3" t="s">
        <v>38</v>
      </c>
      <c r="F27" s="3" t="s">
        <v>439</v>
      </c>
      <c r="G27" s="3" t="s">
        <v>405</v>
      </c>
      <c r="H27" s="63" t="str">
        <f>Table1[[#This Row],[Tabela]]&amp;Table1[[#This Row],[Campo]]</f>
        <v>lt002_insrmntlcl_instmrnt_id</v>
      </c>
      <c r="I27" s="4" t="s">
        <v>477</v>
      </c>
      <c r="J27" s="59">
        <f>VLOOKUP(Table1[[#This Row],[Status]],Auxiliar!$B$16:$C$23,2,0)</f>
        <v>1</v>
      </c>
      <c r="K27" s="22" t="s">
        <v>1143</v>
      </c>
      <c r="L27" s="22" t="s">
        <v>1144</v>
      </c>
      <c r="M27" s="22" t="s">
        <v>1145</v>
      </c>
      <c r="N27" s="53">
        <v>45485</v>
      </c>
      <c r="O27" s="22">
        <f>INDEX(Auxiliar!$D$5:$F$13,MATCH(Table1[[#This Row],[Tipologia_Testes]],Auxiliar!$B$5:$B$13,0),MATCH(Table1[[#This Row],[Complexidade]],Auxiliar!$D$4:$F$4,0))</f>
        <v>1</v>
      </c>
      <c r="P27" s="3"/>
      <c r="Q27" s="3"/>
      <c r="R27" s="173">
        <v>45261</v>
      </c>
      <c r="S27" s="173"/>
      <c r="T27" s="173"/>
      <c r="U27" s="173"/>
      <c r="V27" s="173"/>
      <c r="W27" s="3">
        <f>VLOOKUP(Table1[[#This Row],[Status]],Auxiliar!$B$16:$D$23,3,0)*Table1[[#This Row],[Estimação (horas)]]</f>
        <v>1</v>
      </c>
      <c r="X27" s="3"/>
    </row>
    <row r="28" spans="2:24" ht="17.399999999999999" hidden="1" customHeight="1">
      <c r="B28" s="14" t="s">
        <v>32</v>
      </c>
      <c r="C28" s="14" t="s">
        <v>32</v>
      </c>
      <c r="D28" s="3" t="s">
        <v>387</v>
      </c>
      <c r="E28" s="3" t="s">
        <v>38</v>
      </c>
      <c r="F28" s="3" t="s">
        <v>439</v>
      </c>
      <c r="G28" s="3" t="s">
        <v>440</v>
      </c>
      <c r="H28" s="63" t="str">
        <f>Table1[[#This Row],[Tabela]]&amp;Table1[[#This Row],[Campo]]</f>
        <v>lt002_insrmntoff_blnc_sht_amnt_instrmnt</v>
      </c>
      <c r="I28" s="4" t="s">
        <v>477</v>
      </c>
      <c r="J28" s="59">
        <f>VLOOKUP(Table1[[#This Row],[Status]],Auxiliar!$B$16:$C$23,2,0)</f>
        <v>1</v>
      </c>
      <c r="K28" s="22" t="s">
        <v>1143</v>
      </c>
      <c r="L28" s="22" t="s">
        <v>1144</v>
      </c>
      <c r="M28" s="22" t="s">
        <v>1145</v>
      </c>
      <c r="N28" s="53">
        <v>45485</v>
      </c>
      <c r="O28" s="22">
        <f>INDEX(Auxiliar!$D$5:$F$13,MATCH(Table1[[#This Row],[Tipologia_Testes]],Auxiliar!$B$5:$B$13,0),MATCH(Table1[[#This Row],[Complexidade]],Auxiliar!$D$4:$F$4,0))</f>
        <v>1</v>
      </c>
      <c r="P28" s="3"/>
      <c r="Q28" s="3"/>
      <c r="R28" s="173">
        <v>45261</v>
      </c>
      <c r="S28" s="173"/>
      <c r="T28" s="173"/>
      <c r="U28" s="173"/>
      <c r="V28" s="173"/>
      <c r="W28" s="3">
        <f>VLOOKUP(Table1[[#This Row],[Status]],Auxiliar!$B$16:$D$23,3,0)*Table1[[#This Row],[Estimação (horas)]]</f>
        <v>1</v>
      </c>
      <c r="X28" s="3"/>
    </row>
    <row r="29" spans="2:24" ht="17.399999999999999" hidden="1" customHeight="1">
      <c r="B29" s="14" t="s">
        <v>32</v>
      </c>
      <c r="C29" s="14" t="s">
        <v>32</v>
      </c>
      <c r="D29" s="3" t="s">
        <v>387</v>
      </c>
      <c r="E29" s="3" t="s">
        <v>38</v>
      </c>
      <c r="F29" s="3" t="s">
        <v>439</v>
      </c>
      <c r="G29" s="3" t="s">
        <v>392</v>
      </c>
      <c r="H29" s="63" t="str">
        <f>Table1[[#This Row],[Tabela]]&amp;Table1[[#This Row],[Campo]]</f>
        <v>lt002_insrmntprfrmng_stts</v>
      </c>
      <c r="I29" s="4" t="s">
        <v>477</v>
      </c>
      <c r="J29" s="59">
        <f>VLOOKUP(Table1[[#This Row],[Status]],Auxiliar!$B$16:$C$23,2,0)</f>
        <v>1</v>
      </c>
      <c r="K29" s="22" t="s">
        <v>1143</v>
      </c>
      <c r="L29" s="22" t="s">
        <v>1144</v>
      </c>
      <c r="M29" s="22" t="s">
        <v>1145</v>
      </c>
      <c r="N29" s="53">
        <v>45485</v>
      </c>
      <c r="O29" s="22">
        <f>INDEX(Auxiliar!$D$5:$F$13,MATCH(Table1[[#This Row],[Tipologia_Testes]],Auxiliar!$B$5:$B$13,0),MATCH(Table1[[#This Row],[Complexidade]],Auxiliar!$D$4:$F$4,0))</f>
        <v>1</v>
      </c>
      <c r="P29" s="3"/>
      <c r="Q29" s="3"/>
      <c r="R29" s="173">
        <v>45261</v>
      </c>
      <c r="S29" s="173"/>
      <c r="T29" s="173"/>
      <c r="U29" s="173"/>
      <c r="V29" s="173"/>
      <c r="W29" s="3">
        <f>VLOOKUP(Table1[[#This Row],[Status]],Auxiliar!$B$16:$D$23,3,0)*Table1[[#This Row],[Estimação (horas)]]</f>
        <v>1</v>
      </c>
      <c r="X29" s="3"/>
    </row>
    <row r="30" spans="2:24" ht="17.399999999999999" hidden="1" customHeight="1">
      <c r="B30" s="14" t="s">
        <v>32</v>
      </c>
      <c r="C30" s="14" t="s">
        <v>32</v>
      </c>
      <c r="D30" s="3" t="s">
        <v>387</v>
      </c>
      <c r="E30" s="3" t="s">
        <v>38</v>
      </c>
      <c r="F30" s="3" t="s">
        <v>439</v>
      </c>
      <c r="G30" s="3" t="s">
        <v>441</v>
      </c>
      <c r="H30" s="63" t="str">
        <f>Table1[[#This Row],[Tabela]]&amp;Table1[[#This Row],[Campo]]</f>
        <v>lt002_insrmntprvsns_off_blnc_sht</v>
      </c>
      <c r="I30" s="4" t="s">
        <v>477</v>
      </c>
      <c r="J30" s="59">
        <f>VLOOKUP(Table1[[#This Row],[Status]],Auxiliar!$B$16:$C$23,2,0)</f>
        <v>1</v>
      </c>
      <c r="K30" s="22" t="s">
        <v>1143</v>
      </c>
      <c r="L30" s="22" t="s">
        <v>1144</v>
      </c>
      <c r="M30" s="22" t="s">
        <v>1145</v>
      </c>
      <c r="N30" s="53">
        <v>45485</v>
      </c>
      <c r="O30" s="22">
        <f>INDEX(Auxiliar!$D$5:$F$13,MATCH(Table1[[#This Row],[Tipologia_Testes]],Auxiliar!$B$5:$B$13,0),MATCH(Table1[[#This Row],[Complexidade]],Auxiliar!$D$4:$F$4,0))</f>
        <v>1</v>
      </c>
      <c r="P30" s="3"/>
      <c r="Q30" s="3"/>
      <c r="R30" s="173">
        <v>45261</v>
      </c>
      <c r="S30" s="173"/>
      <c r="T30" s="173"/>
      <c r="U30" s="173"/>
      <c r="V30" s="173"/>
      <c r="W30" s="3">
        <f>VLOOKUP(Table1[[#This Row],[Status]],Auxiliar!$B$16:$D$23,3,0)*Table1[[#This Row],[Estimação (horas)]]</f>
        <v>1</v>
      </c>
      <c r="X30" s="3"/>
    </row>
    <row r="31" spans="2:24" ht="17.399999999999999" hidden="1" customHeight="1">
      <c r="B31" s="14" t="s">
        <v>32</v>
      </c>
      <c r="C31" s="14" t="s">
        <v>32</v>
      </c>
      <c r="D31" s="3" t="s">
        <v>387</v>
      </c>
      <c r="E31" s="3" t="s">
        <v>38</v>
      </c>
      <c r="F31" s="3" t="s">
        <v>439</v>
      </c>
      <c r="G31" s="3" t="s">
        <v>403</v>
      </c>
      <c r="H31" s="63" t="str">
        <f>Table1[[#This Row],[Tabela]]&amp;Table1[[#This Row],[Campo]]</f>
        <v>lt002_insrmntsubportfolio_id</v>
      </c>
      <c r="I31" s="4" t="s">
        <v>477</v>
      </c>
      <c r="J31" s="59">
        <f>VLOOKUP(Table1[[#This Row],[Status]],Auxiliar!$B$16:$C$23,2,0)</f>
        <v>1</v>
      </c>
      <c r="K31" s="22" t="s">
        <v>1143</v>
      </c>
      <c r="L31" s="22" t="s">
        <v>1144</v>
      </c>
      <c r="M31" s="22" t="s">
        <v>1145</v>
      </c>
      <c r="N31" s="53">
        <v>45485</v>
      </c>
      <c r="O31" s="22">
        <f>INDEX(Auxiliar!$D$5:$F$13,MATCH(Table1[[#This Row],[Tipologia_Testes]],Auxiliar!$B$5:$B$13,0),MATCH(Table1[[#This Row],[Complexidade]],Auxiliar!$D$4:$F$4,0))</f>
        <v>1</v>
      </c>
      <c r="P31" s="3"/>
      <c r="Q31" s="3"/>
      <c r="R31" s="173">
        <v>45261</v>
      </c>
      <c r="S31" s="173"/>
      <c r="T31" s="173"/>
      <c r="U31" s="173"/>
      <c r="V31" s="173"/>
      <c r="W31" s="3">
        <f>VLOOKUP(Table1[[#This Row],[Status]],Auxiliar!$B$16:$D$23,3,0)*Table1[[#This Row],[Estimação (horas)]]</f>
        <v>1</v>
      </c>
      <c r="X31" s="3"/>
    </row>
    <row r="32" spans="2:24" ht="17.399999999999999" hidden="1" customHeight="1">
      <c r="B32" s="14" t="s">
        <v>32</v>
      </c>
      <c r="C32" s="14" t="s">
        <v>32</v>
      </c>
      <c r="D32" s="3" t="s">
        <v>387</v>
      </c>
      <c r="E32" s="3" t="s">
        <v>38</v>
      </c>
      <c r="F32" s="3" t="s">
        <v>439</v>
      </c>
      <c r="G32" s="3" t="s">
        <v>394</v>
      </c>
      <c r="H32" s="63" t="str">
        <f>Table1[[#This Row],[Tabela]]&amp;Table1[[#This Row],[Campo]]</f>
        <v>lt002_insrmnttyp_instrmnt</v>
      </c>
      <c r="I32" s="4" t="s">
        <v>477</v>
      </c>
      <c r="J32" s="59">
        <f>VLOOKUP(Table1[[#This Row],[Status]],Auxiliar!$B$16:$C$23,2,0)</f>
        <v>1</v>
      </c>
      <c r="K32" s="22" t="s">
        <v>1143</v>
      </c>
      <c r="L32" s="22" t="s">
        <v>1144</v>
      </c>
      <c r="M32" s="22" t="s">
        <v>1145</v>
      </c>
      <c r="N32" s="53">
        <v>45485</v>
      </c>
      <c r="O32" s="22">
        <f>INDEX(Auxiliar!$D$5:$F$13,MATCH(Table1[[#This Row],[Tipologia_Testes]],Auxiliar!$B$5:$B$13,0),MATCH(Table1[[#This Row],[Complexidade]],Auxiliar!$D$4:$F$4,0))</f>
        <v>1</v>
      </c>
      <c r="P32" s="3"/>
      <c r="Q32" s="3"/>
      <c r="R32" s="173">
        <v>45261</v>
      </c>
      <c r="S32" s="173"/>
      <c r="T32" s="173"/>
      <c r="U32" s="173"/>
      <c r="V32" s="173"/>
      <c r="W32" s="3">
        <f>VLOOKUP(Table1[[#This Row],[Status]],Auxiliar!$B$16:$D$23,3,0)*Table1[[#This Row],[Estimação (horas)]]</f>
        <v>1</v>
      </c>
      <c r="X32" s="3"/>
    </row>
    <row r="33" spans="2:24" ht="17.399999999999999" hidden="1" customHeight="1">
      <c r="B33" s="14" t="s">
        <v>32</v>
      </c>
      <c r="C33" s="14" t="s">
        <v>32</v>
      </c>
      <c r="D33" s="3" t="s">
        <v>387</v>
      </c>
      <c r="E33" s="3" t="s">
        <v>38</v>
      </c>
      <c r="F33" s="3" t="s">
        <v>439</v>
      </c>
      <c r="G33" s="3" t="s">
        <v>442</v>
      </c>
      <c r="H33" s="63" t="str">
        <f>Table1[[#This Row],[Tabela]]&amp;Table1[[#This Row],[Campo]]</f>
        <v>lt002_insrmntrwa</v>
      </c>
      <c r="I33" s="4" t="s">
        <v>477</v>
      </c>
      <c r="J33" s="59">
        <f>VLOOKUP(Table1[[#This Row],[Status]],Auxiliar!$B$16:$C$23,2,0)</f>
        <v>1</v>
      </c>
      <c r="K33" s="22" t="s">
        <v>1143</v>
      </c>
      <c r="L33" s="22" t="s">
        <v>1144</v>
      </c>
      <c r="M33" s="22" t="s">
        <v>1145</v>
      </c>
      <c r="N33" s="53">
        <v>45485</v>
      </c>
      <c r="O33" s="22">
        <f>INDEX(Auxiliar!$D$5:$F$13,MATCH(Table1[[#This Row],[Tipologia_Testes]],Auxiliar!$B$5:$B$13,0),MATCH(Table1[[#This Row],[Complexidade]],Auxiliar!$D$4:$F$4,0))</f>
        <v>1</v>
      </c>
      <c r="P33" s="3"/>
      <c r="Q33" s="3"/>
      <c r="R33" s="173">
        <v>45261</v>
      </c>
      <c r="S33" s="173"/>
      <c r="T33" s="173"/>
      <c r="U33" s="173"/>
      <c r="V33" s="173"/>
      <c r="W33" s="3">
        <f>VLOOKUP(Table1[[#This Row],[Status]],Auxiliar!$B$16:$D$23,3,0)*Table1[[#This Row],[Estimação (horas)]]</f>
        <v>1</v>
      </c>
      <c r="X33" s="3"/>
    </row>
    <row r="34" spans="2:24" ht="17.399999999999999" hidden="1" customHeight="1">
      <c r="B34" s="14" t="s">
        <v>32</v>
      </c>
      <c r="C34" s="14" t="s">
        <v>32</v>
      </c>
      <c r="D34" s="3" t="s">
        <v>387</v>
      </c>
      <c r="E34" s="3" t="s">
        <v>38</v>
      </c>
      <c r="F34" s="3" t="s">
        <v>439</v>
      </c>
      <c r="G34" s="3" t="s">
        <v>443</v>
      </c>
      <c r="H34" s="63" t="str">
        <f>Table1[[#This Row],[Tabela]]&amp;Table1[[#This Row],[Campo]]</f>
        <v>lt002_insrmntcod_soc_intrgrp</v>
      </c>
      <c r="I34" s="4" t="s">
        <v>477</v>
      </c>
      <c r="J34" s="59">
        <f>VLOOKUP(Table1[[#This Row],[Status]],Auxiliar!$B$16:$C$23,2,0)</f>
        <v>1</v>
      </c>
      <c r="K34" s="22" t="s">
        <v>1143</v>
      </c>
      <c r="L34" s="22" t="s">
        <v>1144</v>
      </c>
      <c r="M34" s="22" t="s">
        <v>1145</v>
      </c>
      <c r="N34" s="53">
        <v>45485</v>
      </c>
      <c r="O34" s="22">
        <f>INDEX(Auxiliar!$D$5:$F$13,MATCH(Table1[[#This Row],[Tipologia_Testes]],Auxiliar!$B$5:$B$13,0),MATCH(Table1[[#This Row],[Complexidade]],Auxiliar!$D$4:$F$4,0))</f>
        <v>1</v>
      </c>
      <c r="P34" s="3"/>
      <c r="Q34" s="3"/>
      <c r="R34" s="173">
        <v>45261</v>
      </c>
      <c r="S34" s="173"/>
      <c r="T34" s="173"/>
      <c r="U34" s="173"/>
      <c r="V34" s="173"/>
      <c r="W34" s="3">
        <f>VLOOKUP(Table1[[#This Row],[Status]],Auxiliar!$B$16:$D$23,3,0)*Table1[[#This Row],[Estimação (horas)]]</f>
        <v>1</v>
      </c>
      <c r="X34" s="3"/>
    </row>
    <row r="35" spans="2:24" ht="17.399999999999999" hidden="1" customHeight="1">
      <c r="B35" s="14" t="s">
        <v>32</v>
      </c>
      <c r="C35" s="14" t="s">
        <v>32</v>
      </c>
      <c r="D35" s="3" t="s">
        <v>1149</v>
      </c>
      <c r="E35" s="3" t="s">
        <v>38</v>
      </c>
      <c r="F35" s="3" t="s">
        <v>439</v>
      </c>
      <c r="G35" s="3" t="s">
        <v>444</v>
      </c>
      <c r="H35" s="63" t="str">
        <f>Table1[[#This Row],[Tabela]]&amp;Table1[[#This Row],[Campo]]</f>
        <v>lt002_insrmntbsnss_area_dstntn</v>
      </c>
      <c r="I35" s="4" t="s">
        <v>477</v>
      </c>
      <c r="J35" s="59">
        <f>VLOOKUP(Table1[[#This Row],[Status]],Auxiliar!$B$16:$C$23,2,0)</f>
        <v>1</v>
      </c>
      <c r="K35" s="22" t="s">
        <v>1137</v>
      </c>
      <c r="L35" s="22" t="s">
        <v>1144</v>
      </c>
      <c r="M35" s="22" t="s">
        <v>1145</v>
      </c>
      <c r="N35" s="53">
        <v>45485</v>
      </c>
      <c r="O35" s="22">
        <f>INDEX(Auxiliar!$D$5:$F$13,MATCH(Table1[[#This Row],[Tipologia_Testes]],Auxiliar!$B$5:$B$13,0),MATCH(Table1[[#This Row],[Complexidade]],Auxiliar!$D$4:$F$4,0))</f>
        <v>2</v>
      </c>
      <c r="P35" s="3"/>
      <c r="Q35" s="3"/>
      <c r="R35" s="173">
        <v>45261</v>
      </c>
      <c r="S35" s="173"/>
      <c r="T35" s="173"/>
      <c r="U35" s="173"/>
      <c r="V35" s="173"/>
      <c r="W35" s="3">
        <f>VLOOKUP(Table1[[#This Row],[Status]],Auxiliar!$B$16:$D$23,3,0)*Table1[[#This Row],[Estimação (horas)]]</f>
        <v>2</v>
      </c>
      <c r="X35" s="3"/>
    </row>
    <row r="36" spans="2:24" ht="17.399999999999999" hidden="1" customHeight="1">
      <c r="B36" s="14" t="s">
        <v>32</v>
      </c>
      <c r="C36" s="14" t="s">
        <v>32</v>
      </c>
      <c r="D36" s="3" t="s">
        <v>1149</v>
      </c>
      <c r="E36" s="3" t="s">
        <v>38</v>
      </c>
      <c r="F36" s="3" t="s">
        <v>439</v>
      </c>
      <c r="G36" s="3" t="s">
        <v>444</v>
      </c>
      <c r="H36" s="63" t="str">
        <f>Table1[[#This Row],[Tabela]]&amp;Table1[[#This Row],[Campo]]</f>
        <v>lt002_insrmntbsnss_area_dstntn</v>
      </c>
      <c r="I36" s="4" t="s">
        <v>477</v>
      </c>
      <c r="J36" s="59">
        <f>VLOOKUP(Table1[[#This Row],[Status]],Auxiliar!$B$16:$C$23,2,0)</f>
        <v>1</v>
      </c>
      <c r="K36" s="22" t="s">
        <v>1138</v>
      </c>
      <c r="L36" s="22" t="s">
        <v>1144</v>
      </c>
      <c r="M36" s="22" t="s">
        <v>1145</v>
      </c>
      <c r="N36" s="53">
        <v>45485</v>
      </c>
      <c r="O36" s="22">
        <f>INDEX(Auxiliar!$D$5:$F$13,MATCH(Table1[[#This Row],[Tipologia_Testes]],Auxiliar!$B$5:$B$13,0),MATCH(Table1[[#This Row],[Complexidade]],Auxiliar!$D$4:$F$4,0))</f>
        <v>2</v>
      </c>
      <c r="P36" s="3"/>
      <c r="Q36" s="3"/>
      <c r="R36" s="173">
        <v>45261</v>
      </c>
      <c r="S36" s="173"/>
      <c r="T36" s="173"/>
      <c r="U36" s="173"/>
      <c r="V36" s="173"/>
      <c r="W36" s="3">
        <f>VLOOKUP(Table1[[#This Row],[Status]],Auxiliar!$B$16:$D$23,3,0)*Table1[[#This Row],[Estimação (horas)]]</f>
        <v>2</v>
      </c>
      <c r="X36" s="3"/>
    </row>
    <row r="37" spans="2:24" ht="17.399999999999999" hidden="1" customHeight="1">
      <c r="B37" s="14" t="s">
        <v>32</v>
      </c>
      <c r="C37" s="14" t="s">
        <v>32</v>
      </c>
      <c r="D37" s="3" t="s">
        <v>1149</v>
      </c>
      <c r="E37" s="3" t="s">
        <v>38</v>
      </c>
      <c r="F37" s="3" t="s">
        <v>439</v>
      </c>
      <c r="G37" s="3" t="s">
        <v>444</v>
      </c>
      <c r="H37" s="63" t="str">
        <f>Table1[[#This Row],[Tabela]]&amp;Table1[[#This Row],[Campo]]</f>
        <v>lt002_insrmntbsnss_area_dstntn</v>
      </c>
      <c r="I37" s="4" t="s">
        <v>477</v>
      </c>
      <c r="J37" s="59">
        <f>VLOOKUP(Table1[[#This Row],[Status]],Auxiliar!$B$16:$C$23,2,0)</f>
        <v>1</v>
      </c>
      <c r="K37" s="22" t="s">
        <v>1141</v>
      </c>
      <c r="L37" s="22" t="s">
        <v>1144</v>
      </c>
      <c r="M37" s="22" t="s">
        <v>1145</v>
      </c>
      <c r="N37" s="53">
        <v>45485</v>
      </c>
      <c r="O37" s="22">
        <f>INDEX(Auxiliar!$D$5:$F$13,MATCH(Table1[[#This Row],[Tipologia_Testes]],Auxiliar!$B$5:$B$13,0),MATCH(Table1[[#This Row],[Complexidade]],Auxiliar!$D$4:$F$4,0))</f>
        <v>0.1</v>
      </c>
      <c r="P37" s="3"/>
      <c r="Q37" s="3"/>
      <c r="R37" s="173">
        <v>45261</v>
      </c>
      <c r="S37" s="173"/>
      <c r="T37" s="173"/>
      <c r="U37" s="173"/>
      <c r="V37" s="173"/>
      <c r="W37" s="3">
        <f>VLOOKUP(Table1[[#This Row],[Status]],Auxiliar!$B$16:$D$23,3,0)*Table1[[#This Row],[Estimação (horas)]]</f>
        <v>0.1</v>
      </c>
      <c r="X37" s="3"/>
    </row>
    <row r="38" spans="2:24" ht="17.399999999999999" hidden="1" customHeight="1">
      <c r="B38" s="14" t="s">
        <v>32</v>
      </c>
      <c r="C38" s="14" t="s">
        <v>32</v>
      </c>
      <c r="D38" s="3" t="s">
        <v>1149</v>
      </c>
      <c r="E38" s="3" t="s">
        <v>38</v>
      </c>
      <c r="F38" s="3" t="s">
        <v>439</v>
      </c>
      <c r="G38" s="3" t="s">
        <v>444</v>
      </c>
      <c r="H38" s="63" t="str">
        <f>Table1[[#This Row],[Tabela]]&amp;Table1[[#This Row],[Campo]]</f>
        <v>lt002_insrmntbsnss_area_dstntn</v>
      </c>
      <c r="I38" s="4" t="s">
        <v>477</v>
      </c>
      <c r="J38" s="59">
        <f>VLOOKUP(Table1[[#This Row],[Status]],Auxiliar!$B$16:$C$23,2,0)</f>
        <v>1</v>
      </c>
      <c r="K38" s="22" t="s">
        <v>1142</v>
      </c>
      <c r="L38" s="22" t="s">
        <v>1144</v>
      </c>
      <c r="M38" s="22" t="s">
        <v>1145</v>
      </c>
      <c r="N38" s="53">
        <v>45485</v>
      </c>
      <c r="O38" s="22">
        <f>INDEX(Auxiliar!$D$5:$F$13,MATCH(Table1[[#This Row],[Tipologia_Testes]],Auxiliar!$B$5:$B$13,0),MATCH(Table1[[#This Row],[Complexidade]],Auxiliar!$D$4:$F$4,0))</f>
        <v>1</v>
      </c>
      <c r="P38" s="3"/>
      <c r="Q38" s="3"/>
      <c r="R38" s="173">
        <v>45261</v>
      </c>
      <c r="S38" s="173"/>
      <c r="T38" s="173"/>
      <c r="U38" s="173"/>
      <c r="V38" s="173"/>
      <c r="W38" s="3">
        <f>VLOOKUP(Table1[[#This Row],[Status]],Auxiliar!$B$16:$D$23,3,0)*Table1[[#This Row],[Estimação (horas)]]</f>
        <v>1</v>
      </c>
      <c r="X38" s="3"/>
    </row>
    <row r="39" spans="2:24" ht="17.399999999999999" hidden="1" customHeight="1">
      <c r="B39" s="14" t="s">
        <v>32</v>
      </c>
      <c r="C39" s="14" t="s">
        <v>32</v>
      </c>
      <c r="D39" s="3" t="s">
        <v>1149</v>
      </c>
      <c r="E39" s="3" t="s">
        <v>38</v>
      </c>
      <c r="F39" s="3" t="s">
        <v>439</v>
      </c>
      <c r="G39" s="3" t="s">
        <v>445</v>
      </c>
      <c r="H39" s="63" t="str">
        <f>Table1[[#This Row],[Tabela]]&amp;Table1[[#This Row],[Campo]]</f>
        <v>lt002_insrmntflg_intrbsnss</v>
      </c>
      <c r="I39" s="4" t="s">
        <v>477</v>
      </c>
      <c r="J39" s="59">
        <f>VLOOKUP(Table1[[#This Row],[Status]],Auxiliar!$B$16:$C$23,2,0)</f>
        <v>1</v>
      </c>
      <c r="K39" s="22" t="s">
        <v>1137</v>
      </c>
      <c r="L39" s="22" t="s">
        <v>1144</v>
      </c>
      <c r="M39" s="22" t="s">
        <v>1145</v>
      </c>
      <c r="N39" s="53">
        <v>45485</v>
      </c>
      <c r="O39" s="22">
        <f>INDEX(Auxiliar!$D$5:$F$13,MATCH(Table1[[#This Row],[Tipologia_Testes]],Auxiliar!$B$5:$B$13,0),MATCH(Table1[[#This Row],[Complexidade]],Auxiliar!$D$4:$F$4,0))</f>
        <v>2</v>
      </c>
      <c r="P39" s="3"/>
      <c r="Q39" s="3"/>
      <c r="R39" s="173">
        <v>45261</v>
      </c>
      <c r="S39" s="173"/>
      <c r="T39" s="173"/>
      <c r="U39" s="173"/>
      <c r="V39" s="173"/>
      <c r="W39" s="3">
        <f>VLOOKUP(Table1[[#This Row],[Status]],Auxiliar!$B$16:$D$23,3,0)*Table1[[#This Row],[Estimação (horas)]]</f>
        <v>2</v>
      </c>
      <c r="X39" s="3"/>
    </row>
    <row r="40" spans="2:24" ht="17.399999999999999" hidden="1" customHeight="1">
      <c r="B40" s="14" t="s">
        <v>32</v>
      </c>
      <c r="C40" s="14" t="s">
        <v>32</v>
      </c>
      <c r="D40" s="3" t="s">
        <v>1149</v>
      </c>
      <c r="E40" s="3" t="s">
        <v>38</v>
      </c>
      <c r="F40" s="3" t="s">
        <v>439</v>
      </c>
      <c r="G40" s="3" t="s">
        <v>445</v>
      </c>
      <c r="H40" s="63" t="str">
        <f>Table1[[#This Row],[Tabela]]&amp;Table1[[#This Row],[Campo]]</f>
        <v>lt002_insrmntflg_intrbsnss</v>
      </c>
      <c r="I40" s="4" t="s">
        <v>477</v>
      </c>
      <c r="J40" s="59">
        <f>VLOOKUP(Table1[[#This Row],[Status]],Auxiliar!$B$16:$C$23,2,0)</f>
        <v>1</v>
      </c>
      <c r="K40" s="22" t="s">
        <v>1138</v>
      </c>
      <c r="L40" s="22" t="s">
        <v>1144</v>
      </c>
      <c r="M40" s="22" t="s">
        <v>1145</v>
      </c>
      <c r="N40" s="53">
        <v>45485</v>
      </c>
      <c r="O40" s="22">
        <f>INDEX(Auxiliar!$D$5:$F$13,MATCH(Table1[[#This Row],[Tipologia_Testes]],Auxiliar!$B$5:$B$13,0),MATCH(Table1[[#This Row],[Complexidade]],Auxiliar!$D$4:$F$4,0))</f>
        <v>2</v>
      </c>
      <c r="P40" s="3"/>
      <c r="Q40" s="3"/>
      <c r="R40" s="173">
        <v>45261</v>
      </c>
      <c r="S40" s="173"/>
      <c r="T40" s="173"/>
      <c r="U40" s="173"/>
      <c r="V40" s="173"/>
      <c r="W40" s="3">
        <f>VLOOKUP(Table1[[#This Row],[Status]],Auxiliar!$B$16:$D$23,3,0)*Table1[[#This Row],[Estimação (horas)]]</f>
        <v>2</v>
      </c>
      <c r="X40" s="3"/>
    </row>
    <row r="41" spans="2:24" ht="17.399999999999999" hidden="1" customHeight="1">
      <c r="B41" s="14" t="s">
        <v>32</v>
      </c>
      <c r="C41" s="14" t="s">
        <v>32</v>
      </c>
      <c r="D41" s="3" t="s">
        <v>1149</v>
      </c>
      <c r="E41" s="3" t="s">
        <v>38</v>
      </c>
      <c r="F41" s="3" t="s">
        <v>439</v>
      </c>
      <c r="G41" s="3" t="s">
        <v>445</v>
      </c>
      <c r="H41" s="63" t="str">
        <f>Table1[[#This Row],[Tabela]]&amp;Table1[[#This Row],[Campo]]</f>
        <v>lt002_insrmntflg_intrbsnss</v>
      </c>
      <c r="I41" s="4" t="s">
        <v>477</v>
      </c>
      <c r="J41" s="59">
        <f>VLOOKUP(Table1[[#This Row],[Status]],Auxiliar!$B$16:$C$23,2,0)</f>
        <v>1</v>
      </c>
      <c r="K41" s="22" t="s">
        <v>1141</v>
      </c>
      <c r="L41" s="22" t="s">
        <v>1144</v>
      </c>
      <c r="M41" s="22" t="s">
        <v>1145</v>
      </c>
      <c r="N41" s="53">
        <v>45485</v>
      </c>
      <c r="O41" s="22">
        <f>INDEX(Auxiliar!$D$5:$F$13,MATCH(Table1[[#This Row],[Tipologia_Testes]],Auxiliar!$B$5:$B$13,0),MATCH(Table1[[#This Row],[Complexidade]],Auxiliar!$D$4:$F$4,0))</f>
        <v>0.1</v>
      </c>
      <c r="P41" s="3"/>
      <c r="Q41" s="3"/>
      <c r="R41" s="173">
        <v>45261</v>
      </c>
      <c r="S41" s="173"/>
      <c r="T41" s="173"/>
      <c r="U41" s="173"/>
      <c r="V41" s="173"/>
      <c r="W41" s="3">
        <f>VLOOKUP(Table1[[#This Row],[Status]],Auxiliar!$B$16:$D$23,3,0)*Table1[[#This Row],[Estimação (horas)]]</f>
        <v>0.1</v>
      </c>
      <c r="X41" s="3"/>
    </row>
    <row r="42" spans="2:24" ht="17.399999999999999" hidden="1" customHeight="1">
      <c r="B42" s="14" t="s">
        <v>32</v>
      </c>
      <c r="C42" s="14" t="s">
        <v>32</v>
      </c>
      <c r="D42" s="3" t="s">
        <v>1149</v>
      </c>
      <c r="E42" s="3" t="s">
        <v>38</v>
      </c>
      <c r="F42" s="3" t="s">
        <v>439</v>
      </c>
      <c r="G42" s="3" t="s">
        <v>445</v>
      </c>
      <c r="H42" s="63" t="str">
        <f>Table1[[#This Row],[Tabela]]&amp;Table1[[#This Row],[Campo]]</f>
        <v>lt002_insrmntflg_intrbsnss</v>
      </c>
      <c r="I42" s="4" t="s">
        <v>477</v>
      </c>
      <c r="J42" s="59">
        <f>VLOOKUP(Table1[[#This Row],[Status]],Auxiliar!$B$16:$C$23,2,0)</f>
        <v>1</v>
      </c>
      <c r="K42" s="22" t="s">
        <v>1142</v>
      </c>
      <c r="L42" s="22" t="s">
        <v>1144</v>
      </c>
      <c r="M42" s="22" t="s">
        <v>1145</v>
      </c>
      <c r="N42" s="53">
        <v>45485</v>
      </c>
      <c r="O42" s="22">
        <f>INDEX(Auxiliar!$D$5:$F$13,MATCH(Table1[[#This Row],[Tipologia_Testes]],Auxiliar!$B$5:$B$13,0),MATCH(Table1[[#This Row],[Complexidade]],Auxiliar!$D$4:$F$4,0))</f>
        <v>1</v>
      </c>
      <c r="P42" s="3"/>
      <c r="Q42" s="3"/>
      <c r="R42" s="173">
        <v>45261</v>
      </c>
      <c r="S42" s="173"/>
      <c r="T42" s="173"/>
      <c r="U42" s="173"/>
      <c r="V42" s="173"/>
      <c r="W42" s="3">
        <f>VLOOKUP(Table1[[#This Row],[Status]],Auxiliar!$B$16:$D$23,3,0)*Table1[[#This Row],[Estimação (horas)]]</f>
        <v>1</v>
      </c>
      <c r="X42" s="3"/>
    </row>
    <row r="43" spans="2:24" ht="17.399999999999999" hidden="1" customHeight="1">
      <c r="B43" s="14" t="s">
        <v>32</v>
      </c>
      <c r="C43" s="14" t="s">
        <v>32</v>
      </c>
      <c r="D43" s="3" t="s">
        <v>1149</v>
      </c>
      <c r="E43" s="3" t="s">
        <v>38</v>
      </c>
      <c r="F43" s="3" t="s">
        <v>439</v>
      </c>
      <c r="G43" s="3" t="s">
        <v>446</v>
      </c>
      <c r="H43" s="63" t="str">
        <f>Table1[[#This Row],[Tabela]]&amp;Table1[[#This Row],[Campo]]</f>
        <v>lt002_insrmntintrbsnss_adj_cod</v>
      </c>
      <c r="I43" s="4" t="s">
        <v>477</v>
      </c>
      <c r="J43" s="59">
        <f>VLOOKUP(Table1[[#This Row],[Status]],Auxiliar!$B$16:$C$23,2,0)</f>
        <v>1</v>
      </c>
      <c r="K43" s="22" t="s">
        <v>1137</v>
      </c>
      <c r="L43" s="22" t="s">
        <v>1144</v>
      </c>
      <c r="M43" s="22" t="s">
        <v>1145</v>
      </c>
      <c r="N43" s="53">
        <v>45485</v>
      </c>
      <c r="O43" s="22">
        <f>INDEX(Auxiliar!$D$5:$F$13,MATCH(Table1[[#This Row],[Tipologia_Testes]],Auxiliar!$B$5:$B$13,0),MATCH(Table1[[#This Row],[Complexidade]],Auxiliar!$D$4:$F$4,0))</f>
        <v>2</v>
      </c>
      <c r="P43" s="3"/>
      <c r="Q43" s="3"/>
      <c r="R43" s="173">
        <v>45261</v>
      </c>
      <c r="S43" s="173"/>
      <c r="T43" s="173"/>
      <c r="U43" s="173"/>
      <c r="V43" s="173"/>
      <c r="W43" s="3">
        <f>VLOOKUP(Table1[[#This Row],[Status]],Auxiliar!$B$16:$D$23,3,0)*Table1[[#This Row],[Estimação (horas)]]</f>
        <v>2</v>
      </c>
      <c r="X43" s="3"/>
    </row>
    <row r="44" spans="2:24" ht="17.399999999999999" hidden="1" customHeight="1">
      <c r="B44" s="14" t="s">
        <v>32</v>
      </c>
      <c r="C44" s="14" t="s">
        <v>32</v>
      </c>
      <c r="D44" s="3" t="s">
        <v>1149</v>
      </c>
      <c r="E44" s="3" t="s">
        <v>38</v>
      </c>
      <c r="F44" s="3" t="s">
        <v>439</v>
      </c>
      <c r="G44" s="3" t="s">
        <v>446</v>
      </c>
      <c r="H44" s="63" t="str">
        <f>Table1[[#This Row],[Tabela]]&amp;Table1[[#This Row],[Campo]]</f>
        <v>lt002_insrmntintrbsnss_adj_cod</v>
      </c>
      <c r="I44" s="4" t="s">
        <v>477</v>
      </c>
      <c r="J44" s="59">
        <f>VLOOKUP(Table1[[#This Row],[Status]],Auxiliar!$B$16:$C$23,2,0)</f>
        <v>1</v>
      </c>
      <c r="K44" s="22" t="s">
        <v>1138</v>
      </c>
      <c r="L44" s="22" t="s">
        <v>1144</v>
      </c>
      <c r="M44" s="22" t="s">
        <v>1145</v>
      </c>
      <c r="N44" s="53">
        <v>45485</v>
      </c>
      <c r="O44" s="22">
        <f>INDEX(Auxiliar!$D$5:$F$13,MATCH(Table1[[#This Row],[Tipologia_Testes]],Auxiliar!$B$5:$B$13,0),MATCH(Table1[[#This Row],[Complexidade]],Auxiliar!$D$4:$F$4,0))</f>
        <v>2</v>
      </c>
      <c r="P44" s="3"/>
      <c r="Q44" s="3"/>
      <c r="R44" s="173">
        <v>45261</v>
      </c>
      <c r="S44" s="173"/>
      <c r="T44" s="173"/>
      <c r="U44" s="173"/>
      <c r="V44" s="173"/>
      <c r="W44" s="3">
        <f>VLOOKUP(Table1[[#This Row],[Status]],Auxiliar!$B$16:$D$23,3,0)*Table1[[#This Row],[Estimação (horas)]]</f>
        <v>2</v>
      </c>
      <c r="X44" s="3"/>
    </row>
    <row r="45" spans="2:24" ht="17.399999999999999" hidden="1" customHeight="1">
      <c r="B45" s="14" t="s">
        <v>32</v>
      </c>
      <c r="C45" s="14" t="s">
        <v>32</v>
      </c>
      <c r="D45" s="3" t="s">
        <v>1149</v>
      </c>
      <c r="E45" s="3" t="s">
        <v>38</v>
      </c>
      <c r="F45" s="3" t="s">
        <v>439</v>
      </c>
      <c r="G45" s="3" t="s">
        <v>446</v>
      </c>
      <c r="H45" s="63" t="str">
        <f>Table1[[#This Row],[Tabela]]&amp;Table1[[#This Row],[Campo]]</f>
        <v>lt002_insrmntintrbsnss_adj_cod</v>
      </c>
      <c r="I45" s="4" t="s">
        <v>477</v>
      </c>
      <c r="J45" s="59">
        <f>VLOOKUP(Table1[[#This Row],[Status]],Auxiliar!$B$16:$C$23,2,0)</f>
        <v>1</v>
      </c>
      <c r="K45" s="22" t="s">
        <v>1141</v>
      </c>
      <c r="L45" s="22" t="s">
        <v>1144</v>
      </c>
      <c r="M45" s="22" t="s">
        <v>1145</v>
      </c>
      <c r="N45" s="53">
        <v>45485</v>
      </c>
      <c r="O45" s="22">
        <f>INDEX(Auxiliar!$D$5:$F$13,MATCH(Table1[[#This Row],[Tipologia_Testes]],Auxiliar!$B$5:$B$13,0),MATCH(Table1[[#This Row],[Complexidade]],Auxiliar!$D$4:$F$4,0))</f>
        <v>0.1</v>
      </c>
      <c r="P45" s="3"/>
      <c r="Q45" s="3"/>
      <c r="R45" s="173">
        <v>45261</v>
      </c>
      <c r="S45" s="173"/>
      <c r="T45" s="173"/>
      <c r="U45" s="173"/>
      <c r="V45" s="173"/>
      <c r="W45" s="3">
        <f>VLOOKUP(Table1[[#This Row],[Status]],Auxiliar!$B$16:$D$23,3,0)*Table1[[#This Row],[Estimação (horas)]]</f>
        <v>0.1</v>
      </c>
      <c r="X45" s="3"/>
    </row>
    <row r="46" spans="2:24" ht="17.399999999999999" hidden="1" customHeight="1">
      <c r="B46" s="14" t="s">
        <v>32</v>
      </c>
      <c r="C46" s="14" t="s">
        <v>32</v>
      </c>
      <c r="D46" s="3" t="s">
        <v>1149</v>
      </c>
      <c r="E46" s="3" t="s">
        <v>38</v>
      </c>
      <c r="F46" s="3" t="s">
        <v>439</v>
      </c>
      <c r="G46" s="3" t="s">
        <v>446</v>
      </c>
      <c r="H46" s="63" t="str">
        <f>Table1[[#This Row],[Tabela]]&amp;Table1[[#This Row],[Campo]]</f>
        <v>lt002_insrmntintrbsnss_adj_cod</v>
      </c>
      <c r="I46" s="4" t="s">
        <v>477</v>
      </c>
      <c r="J46" s="59">
        <f>VLOOKUP(Table1[[#This Row],[Status]],Auxiliar!$B$16:$C$23,2,0)</f>
        <v>1</v>
      </c>
      <c r="K46" s="22" t="s">
        <v>1142</v>
      </c>
      <c r="L46" s="22" t="s">
        <v>1144</v>
      </c>
      <c r="M46" s="22" t="s">
        <v>1145</v>
      </c>
      <c r="N46" s="53">
        <v>45485</v>
      </c>
      <c r="O46" s="22">
        <f>INDEX(Auxiliar!$D$5:$F$13,MATCH(Table1[[#This Row],[Tipologia_Testes]],Auxiliar!$B$5:$B$13,0),MATCH(Table1[[#This Row],[Complexidade]],Auxiliar!$D$4:$F$4,0))</f>
        <v>1</v>
      </c>
      <c r="P46" s="3"/>
      <c r="Q46" s="3"/>
      <c r="R46" s="173">
        <v>45261</v>
      </c>
      <c r="S46" s="173"/>
      <c r="T46" s="173"/>
      <c r="U46" s="173"/>
      <c r="V46" s="173"/>
      <c r="W46" s="3">
        <f>VLOOKUP(Table1[[#This Row],[Status]],Auxiliar!$B$16:$D$23,3,0)*Table1[[#This Row],[Estimação (horas)]]</f>
        <v>1</v>
      </c>
      <c r="X46" s="3"/>
    </row>
    <row r="47" spans="2:24" ht="17.399999999999999" hidden="1" customHeight="1">
      <c r="B47" s="14" t="s">
        <v>32</v>
      </c>
      <c r="C47" s="14" t="s">
        <v>32</v>
      </c>
      <c r="D47" s="3" t="s">
        <v>1149</v>
      </c>
      <c r="E47" s="3" t="s">
        <v>38</v>
      </c>
      <c r="F47" s="3" t="s">
        <v>439</v>
      </c>
      <c r="G47" s="3" t="s">
        <v>447</v>
      </c>
      <c r="H47" s="63" t="str">
        <f>Table1[[#This Row],[Tabela]]&amp;Table1[[#This Row],[Campo]]</f>
        <v>lt002_insrmntcod_soc_dstntn</v>
      </c>
      <c r="I47" s="4" t="s">
        <v>477</v>
      </c>
      <c r="J47" s="59">
        <f>VLOOKUP(Table1[[#This Row],[Status]],Auxiliar!$B$16:$C$23,2,0)</f>
        <v>1</v>
      </c>
      <c r="K47" s="22" t="s">
        <v>1137</v>
      </c>
      <c r="L47" s="22" t="s">
        <v>1144</v>
      </c>
      <c r="M47" s="22" t="s">
        <v>1145</v>
      </c>
      <c r="N47" s="53">
        <v>45485</v>
      </c>
      <c r="O47" s="22">
        <f>INDEX(Auxiliar!$D$5:$F$13,MATCH(Table1[[#This Row],[Tipologia_Testes]],Auxiliar!$B$5:$B$13,0),MATCH(Table1[[#This Row],[Complexidade]],Auxiliar!$D$4:$F$4,0))</f>
        <v>2</v>
      </c>
      <c r="P47" s="3"/>
      <c r="Q47" s="3"/>
      <c r="R47" s="173">
        <v>45261</v>
      </c>
      <c r="S47" s="173"/>
      <c r="T47" s="173"/>
      <c r="U47" s="173"/>
      <c r="V47" s="173"/>
      <c r="W47" s="3">
        <f>VLOOKUP(Table1[[#This Row],[Status]],Auxiliar!$B$16:$D$23,3,0)*Table1[[#This Row],[Estimação (horas)]]</f>
        <v>2</v>
      </c>
      <c r="X47" s="3"/>
    </row>
    <row r="48" spans="2:24" ht="17.399999999999999" hidden="1" customHeight="1">
      <c r="B48" s="14" t="s">
        <v>32</v>
      </c>
      <c r="C48" s="14" t="s">
        <v>32</v>
      </c>
      <c r="D48" s="3" t="s">
        <v>1149</v>
      </c>
      <c r="E48" s="3" t="s">
        <v>38</v>
      </c>
      <c r="F48" s="3" t="s">
        <v>439</v>
      </c>
      <c r="G48" s="3" t="s">
        <v>447</v>
      </c>
      <c r="H48" s="63" t="str">
        <f>Table1[[#This Row],[Tabela]]&amp;Table1[[#This Row],[Campo]]</f>
        <v>lt002_insrmntcod_soc_dstntn</v>
      </c>
      <c r="I48" s="4" t="s">
        <v>477</v>
      </c>
      <c r="J48" s="59">
        <f>VLOOKUP(Table1[[#This Row],[Status]],Auxiliar!$B$16:$C$23,2,0)</f>
        <v>1</v>
      </c>
      <c r="K48" s="22" t="s">
        <v>1138</v>
      </c>
      <c r="L48" s="22" t="s">
        <v>1144</v>
      </c>
      <c r="M48" s="22" t="s">
        <v>1145</v>
      </c>
      <c r="N48" s="53">
        <v>45485</v>
      </c>
      <c r="O48" s="22">
        <f>INDEX(Auxiliar!$D$5:$F$13,MATCH(Table1[[#This Row],[Tipologia_Testes]],Auxiliar!$B$5:$B$13,0),MATCH(Table1[[#This Row],[Complexidade]],Auxiliar!$D$4:$F$4,0))</f>
        <v>2</v>
      </c>
      <c r="P48" s="3"/>
      <c r="Q48" s="3"/>
      <c r="R48" s="173">
        <v>45261</v>
      </c>
      <c r="S48" s="173"/>
      <c r="T48" s="173"/>
      <c r="U48" s="173"/>
      <c r="V48" s="173"/>
      <c r="W48" s="3">
        <f>VLOOKUP(Table1[[#This Row],[Status]],Auxiliar!$B$16:$D$23,3,0)*Table1[[#This Row],[Estimação (horas)]]</f>
        <v>2</v>
      </c>
      <c r="X48" s="3"/>
    </row>
    <row r="49" spans="2:24" ht="17.399999999999999" hidden="1" customHeight="1">
      <c r="B49" s="14" t="s">
        <v>32</v>
      </c>
      <c r="C49" s="14" t="s">
        <v>32</v>
      </c>
      <c r="D49" s="3" t="s">
        <v>1149</v>
      </c>
      <c r="E49" s="3" t="s">
        <v>38</v>
      </c>
      <c r="F49" s="3" t="s">
        <v>439</v>
      </c>
      <c r="G49" s="3" t="s">
        <v>447</v>
      </c>
      <c r="H49" s="63" t="str">
        <f>Table1[[#This Row],[Tabela]]&amp;Table1[[#This Row],[Campo]]</f>
        <v>lt002_insrmntcod_soc_dstntn</v>
      </c>
      <c r="I49" s="4" t="s">
        <v>477</v>
      </c>
      <c r="J49" s="59">
        <f>VLOOKUP(Table1[[#This Row],[Status]],Auxiliar!$B$16:$C$23,2,0)</f>
        <v>1</v>
      </c>
      <c r="K49" s="22" t="s">
        <v>1141</v>
      </c>
      <c r="L49" s="22" t="s">
        <v>1144</v>
      </c>
      <c r="M49" s="22" t="s">
        <v>1145</v>
      </c>
      <c r="N49" s="53">
        <v>45485</v>
      </c>
      <c r="O49" s="22">
        <f>INDEX(Auxiliar!$D$5:$F$13,MATCH(Table1[[#This Row],[Tipologia_Testes]],Auxiliar!$B$5:$B$13,0),MATCH(Table1[[#This Row],[Complexidade]],Auxiliar!$D$4:$F$4,0))</f>
        <v>0.1</v>
      </c>
      <c r="P49" s="3"/>
      <c r="Q49" s="3"/>
      <c r="R49" s="173">
        <v>45261</v>
      </c>
      <c r="S49" s="173"/>
      <c r="T49" s="173"/>
      <c r="U49" s="173"/>
      <c r="V49" s="173"/>
      <c r="W49" s="3">
        <f>VLOOKUP(Table1[[#This Row],[Status]],Auxiliar!$B$16:$D$23,3,0)*Table1[[#This Row],[Estimação (horas)]]</f>
        <v>0.1</v>
      </c>
      <c r="X49" s="3"/>
    </row>
    <row r="50" spans="2:24" ht="17.399999999999999" hidden="1" customHeight="1">
      <c r="B50" s="14" t="s">
        <v>32</v>
      </c>
      <c r="C50" s="14" t="s">
        <v>32</v>
      </c>
      <c r="D50" s="3" t="s">
        <v>1149</v>
      </c>
      <c r="E50" s="3" t="s">
        <v>38</v>
      </c>
      <c r="F50" s="3" t="s">
        <v>439</v>
      </c>
      <c r="G50" s="3" t="s">
        <v>447</v>
      </c>
      <c r="H50" s="63" t="str">
        <f>Table1[[#This Row],[Tabela]]&amp;Table1[[#This Row],[Campo]]</f>
        <v>lt002_insrmntcod_soc_dstntn</v>
      </c>
      <c r="I50" s="4" t="s">
        <v>477</v>
      </c>
      <c r="J50" s="59">
        <f>VLOOKUP(Table1[[#This Row],[Status]],Auxiliar!$B$16:$C$23,2,0)</f>
        <v>1</v>
      </c>
      <c r="K50" s="22" t="s">
        <v>1142</v>
      </c>
      <c r="L50" s="22" t="s">
        <v>1144</v>
      </c>
      <c r="M50" s="22" t="s">
        <v>1145</v>
      </c>
      <c r="N50" s="53">
        <v>45485</v>
      </c>
      <c r="O50" s="22">
        <f>INDEX(Auxiliar!$D$5:$F$13,MATCH(Table1[[#This Row],[Tipologia_Testes]],Auxiliar!$B$5:$B$13,0),MATCH(Table1[[#This Row],[Complexidade]],Auxiliar!$D$4:$F$4,0))</f>
        <v>1</v>
      </c>
      <c r="P50" s="3"/>
      <c r="Q50" s="3"/>
      <c r="R50" s="173">
        <v>45261</v>
      </c>
      <c r="S50" s="173"/>
      <c r="T50" s="173"/>
      <c r="U50" s="173"/>
      <c r="V50" s="173"/>
      <c r="W50" s="3">
        <f>VLOOKUP(Table1[[#This Row],[Status]],Auxiliar!$B$16:$D$23,3,0)*Table1[[#This Row],[Estimação (horas)]]</f>
        <v>1</v>
      </c>
      <c r="X50" s="3"/>
    </row>
    <row r="51" spans="2:24" ht="17.399999999999999" hidden="1" customHeight="1">
      <c r="B51" s="14" t="s">
        <v>32</v>
      </c>
      <c r="C51" s="14" t="s">
        <v>32</v>
      </c>
      <c r="D51" s="3" t="s">
        <v>1149</v>
      </c>
      <c r="E51" s="3" t="s">
        <v>38</v>
      </c>
      <c r="F51" s="3" t="s">
        <v>439</v>
      </c>
      <c r="G51" s="3" t="s">
        <v>448</v>
      </c>
      <c r="H51" s="63" t="str">
        <f>Table1[[#This Row],[Tabela]]&amp;Table1[[#This Row],[Campo]]</f>
        <v>lt002_insrmntrwa_off_blnc</v>
      </c>
      <c r="I51" s="4" t="s">
        <v>477</v>
      </c>
      <c r="J51" s="59">
        <f>VLOOKUP(Table1[[#This Row],[Status]],Auxiliar!$B$16:$C$23,2,0)</f>
        <v>1</v>
      </c>
      <c r="K51" s="22" t="s">
        <v>1137</v>
      </c>
      <c r="L51" s="22" t="s">
        <v>1144</v>
      </c>
      <c r="M51" s="22" t="s">
        <v>1145</v>
      </c>
      <c r="N51" s="53">
        <v>45485</v>
      </c>
      <c r="O51" s="22">
        <f>INDEX(Auxiliar!$D$5:$F$13,MATCH(Table1[[#This Row],[Tipologia_Testes]],Auxiliar!$B$5:$B$13,0),MATCH(Table1[[#This Row],[Complexidade]],Auxiliar!$D$4:$F$4,0))</f>
        <v>2</v>
      </c>
      <c r="P51" s="3" t="s">
        <v>1150</v>
      </c>
      <c r="Q51" s="3"/>
      <c r="R51" s="173">
        <v>45261</v>
      </c>
      <c r="S51" s="173"/>
      <c r="T51" s="173"/>
      <c r="U51" s="173"/>
      <c r="V51" s="173"/>
      <c r="W51" s="3">
        <f>VLOOKUP(Table1[[#This Row],[Status]],Auxiliar!$B$16:$D$23,3,0)*Table1[[#This Row],[Estimação (horas)]]</f>
        <v>2</v>
      </c>
      <c r="X51" s="3"/>
    </row>
    <row r="52" spans="2:24" ht="17.399999999999999" hidden="1" customHeight="1">
      <c r="B52" s="14" t="s">
        <v>32</v>
      </c>
      <c r="C52" s="14" t="s">
        <v>32</v>
      </c>
      <c r="D52" s="3" t="s">
        <v>1149</v>
      </c>
      <c r="E52" s="3" t="s">
        <v>38</v>
      </c>
      <c r="F52" s="3" t="s">
        <v>439</v>
      </c>
      <c r="G52" s="3" t="s">
        <v>448</v>
      </c>
      <c r="H52" s="63" t="str">
        <f>Table1[[#This Row],[Tabela]]&amp;Table1[[#This Row],[Campo]]</f>
        <v>lt002_insrmntrwa_off_blnc</v>
      </c>
      <c r="I52" s="4" t="s">
        <v>477</v>
      </c>
      <c r="J52" s="59">
        <f>VLOOKUP(Table1[[#This Row],[Status]],Auxiliar!$B$16:$C$23,2,0)</f>
        <v>1</v>
      </c>
      <c r="K52" s="22" t="s">
        <v>1138</v>
      </c>
      <c r="L52" s="22" t="s">
        <v>1144</v>
      </c>
      <c r="M52" s="22" t="s">
        <v>1145</v>
      </c>
      <c r="N52" s="53">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73">
        <v>45261</v>
      </c>
      <c r="S52" s="173"/>
      <c r="T52" s="173"/>
      <c r="U52" s="173"/>
      <c r="V52" s="173"/>
      <c r="W52" s="3">
        <f>VLOOKUP(Table1[[#This Row],[Status]],Auxiliar!$B$16:$D$23,3,0)*Table1[[#This Row],[Estimação (horas)]]</f>
        <v>2</v>
      </c>
      <c r="X52" s="3"/>
    </row>
    <row r="53" spans="2:24" ht="17.399999999999999" hidden="1" customHeight="1">
      <c r="B53" s="14" t="s">
        <v>32</v>
      </c>
      <c r="C53" s="14" t="s">
        <v>32</v>
      </c>
      <c r="D53" s="3" t="s">
        <v>1149</v>
      </c>
      <c r="E53" s="3" t="s">
        <v>38</v>
      </c>
      <c r="F53" s="3" t="s">
        <v>439</v>
      </c>
      <c r="G53" s="3" t="s">
        <v>448</v>
      </c>
      <c r="H53" s="63" t="str">
        <f>Table1[[#This Row],[Tabela]]&amp;Table1[[#This Row],[Campo]]</f>
        <v>lt002_insrmntrwa_off_blnc</v>
      </c>
      <c r="I53" s="4" t="s">
        <v>477</v>
      </c>
      <c r="J53" s="59">
        <f>VLOOKUP(Table1[[#This Row],[Status]],Auxiliar!$B$16:$C$23,2,0)</f>
        <v>1</v>
      </c>
      <c r="K53" s="22" t="s">
        <v>1141</v>
      </c>
      <c r="L53" s="22" t="s">
        <v>1144</v>
      </c>
      <c r="M53" s="22" t="s">
        <v>1145</v>
      </c>
      <c r="N53" s="53">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73">
        <v>45261</v>
      </c>
      <c r="S53" s="173"/>
      <c r="T53" s="173"/>
      <c r="U53" s="173"/>
      <c r="V53" s="173"/>
      <c r="W53" s="3">
        <f>VLOOKUP(Table1[[#This Row],[Status]],Auxiliar!$B$16:$D$23,3,0)*Table1[[#This Row],[Estimação (horas)]]</f>
        <v>0.1</v>
      </c>
      <c r="X53" s="3"/>
    </row>
    <row r="54" spans="2:24" ht="17.399999999999999" hidden="1" customHeight="1">
      <c r="B54" s="14" t="s">
        <v>32</v>
      </c>
      <c r="C54" s="14" t="s">
        <v>32</v>
      </c>
      <c r="D54" s="3" t="s">
        <v>1149</v>
      </c>
      <c r="E54" s="3" t="s">
        <v>38</v>
      </c>
      <c r="F54" s="3" t="s">
        <v>439</v>
      </c>
      <c r="G54" s="3" t="s">
        <v>448</v>
      </c>
      <c r="H54" s="63" t="str">
        <f>Table1[[#This Row],[Tabela]]&amp;Table1[[#This Row],[Campo]]</f>
        <v>lt002_insrmntrwa_off_blnc</v>
      </c>
      <c r="I54" s="4" t="s">
        <v>477</v>
      </c>
      <c r="J54" s="59">
        <f>VLOOKUP(Table1[[#This Row],[Status]],Auxiliar!$B$16:$C$23,2,0)</f>
        <v>1</v>
      </c>
      <c r="K54" s="22" t="s">
        <v>1142</v>
      </c>
      <c r="L54" s="22" t="s">
        <v>1144</v>
      </c>
      <c r="M54" s="22" t="s">
        <v>1145</v>
      </c>
      <c r="N54" s="53">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73">
        <v>45261</v>
      </c>
      <c r="S54" s="173"/>
      <c r="T54" s="173"/>
      <c r="U54" s="173"/>
      <c r="V54" s="173"/>
      <c r="W54" s="3">
        <f>VLOOKUP(Table1[[#This Row],[Status]],Auxiliar!$B$16:$D$23,3,0)*Table1[[#This Row],[Estimação (horas)]]</f>
        <v>1</v>
      </c>
      <c r="X54" s="3"/>
    </row>
    <row r="55" spans="2:24" ht="17.399999999999999" hidden="1" customHeight="1">
      <c r="B55" s="14" t="s">
        <v>32</v>
      </c>
      <c r="C55" s="14" t="s">
        <v>32</v>
      </c>
      <c r="D55" s="3" t="s">
        <v>1151</v>
      </c>
      <c r="E55" s="3" t="s">
        <v>38</v>
      </c>
      <c r="F55" s="3" t="s">
        <v>439</v>
      </c>
      <c r="G55" s="3" t="s">
        <v>449</v>
      </c>
      <c r="H55" s="63" t="str">
        <f>Table1[[#This Row],[Tabela]]&amp;Table1[[#This Row],[Campo]]</f>
        <v>lt002_insrmntintrnl_trnsfr_rt_off_blnc</v>
      </c>
      <c r="I55" s="4" t="s">
        <v>477</v>
      </c>
      <c r="J55" s="59">
        <f>VLOOKUP(Table1[[#This Row],[Status]],Auxiliar!$B$16:$C$23,2,0)</f>
        <v>1</v>
      </c>
      <c r="K55" s="22" t="s">
        <v>1137</v>
      </c>
      <c r="L55" s="22" t="s">
        <v>1144</v>
      </c>
      <c r="M55" s="22" t="s">
        <v>1145</v>
      </c>
      <c r="N55" s="53">
        <v>45485</v>
      </c>
      <c r="O55" s="22">
        <f>INDEX(Auxiliar!$D$5:$F$13,MATCH(Table1[[#This Row],[Tipologia_Testes]],Auxiliar!$B$5:$B$13,0),MATCH(Table1[[#This Row],[Complexidade]],Auxiliar!$D$4:$F$4,0))</f>
        <v>2</v>
      </c>
      <c r="P55" s="3" t="s">
        <v>1152</v>
      </c>
      <c r="Q55" s="3"/>
      <c r="R55" s="173">
        <v>45261</v>
      </c>
      <c r="S55" s="173"/>
      <c r="T55" s="173"/>
      <c r="U55" s="173"/>
      <c r="V55" s="173"/>
      <c r="W55" s="3">
        <f>VLOOKUP(Table1[[#This Row],[Status]],Auxiliar!$B$16:$D$23,3,0)*Table1[[#This Row],[Estimação (horas)]]</f>
        <v>2</v>
      </c>
      <c r="X55" s="3"/>
    </row>
    <row r="56" spans="2:24" ht="17.399999999999999" hidden="1" customHeight="1">
      <c r="B56" s="14" t="s">
        <v>32</v>
      </c>
      <c r="C56" s="14" t="s">
        <v>32</v>
      </c>
      <c r="D56" s="3" t="s">
        <v>1151</v>
      </c>
      <c r="E56" s="3" t="s">
        <v>38</v>
      </c>
      <c r="F56" s="3" t="s">
        <v>439</v>
      </c>
      <c r="G56" s="3" t="s">
        <v>449</v>
      </c>
      <c r="H56" s="63" t="str">
        <f>Table1[[#This Row],[Tabela]]&amp;Table1[[#This Row],[Campo]]</f>
        <v>lt002_insrmntintrnl_trnsfr_rt_off_blnc</v>
      </c>
      <c r="I56" s="4" t="s">
        <v>477</v>
      </c>
      <c r="J56" s="59">
        <f>VLOOKUP(Table1[[#This Row],[Status]],Auxiliar!$B$16:$C$23,2,0)</f>
        <v>1</v>
      </c>
      <c r="K56" s="22" t="s">
        <v>1138</v>
      </c>
      <c r="L56" s="22" t="s">
        <v>1144</v>
      </c>
      <c r="M56" s="22" t="s">
        <v>1145</v>
      </c>
      <c r="N56" s="53">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73">
        <v>45261</v>
      </c>
      <c r="S56" s="173"/>
      <c r="T56" s="173"/>
      <c r="U56" s="173"/>
      <c r="V56" s="173"/>
      <c r="W56" s="3">
        <f>VLOOKUP(Table1[[#This Row],[Status]],Auxiliar!$B$16:$D$23,3,0)*Table1[[#This Row],[Estimação (horas)]]</f>
        <v>2</v>
      </c>
      <c r="X56" s="3"/>
    </row>
    <row r="57" spans="2:24" ht="17.399999999999999" hidden="1" customHeight="1">
      <c r="B57" s="14" t="s">
        <v>32</v>
      </c>
      <c r="C57" s="14" t="s">
        <v>32</v>
      </c>
      <c r="D57" s="3" t="s">
        <v>1151</v>
      </c>
      <c r="E57" s="3" t="s">
        <v>38</v>
      </c>
      <c r="F57" s="3" t="s">
        <v>439</v>
      </c>
      <c r="G57" s="3" t="s">
        <v>449</v>
      </c>
      <c r="H57" s="63" t="str">
        <f>Table1[[#This Row],[Tabela]]&amp;Table1[[#This Row],[Campo]]</f>
        <v>lt002_insrmntintrnl_trnsfr_rt_off_blnc</v>
      </c>
      <c r="I57" s="4" t="s">
        <v>477</v>
      </c>
      <c r="J57" s="59">
        <f>VLOOKUP(Table1[[#This Row],[Status]],Auxiliar!$B$16:$C$23,2,0)</f>
        <v>1</v>
      </c>
      <c r="K57" s="22" t="s">
        <v>1141</v>
      </c>
      <c r="L57" s="22" t="s">
        <v>1144</v>
      </c>
      <c r="M57" s="22" t="s">
        <v>1145</v>
      </c>
      <c r="N57" s="53">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73">
        <v>45261</v>
      </c>
      <c r="S57" s="173"/>
      <c r="T57" s="173"/>
      <c r="U57" s="173"/>
      <c r="V57" s="173"/>
      <c r="W57" s="3">
        <f>VLOOKUP(Table1[[#This Row],[Status]],Auxiliar!$B$16:$D$23,3,0)*Table1[[#This Row],[Estimação (horas)]]</f>
        <v>0.1</v>
      </c>
      <c r="X57" s="3"/>
    </row>
    <row r="58" spans="2:24" ht="17.399999999999999" hidden="1" customHeight="1">
      <c r="B58" s="14" t="s">
        <v>32</v>
      </c>
      <c r="C58" s="14" t="s">
        <v>32</v>
      </c>
      <c r="D58" s="3" t="s">
        <v>1151</v>
      </c>
      <c r="E58" s="3" t="s">
        <v>38</v>
      </c>
      <c r="F58" s="3" t="s">
        <v>439</v>
      </c>
      <c r="G58" s="3" t="s">
        <v>449</v>
      </c>
      <c r="H58" s="63" t="str">
        <f>Table1[[#This Row],[Tabela]]&amp;Table1[[#This Row],[Campo]]</f>
        <v>lt002_insrmntintrnl_trnsfr_rt_off_blnc</v>
      </c>
      <c r="I58" s="4" t="s">
        <v>477</v>
      </c>
      <c r="J58" s="59">
        <f>VLOOKUP(Table1[[#This Row],[Status]],Auxiliar!$B$16:$C$23,2,0)</f>
        <v>1</v>
      </c>
      <c r="K58" s="22" t="s">
        <v>1142</v>
      </c>
      <c r="L58" s="22" t="s">
        <v>1144</v>
      </c>
      <c r="M58" s="22" t="s">
        <v>1145</v>
      </c>
      <c r="N58" s="53">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73">
        <v>45261</v>
      </c>
      <c r="S58" s="173"/>
      <c r="T58" s="173"/>
      <c r="U58" s="173"/>
      <c r="V58" s="173"/>
      <c r="W58" s="3">
        <f>VLOOKUP(Table1[[#This Row],[Status]],Auxiliar!$B$16:$D$23,3,0)*Table1[[#This Row],[Estimação (horas)]]</f>
        <v>1</v>
      </c>
      <c r="X58" s="3"/>
    </row>
    <row r="59" spans="2:24" ht="34.799999999999997" hidden="1" customHeight="1">
      <c r="B59" s="14" t="s">
        <v>32</v>
      </c>
      <c r="C59" s="14" t="s">
        <v>32</v>
      </c>
      <c r="D59" s="3" t="s">
        <v>1151</v>
      </c>
      <c r="E59" s="3" t="s">
        <v>38</v>
      </c>
      <c r="F59" s="3" t="s">
        <v>439</v>
      </c>
      <c r="G59" s="3" t="s">
        <v>450</v>
      </c>
      <c r="H59" s="63" t="str">
        <f>Table1[[#This Row],[Tabela]]&amp;Table1[[#This Row],[Campo]]</f>
        <v>lt002_insrmntbsnss_area</v>
      </c>
      <c r="I59" s="3" t="s">
        <v>177</v>
      </c>
      <c r="J59" s="48">
        <f>VLOOKUP(Table1[[#This Row],[Status]],Auxiliar!$B$16:$C$23,2,0)</f>
        <v>2</v>
      </c>
      <c r="K59" s="22" t="s">
        <v>1137</v>
      </c>
      <c r="L59" s="22" t="s">
        <v>1135</v>
      </c>
      <c r="M59" s="22" t="s">
        <v>1136</v>
      </c>
      <c r="N59" s="53">
        <v>45485</v>
      </c>
      <c r="O59" s="131">
        <v>4</v>
      </c>
      <c r="P59" s="24" t="s">
        <v>1153</v>
      </c>
      <c r="Q59" s="3"/>
      <c r="R59" s="173">
        <v>45261</v>
      </c>
      <c r="S59" s="173"/>
      <c r="T59" s="173"/>
      <c r="U59" s="173"/>
      <c r="V59" s="173"/>
      <c r="W59" s="3">
        <f>VLOOKUP(Table1[[#This Row],[Status]],Auxiliar!$B$16:$D$23,3,0)*Table1[[#This Row],[Estimação (horas)]]</f>
        <v>2</v>
      </c>
      <c r="X59" s="3"/>
    </row>
    <row r="60" spans="2:24" ht="17.399999999999999" hidden="1" customHeight="1">
      <c r="B60" s="14" t="s">
        <v>32</v>
      </c>
      <c r="C60" s="14" t="s">
        <v>32</v>
      </c>
      <c r="D60" s="3" t="s">
        <v>1151</v>
      </c>
      <c r="E60" s="3" t="s">
        <v>38</v>
      </c>
      <c r="F60" s="3" t="s">
        <v>439</v>
      </c>
      <c r="G60" s="3" t="s">
        <v>450</v>
      </c>
      <c r="H60" s="63" t="str">
        <f>Table1[[#This Row],[Tabela]]&amp;Table1[[#This Row],[Campo]]</f>
        <v>lt002_insrmntbsnss_area</v>
      </c>
      <c r="I60" s="3" t="s">
        <v>177</v>
      </c>
      <c r="J60" s="48">
        <f>VLOOKUP(Table1[[#This Row],[Status]],Auxiliar!$B$16:$C$23,2,0)</f>
        <v>2</v>
      </c>
      <c r="K60" s="22" t="s">
        <v>1138</v>
      </c>
      <c r="L60" s="22" t="s">
        <v>1135</v>
      </c>
      <c r="M60" s="22" t="s">
        <v>1136</v>
      </c>
      <c r="N60" s="53">
        <v>45485</v>
      </c>
      <c r="O60" s="22">
        <f>INDEX(Auxiliar!$D$5:$F$13,MATCH(Table1[[#This Row],[Tipologia_Testes]],Auxiliar!$B$5:$B$13,0),MATCH(Table1[[#This Row],[Complexidade]],Auxiliar!$D$4:$F$4,0))</f>
        <v>8</v>
      </c>
      <c r="P60" s="3" t="s">
        <v>1154</v>
      </c>
      <c r="Q60" s="3"/>
      <c r="R60" s="173">
        <v>45261</v>
      </c>
      <c r="S60" s="173"/>
      <c r="T60" s="173"/>
      <c r="U60" s="173"/>
      <c r="V60" s="173"/>
      <c r="W60" s="3">
        <f>VLOOKUP(Table1[[#This Row],[Status]],Auxiliar!$B$16:$D$23,3,0)*Table1[[#This Row],[Estimação (horas)]]</f>
        <v>4</v>
      </c>
      <c r="X60" s="3"/>
    </row>
    <row r="61" spans="2:24" ht="17.399999999999999" hidden="1" customHeight="1">
      <c r="B61" s="14" t="s">
        <v>32</v>
      </c>
      <c r="C61" s="14" t="s">
        <v>32</v>
      </c>
      <c r="D61" s="3" t="s">
        <v>1151</v>
      </c>
      <c r="E61" s="3" t="s">
        <v>38</v>
      </c>
      <c r="F61" s="3" t="s">
        <v>439</v>
      </c>
      <c r="G61" s="3" t="s">
        <v>450</v>
      </c>
      <c r="H61" s="63" t="str">
        <f>Table1[[#This Row],[Tabela]]&amp;Table1[[#This Row],[Campo]]</f>
        <v>lt002_insrmntbsnss_area</v>
      </c>
      <c r="I61" s="3" t="s">
        <v>177</v>
      </c>
      <c r="J61" s="48">
        <f>VLOOKUP(Table1[[#This Row],[Status]],Auxiliar!$B$16:$C$23,2,0)</f>
        <v>2</v>
      </c>
      <c r="K61" s="22" t="s">
        <v>1139</v>
      </c>
      <c r="L61" s="22" t="s">
        <v>1135</v>
      </c>
      <c r="M61" s="22" t="s">
        <v>1136</v>
      </c>
      <c r="N61" s="53">
        <v>45485</v>
      </c>
      <c r="O61" s="22">
        <f>INDEX(Auxiliar!$D$5:$F$13,MATCH(Table1[[#This Row],[Tipologia_Testes]],Auxiliar!$B$5:$B$13,0),MATCH(Table1[[#This Row],[Complexidade]],Auxiliar!$D$4:$F$4,0))</f>
        <v>8</v>
      </c>
      <c r="P61" s="3" t="s">
        <v>1154</v>
      </c>
      <c r="Q61" s="3"/>
      <c r="R61" s="173">
        <v>45261</v>
      </c>
      <c r="S61" s="173"/>
      <c r="T61" s="173"/>
      <c r="U61" s="173"/>
      <c r="V61" s="173"/>
      <c r="W61" s="3">
        <f>VLOOKUP(Table1[[#This Row],[Status]],Auxiliar!$B$16:$D$23,3,0)*Table1[[#This Row],[Estimação (horas)]]</f>
        <v>4</v>
      </c>
      <c r="X61" s="3"/>
    </row>
    <row r="62" spans="2:24" ht="17.399999999999999" hidden="1" customHeight="1">
      <c r="B62" s="14" t="s">
        <v>32</v>
      </c>
      <c r="C62" s="14" t="s">
        <v>32</v>
      </c>
      <c r="D62" s="3" t="s">
        <v>1151</v>
      </c>
      <c r="E62" s="3" t="s">
        <v>38</v>
      </c>
      <c r="F62" s="3" t="s">
        <v>439</v>
      </c>
      <c r="G62" s="3" t="s">
        <v>450</v>
      </c>
      <c r="H62" s="63" t="str">
        <f>Table1[[#This Row],[Tabela]]&amp;Table1[[#This Row],[Campo]]</f>
        <v>lt002_insrmntbsnss_area</v>
      </c>
      <c r="I62" s="3" t="s">
        <v>177</v>
      </c>
      <c r="J62" s="48">
        <f>VLOOKUP(Table1[[#This Row],[Status]],Auxiliar!$B$16:$C$23,2,0)</f>
        <v>2</v>
      </c>
      <c r="K62" s="22" t="s">
        <v>1141</v>
      </c>
      <c r="L62" s="22" t="s">
        <v>1135</v>
      </c>
      <c r="M62" s="22" t="s">
        <v>1136</v>
      </c>
      <c r="N62" s="53">
        <v>45485</v>
      </c>
      <c r="O62" s="22">
        <f>INDEX(Auxiliar!$D$5:$F$13,MATCH(Table1[[#This Row],[Tipologia_Testes]],Auxiliar!$B$5:$B$13,0),MATCH(Table1[[#This Row],[Complexidade]],Auxiliar!$D$4:$F$4,0))</f>
        <v>0.1</v>
      </c>
      <c r="P62" s="3" t="s">
        <v>1154</v>
      </c>
      <c r="Q62" s="3"/>
      <c r="R62" s="173">
        <v>45261</v>
      </c>
      <c r="S62" s="173"/>
      <c r="T62" s="173"/>
      <c r="U62" s="173"/>
      <c r="V62" s="173"/>
      <c r="W62" s="3">
        <f>VLOOKUP(Table1[[#This Row],[Status]],Auxiliar!$B$16:$D$23,3,0)*Table1[[#This Row],[Estimação (horas)]]</f>
        <v>0.05</v>
      </c>
      <c r="X62" s="3"/>
    </row>
    <row r="63" spans="2:24" ht="17.399999999999999" hidden="1" customHeight="1">
      <c r="B63" s="14" t="s">
        <v>32</v>
      </c>
      <c r="C63" s="14" t="s">
        <v>32</v>
      </c>
      <c r="D63" s="3" t="s">
        <v>1151</v>
      </c>
      <c r="E63" s="3" t="s">
        <v>38</v>
      </c>
      <c r="F63" s="3" t="s">
        <v>439</v>
      </c>
      <c r="G63" s="3" t="s">
        <v>450</v>
      </c>
      <c r="H63" s="63" t="str">
        <f>Table1[[#This Row],[Tabela]]&amp;Table1[[#This Row],[Campo]]</f>
        <v>lt002_insrmntbsnss_area</v>
      </c>
      <c r="I63" s="3" t="s">
        <v>177</v>
      </c>
      <c r="J63" s="48">
        <f>VLOOKUP(Table1[[#This Row],[Status]],Auxiliar!$B$16:$C$23,2,0)</f>
        <v>2</v>
      </c>
      <c r="K63" s="22" t="s">
        <v>1142</v>
      </c>
      <c r="L63" s="22" t="s">
        <v>1135</v>
      </c>
      <c r="M63" s="22" t="s">
        <v>1136</v>
      </c>
      <c r="N63" s="53">
        <v>45485</v>
      </c>
      <c r="O63" s="22">
        <f>INDEX(Auxiliar!$D$5:$F$13,MATCH(Table1[[#This Row],[Tipologia_Testes]],Auxiliar!$B$5:$B$13,0),MATCH(Table1[[#This Row],[Complexidade]],Auxiliar!$D$4:$F$4,0))</f>
        <v>2</v>
      </c>
      <c r="P63" s="3" t="s">
        <v>1154</v>
      </c>
      <c r="Q63" s="3"/>
      <c r="R63" s="173">
        <v>45261</v>
      </c>
      <c r="S63" s="173"/>
      <c r="T63" s="173"/>
      <c r="U63" s="173"/>
      <c r="V63" s="173"/>
      <c r="W63" s="3">
        <f>VLOOKUP(Table1[[#This Row],[Status]],Auxiliar!$B$16:$D$23,3,0)*Table1[[#This Row],[Estimação (horas)]]</f>
        <v>1</v>
      </c>
      <c r="X63" s="3"/>
    </row>
    <row r="64" spans="2:24" ht="17.399999999999999" hidden="1" customHeight="1">
      <c r="B64" s="14" t="s">
        <v>32</v>
      </c>
      <c r="C64" s="14" t="s">
        <v>32</v>
      </c>
      <c r="D64" s="3" t="s">
        <v>1151</v>
      </c>
      <c r="E64" s="3" t="s">
        <v>38</v>
      </c>
      <c r="F64" s="3" t="s">
        <v>439</v>
      </c>
      <c r="G64" s="3" t="s">
        <v>451</v>
      </c>
      <c r="H64" s="63" t="str">
        <f>Table1[[#This Row],[Tabela]]&amp;Table1[[#This Row],[Campo]]</f>
        <v>lt002_insrmntavrg_blnc</v>
      </c>
      <c r="I64" s="3" t="s">
        <v>177</v>
      </c>
      <c r="J64" s="48">
        <f>VLOOKUP(Table1[[#This Row],[Status]],Auxiliar!$B$16:$C$23,2,0)</f>
        <v>2</v>
      </c>
      <c r="K64" s="22" t="s">
        <v>1137</v>
      </c>
      <c r="L64" s="22" t="s">
        <v>1144</v>
      </c>
      <c r="M64" s="22" t="s">
        <v>1155</v>
      </c>
      <c r="N64" s="53">
        <v>45485</v>
      </c>
      <c r="O64" s="22">
        <f>INDEX(Auxiliar!$D$5:$F$13,MATCH(Table1[[#This Row],[Tipologia_Testes]],Auxiliar!$B$5:$B$13,0),MATCH(Table1[[#This Row],[Complexidade]],Auxiliar!$D$4:$F$4,0))</f>
        <v>4</v>
      </c>
      <c r="P64" s="3"/>
      <c r="Q64" s="3"/>
      <c r="R64" s="173">
        <v>45261</v>
      </c>
      <c r="S64" s="173"/>
      <c r="T64" s="173"/>
      <c r="U64" s="173"/>
      <c r="V64" s="173"/>
      <c r="W64" s="3">
        <f>VLOOKUP(Table1[[#This Row],[Status]],Auxiliar!$B$16:$D$23,3,0)*Table1[[#This Row],[Estimação (horas)]]</f>
        <v>2</v>
      </c>
      <c r="X64" s="3"/>
    </row>
    <row r="65" spans="1:24" ht="17.399999999999999" hidden="1" customHeight="1">
      <c r="B65" s="14" t="s">
        <v>32</v>
      </c>
      <c r="C65" s="14" t="s">
        <v>32</v>
      </c>
      <c r="D65" s="3" t="s">
        <v>1151</v>
      </c>
      <c r="E65" s="3" t="s">
        <v>38</v>
      </c>
      <c r="F65" s="3" t="s">
        <v>439</v>
      </c>
      <c r="G65" s="3" t="s">
        <v>451</v>
      </c>
      <c r="H65" s="63" t="str">
        <f>Table1[[#This Row],[Tabela]]&amp;Table1[[#This Row],[Campo]]</f>
        <v>lt002_insrmntavrg_blnc</v>
      </c>
      <c r="I65" s="3" t="s">
        <v>177</v>
      </c>
      <c r="J65" s="48">
        <f>VLOOKUP(Table1[[#This Row],[Status]],Auxiliar!$B$16:$C$23,2,0)</f>
        <v>2</v>
      </c>
      <c r="K65" s="22" t="s">
        <v>1138</v>
      </c>
      <c r="L65" s="22" t="s">
        <v>1144</v>
      </c>
      <c r="M65" s="22" t="s">
        <v>1155</v>
      </c>
      <c r="N65" s="53">
        <v>45485</v>
      </c>
      <c r="O65" s="22">
        <f>INDEX(Auxiliar!$D$5:$F$13,MATCH(Table1[[#This Row],[Tipologia_Testes]],Auxiliar!$B$5:$B$13,0),MATCH(Table1[[#This Row],[Complexidade]],Auxiliar!$D$4:$F$4,0))</f>
        <v>4</v>
      </c>
      <c r="P65" s="3"/>
      <c r="Q65" s="3"/>
      <c r="R65" s="173">
        <v>45261</v>
      </c>
      <c r="S65" s="173"/>
      <c r="T65" s="173"/>
      <c r="U65" s="173"/>
      <c r="V65" s="173"/>
      <c r="W65" s="3">
        <f>VLOOKUP(Table1[[#This Row],[Status]],Auxiliar!$B$16:$D$23,3,0)*Table1[[#This Row],[Estimação (horas)]]</f>
        <v>2</v>
      </c>
      <c r="X65" s="3"/>
    </row>
    <row r="66" spans="1:24" ht="17.399999999999999" hidden="1" customHeight="1">
      <c r="B66" s="14" t="s">
        <v>32</v>
      </c>
      <c r="C66" s="14" t="s">
        <v>32</v>
      </c>
      <c r="D66" s="3" t="s">
        <v>1151</v>
      </c>
      <c r="E66" s="3" t="s">
        <v>38</v>
      </c>
      <c r="F66" s="3" t="s">
        <v>439</v>
      </c>
      <c r="G66" s="3" t="s">
        <v>451</v>
      </c>
      <c r="H66" s="63" t="str">
        <f>Table1[[#This Row],[Tabela]]&amp;Table1[[#This Row],[Campo]]</f>
        <v>lt002_insrmntavrg_blnc</v>
      </c>
      <c r="I66" s="3" t="s">
        <v>177</v>
      </c>
      <c r="J66" s="48">
        <f>VLOOKUP(Table1[[#This Row],[Status]],Auxiliar!$B$16:$C$23,2,0)</f>
        <v>2</v>
      </c>
      <c r="K66" s="22" t="s">
        <v>1139</v>
      </c>
      <c r="L66" s="44" t="s">
        <v>1144</v>
      </c>
      <c r="M66" s="22" t="s">
        <v>1155</v>
      </c>
      <c r="N66" s="53">
        <v>45485</v>
      </c>
      <c r="O66" s="131">
        <v>1</v>
      </c>
      <c r="P66" s="3" t="s">
        <v>1156</v>
      </c>
      <c r="Q66" s="3"/>
      <c r="R66" s="173">
        <v>45261</v>
      </c>
      <c r="S66" s="173"/>
      <c r="T66" s="173"/>
      <c r="U66" s="173"/>
      <c r="V66" s="173"/>
      <c r="W66" s="3">
        <f>VLOOKUP(Table1[[#This Row],[Status]],Auxiliar!$B$16:$D$23,3,0)*Table1[[#This Row],[Estimação (horas)]]</f>
        <v>0.5</v>
      </c>
      <c r="X66" s="3"/>
    </row>
    <row r="67" spans="1:24" ht="17.399999999999999" hidden="1" customHeight="1">
      <c r="B67" s="14" t="s">
        <v>32</v>
      </c>
      <c r="C67" s="14" t="s">
        <v>32</v>
      </c>
      <c r="D67" s="3" t="s">
        <v>1151</v>
      </c>
      <c r="E67" s="3" t="s">
        <v>38</v>
      </c>
      <c r="F67" s="3" t="s">
        <v>439</v>
      </c>
      <c r="G67" s="3" t="s">
        <v>451</v>
      </c>
      <c r="H67" s="63" t="str">
        <f>Table1[[#This Row],[Tabela]]&amp;Table1[[#This Row],[Campo]]</f>
        <v>lt002_insrmntavrg_blnc</v>
      </c>
      <c r="I67" s="3" t="s">
        <v>177</v>
      </c>
      <c r="J67" s="48">
        <f>VLOOKUP(Table1[[#This Row],[Status]],Auxiliar!$B$16:$C$23,2,0)</f>
        <v>2</v>
      </c>
      <c r="K67" s="22" t="s">
        <v>1141</v>
      </c>
      <c r="L67" s="22" t="s">
        <v>1144</v>
      </c>
      <c r="M67" s="22" t="s">
        <v>1155</v>
      </c>
      <c r="N67" s="53">
        <v>45485</v>
      </c>
      <c r="O67" s="22">
        <f>INDEX(Auxiliar!$D$5:$F$13,MATCH(Table1[[#This Row],[Tipologia_Testes]],Auxiliar!$B$5:$B$13,0),MATCH(Table1[[#This Row],[Complexidade]],Auxiliar!$D$4:$F$4,0))</f>
        <v>0.1</v>
      </c>
      <c r="P67" s="3"/>
      <c r="Q67" s="3"/>
      <c r="R67" s="173">
        <v>45261</v>
      </c>
      <c r="S67" s="173"/>
      <c r="T67" s="173"/>
      <c r="U67" s="173"/>
      <c r="V67" s="173"/>
      <c r="W67" s="3">
        <f>VLOOKUP(Table1[[#This Row],[Status]],Auxiliar!$B$16:$D$23,3,0)*Table1[[#This Row],[Estimação (horas)]]</f>
        <v>0.05</v>
      </c>
      <c r="X67" s="3"/>
    </row>
    <row r="68" spans="1:24" ht="17.399999999999999" hidden="1" customHeight="1">
      <c r="B68" s="14" t="s">
        <v>32</v>
      </c>
      <c r="C68" s="14" t="s">
        <v>32</v>
      </c>
      <c r="D68" s="3" t="s">
        <v>1151</v>
      </c>
      <c r="E68" s="3" t="s">
        <v>38</v>
      </c>
      <c r="F68" s="3" t="s">
        <v>439</v>
      </c>
      <c r="G68" s="3" t="s">
        <v>451</v>
      </c>
      <c r="H68" s="63" t="str">
        <f>Table1[[#This Row],[Tabela]]&amp;Table1[[#This Row],[Campo]]</f>
        <v>lt002_insrmntavrg_blnc</v>
      </c>
      <c r="I68" s="3" t="s">
        <v>177</v>
      </c>
      <c r="J68" s="48">
        <f>VLOOKUP(Table1[[#This Row],[Status]],Auxiliar!$B$16:$C$23,2,0)</f>
        <v>2</v>
      </c>
      <c r="K68" s="22" t="s">
        <v>1142</v>
      </c>
      <c r="L68" s="22" t="s">
        <v>1144</v>
      </c>
      <c r="M68" s="22" t="s">
        <v>1145</v>
      </c>
      <c r="N68" s="53">
        <v>45485</v>
      </c>
      <c r="O68" s="22">
        <f>INDEX(Auxiliar!$D$5:$F$13,MATCH(Table1[[#This Row],[Tipologia_Testes]],Auxiliar!$B$5:$B$13,0),MATCH(Table1[[#This Row],[Complexidade]],Auxiliar!$D$4:$F$4,0))</f>
        <v>1</v>
      </c>
      <c r="P68" s="3"/>
      <c r="Q68" s="3"/>
      <c r="R68" s="173">
        <v>45261</v>
      </c>
      <c r="S68" s="173"/>
      <c r="T68" s="173"/>
      <c r="U68" s="173"/>
      <c r="V68" s="173"/>
      <c r="W68" s="3">
        <f>VLOOKUP(Table1[[#This Row],[Status]],Auxiliar!$B$16:$D$23,3,0)*Table1[[#This Row],[Estimação (horas)]]</f>
        <v>0.5</v>
      </c>
      <c r="X68" s="3"/>
    </row>
    <row r="69" spans="1:24" ht="17.399999999999999" hidden="1" customHeight="1">
      <c r="B69" s="14" t="s">
        <v>32</v>
      </c>
      <c r="C69" s="14" t="s">
        <v>32</v>
      </c>
      <c r="D69" s="2" t="s">
        <v>1151</v>
      </c>
      <c r="E69" s="3" t="s">
        <v>38</v>
      </c>
      <c r="F69" s="3" t="s">
        <v>439</v>
      </c>
      <c r="G69" s="2" t="s">
        <v>452</v>
      </c>
      <c r="H69" s="64" t="str">
        <f>Table1[[#This Row],[Tabela]]&amp;Table1[[#This Row],[Campo]]</f>
        <v>lt002_insrmntnt_ln_lss_prvsn</v>
      </c>
      <c r="I69" s="3" t="s">
        <v>177</v>
      </c>
      <c r="J69" s="48">
        <f>VLOOKUP(Table1[[#This Row],[Status]],Auxiliar!$B$16:$C$23,2,0)</f>
        <v>2</v>
      </c>
      <c r="K69" s="22" t="s">
        <v>1137</v>
      </c>
      <c r="L69" s="22" t="s">
        <v>1144</v>
      </c>
      <c r="M69" s="22" t="s">
        <v>1155</v>
      </c>
      <c r="N69" s="53">
        <v>45485</v>
      </c>
      <c r="O69" s="22">
        <f>INDEX(Auxiliar!$D$5:$F$13,MATCH(Table1[[#This Row],[Tipologia_Testes]],Auxiliar!$B$5:$B$13,0),MATCH(Table1[[#This Row],[Complexidade]],Auxiliar!$D$4:$F$4,0))</f>
        <v>4</v>
      </c>
      <c r="P69" s="3"/>
      <c r="Q69" s="3"/>
      <c r="R69" s="173">
        <v>45261</v>
      </c>
      <c r="S69" s="173"/>
      <c r="T69" s="173"/>
      <c r="U69" s="173"/>
      <c r="V69" s="173"/>
      <c r="W69" s="3">
        <f>VLOOKUP(Table1[[#This Row],[Status]],Auxiliar!$B$16:$D$23,3,0)*Table1[[#This Row],[Estimação (horas)]]</f>
        <v>2</v>
      </c>
      <c r="X69" s="3"/>
    </row>
    <row r="70" spans="1:24" ht="17.399999999999999" hidden="1" customHeight="1">
      <c r="B70" s="14" t="s">
        <v>32</v>
      </c>
      <c r="C70" s="14" t="s">
        <v>32</v>
      </c>
      <c r="D70" s="3" t="s">
        <v>1151</v>
      </c>
      <c r="E70" s="3" t="s">
        <v>38</v>
      </c>
      <c r="F70" s="3" t="s">
        <v>439</v>
      </c>
      <c r="G70" s="3" t="s">
        <v>452</v>
      </c>
      <c r="H70" s="63" t="str">
        <f>Table1[[#This Row],[Tabela]]&amp;Table1[[#This Row],[Campo]]</f>
        <v>lt002_insrmntnt_ln_lss_prvsn</v>
      </c>
      <c r="I70" s="3" t="s">
        <v>177</v>
      </c>
      <c r="J70" s="48">
        <f>VLOOKUP(Table1[[#This Row],[Status]],Auxiliar!$B$16:$C$23,2,0)</f>
        <v>2</v>
      </c>
      <c r="K70" s="22" t="s">
        <v>1138</v>
      </c>
      <c r="L70" s="22" t="s">
        <v>1144</v>
      </c>
      <c r="M70" s="22" t="s">
        <v>1155</v>
      </c>
      <c r="N70" s="53">
        <v>45485</v>
      </c>
      <c r="O70" s="22">
        <f>INDEX(Auxiliar!$D$5:$F$13,MATCH(Table1[[#This Row],[Tipologia_Testes]],Auxiliar!$B$5:$B$13,0),MATCH(Table1[[#This Row],[Complexidade]],Auxiliar!$D$4:$F$4,0))</f>
        <v>4</v>
      </c>
      <c r="P70" s="3"/>
      <c r="Q70" s="3"/>
      <c r="R70" s="173">
        <v>45261</v>
      </c>
      <c r="S70" s="173"/>
      <c r="T70" s="173"/>
      <c r="U70" s="173"/>
      <c r="V70" s="173"/>
      <c r="W70" s="3">
        <f>VLOOKUP(Table1[[#This Row],[Status]],Auxiliar!$B$16:$D$23,3,0)*Table1[[#This Row],[Estimação (horas)]]</f>
        <v>2</v>
      </c>
      <c r="X70" s="3"/>
    </row>
    <row r="71" spans="1:24" ht="17.399999999999999" hidden="1" customHeight="1">
      <c r="B71" s="14" t="s">
        <v>32</v>
      </c>
      <c r="C71" s="14" t="s">
        <v>32</v>
      </c>
      <c r="D71" s="3" t="s">
        <v>1151</v>
      </c>
      <c r="E71" s="3" t="s">
        <v>38</v>
      </c>
      <c r="F71" s="3" t="s">
        <v>439</v>
      </c>
      <c r="G71" s="3" t="s">
        <v>452</v>
      </c>
      <c r="H71" s="63" t="str">
        <f>Table1[[#This Row],[Tabela]]&amp;Table1[[#This Row],[Campo]]</f>
        <v>lt002_insrmntnt_ln_lss_prvsn</v>
      </c>
      <c r="I71" s="3" t="s">
        <v>177</v>
      </c>
      <c r="J71" s="48">
        <f>VLOOKUP(Table1[[#This Row],[Status]],Auxiliar!$B$16:$C$23,2,0)</f>
        <v>2</v>
      </c>
      <c r="K71" s="22" t="s">
        <v>1139</v>
      </c>
      <c r="L71" s="44" t="s">
        <v>1144</v>
      </c>
      <c r="M71" s="22" t="s">
        <v>1155</v>
      </c>
      <c r="N71" s="53">
        <v>45485</v>
      </c>
      <c r="O71" s="131">
        <v>1</v>
      </c>
      <c r="P71" s="3" t="s">
        <v>1156</v>
      </c>
      <c r="Q71" s="3"/>
      <c r="R71" s="173">
        <v>45261</v>
      </c>
      <c r="S71" s="173"/>
      <c r="T71" s="173"/>
      <c r="U71" s="173"/>
      <c r="V71" s="173"/>
      <c r="W71" s="3">
        <f>VLOOKUP(Table1[[#This Row],[Status]],Auxiliar!$B$16:$D$23,3,0)*Table1[[#This Row],[Estimação (horas)]]</f>
        <v>0.5</v>
      </c>
      <c r="X71" s="3"/>
    </row>
    <row r="72" spans="1:24" ht="17.399999999999999" hidden="1" customHeight="1">
      <c r="A72" t="s">
        <v>1157</v>
      </c>
      <c r="B72" s="14" t="s">
        <v>32</v>
      </c>
      <c r="C72" s="14" t="s">
        <v>32</v>
      </c>
      <c r="D72" s="3" t="s">
        <v>1151</v>
      </c>
      <c r="E72" s="3" t="s">
        <v>38</v>
      </c>
      <c r="F72" s="3" t="s">
        <v>439</v>
      </c>
      <c r="G72" s="3" t="s">
        <v>452</v>
      </c>
      <c r="H72" s="63" t="str">
        <f>Table1[[#This Row],[Tabela]]&amp;Table1[[#This Row],[Campo]]</f>
        <v>lt002_insrmntnt_ln_lss_prvsn</v>
      </c>
      <c r="I72" s="3" t="s">
        <v>177</v>
      </c>
      <c r="J72" s="48">
        <f>VLOOKUP(Table1[[#This Row],[Status]],Auxiliar!$B$16:$C$23,2,0)</f>
        <v>2</v>
      </c>
      <c r="K72" s="22" t="s">
        <v>1141</v>
      </c>
      <c r="L72" s="22" t="s">
        <v>1144</v>
      </c>
      <c r="M72" s="22" t="s">
        <v>1155</v>
      </c>
      <c r="N72" s="53">
        <v>45485</v>
      </c>
      <c r="O72" s="22">
        <f>INDEX(Auxiliar!$D$5:$F$13,MATCH(Table1[[#This Row],[Tipologia_Testes]],Auxiliar!$B$5:$B$13,0),MATCH(Table1[[#This Row],[Complexidade]],Auxiliar!$D$4:$F$4,0))</f>
        <v>0.1</v>
      </c>
      <c r="P72" s="3"/>
      <c r="Q72" s="3"/>
      <c r="R72" s="173">
        <v>45261</v>
      </c>
      <c r="S72" s="173"/>
      <c r="T72" s="173"/>
      <c r="U72" s="173"/>
      <c r="V72" s="173"/>
      <c r="W72" s="3">
        <f>VLOOKUP(Table1[[#This Row],[Status]],Auxiliar!$B$16:$D$23,3,0)*Table1[[#This Row],[Estimação (horas)]]</f>
        <v>0.05</v>
      </c>
      <c r="X72" s="3"/>
    </row>
    <row r="73" spans="1:24" ht="17.399999999999999" hidden="1" customHeight="1">
      <c r="A73" t="s">
        <v>1157</v>
      </c>
      <c r="B73" s="14" t="s">
        <v>32</v>
      </c>
      <c r="C73" s="14" t="s">
        <v>32</v>
      </c>
      <c r="D73" s="3" t="s">
        <v>1151</v>
      </c>
      <c r="E73" s="3" t="s">
        <v>38</v>
      </c>
      <c r="F73" s="3" t="s">
        <v>439</v>
      </c>
      <c r="G73" s="3" t="s">
        <v>452</v>
      </c>
      <c r="H73" s="63" t="str">
        <f>Table1[[#This Row],[Tabela]]&amp;Table1[[#This Row],[Campo]]</f>
        <v>lt002_insrmntnt_ln_lss_prvsn</v>
      </c>
      <c r="I73" s="3" t="s">
        <v>177</v>
      </c>
      <c r="J73" s="48">
        <f>VLOOKUP(Table1[[#This Row],[Status]],Auxiliar!$B$16:$C$23,2,0)</f>
        <v>2</v>
      </c>
      <c r="K73" s="22" t="s">
        <v>1142</v>
      </c>
      <c r="L73" s="22" t="s">
        <v>1144</v>
      </c>
      <c r="M73" s="22" t="s">
        <v>1145</v>
      </c>
      <c r="N73" s="53">
        <v>45485</v>
      </c>
      <c r="O73" s="22">
        <f>INDEX(Auxiliar!$D$5:$F$13,MATCH(Table1[[#This Row],[Tipologia_Testes]],Auxiliar!$B$5:$B$13,0),MATCH(Table1[[#This Row],[Complexidade]],Auxiliar!$D$4:$F$4,0))</f>
        <v>1</v>
      </c>
      <c r="P73" s="3"/>
      <c r="Q73" s="3"/>
      <c r="R73" s="173">
        <v>45261</v>
      </c>
      <c r="S73" s="173"/>
      <c r="T73" s="173"/>
      <c r="U73" s="173"/>
      <c r="V73" s="173"/>
      <c r="W73" s="3">
        <f>VLOOKUP(Table1[[#This Row],[Status]],Auxiliar!$B$16:$D$23,3,0)*Table1[[#This Row],[Estimação (horas)]]</f>
        <v>0.5</v>
      </c>
      <c r="X73" s="3"/>
    </row>
    <row r="74" spans="1:24" ht="17.399999999999999" hidden="1" customHeight="1">
      <c r="A74" t="s">
        <v>1157</v>
      </c>
      <c r="B74" s="14" t="s">
        <v>32</v>
      </c>
      <c r="C74" s="14" t="s">
        <v>32</v>
      </c>
      <c r="D74" s="3" t="s">
        <v>1151</v>
      </c>
      <c r="E74" s="3" t="s">
        <v>38</v>
      </c>
      <c r="F74" s="3" t="s">
        <v>439</v>
      </c>
      <c r="G74" s="3" t="s">
        <v>453</v>
      </c>
      <c r="H74" s="63" t="str">
        <f>Table1[[#This Row],[Tabela]]&amp;Table1[[#This Row],[Campo]]</f>
        <v>lt002_insrmntmngmnt_prdct</v>
      </c>
      <c r="I74" s="3" t="s">
        <v>177</v>
      </c>
      <c r="J74" s="48">
        <f>VLOOKUP(Table1[[#This Row],[Status]],Auxiliar!$B$16:$C$23,2,0)</f>
        <v>2</v>
      </c>
      <c r="K74" s="22" t="s">
        <v>1137</v>
      </c>
      <c r="L74" s="23" t="s">
        <v>1144</v>
      </c>
      <c r="M74" s="22" t="s">
        <v>1155</v>
      </c>
      <c r="N74" s="53">
        <v>45485</v>
      </c>
      <c r="O74" s="22">
        <f>INDEX(Auxiliar!$D$5:$F$13,MATCH(Table1[[#This Row],[Tipologia_Testes]],Auxiliar!$B$5:$B$13,0),MATCH(Table1[[#This Row],[Complexidade]],Auxiliar!$D$4:$F$4,0))</f>
        <v>4</v>
      </c>
      <c r="P74" s="3"/>
      <c r="Q74" s="3"/>
      <c r="R74" s="173">
        <v>45261</v>
      </c>
      <c r="S74" s="173"/>
      <c r="T74" s="173"/>
      <c r="U74" s="173"/>
      <c r="V74" s="173"/>
      <c r="W74" s="3">
        <f>VLOOKUP(Table1[[#This Row],[Status]],Auxiliar!$B$16:$D$23,3,0)*Table1[[#This Row],[Estimação (horas)]]</f>
        <v>2</v>
      </c>
      <c r="X74" s="3"/>
    </row>
    <row r="75" spans="1:24" ht="17.399999999999999" hidden="1" customHeight="1">
      <c r="A75" t="s">
        <v>1157</v>
      </c>
      <c r="B75" s="14" t="s">
        <v>32</v>
      </c>
      <c r="C75" s="14" t="s">
        <v>32</v>
      </c>
      <c r="D75" s="3" t="s">
        <v>1151</v>
      </c>
      <c r="E75" s="3" t="s">
        <v>38</v>
      </c>
      <c r="F75" s="3" t="s">
        <v>439</v>
      </c>
      <c r="G75" s="3" t="s">
        <v>453</v>
      </c>
      <c r="H75" s="63" t="str">
        <f>Table1[[#This Row],[Tabela]]&amp;Table1[[#This Row],[Campo]]</f>
        <v>lt002_insrmntmngmnt_prdct</v>
      </c>
      <c r="I75" s="3" t="s">
        <v>177</v>
      </c>
      <c r="J75" s="48">
        <f>VLOOKUP(Table1[[#This Row],[Status]],Auxiliar!$B$16:$C$23,2,0)</f>
        <v>2</v>
      </c>
      <c r="K75" s="22" t="s">
        <v>1138</v>
      </c>
      <c r="L75" s="23" t="s">
        <v>1144</v>
      </c>
      <c r="M75" s="22" t="s">
        <v>1155</v>
      </c>
      <c r="N75" s="53">
        <v>45485</v>
      </c>
      <c r="O75" s="22">
        <f>INDEX(Auxiliar!$D$5:$F$13,MATCH(Table1[[#This Row],[Tipologia_Testes]],Auxiliar!$B$5:$B$13,0),MATCH(Table1[[#This Row],[Complexidade]],Auxiliar!$D$4:$F$4,0))</f>
        <v>4</v>
      </c>
      <c r="P75" s="3"/>
      <c r="Q75" s="3"/>
      <c r="R75" s="173">
        <v>45261</v>
      </c>
      <c r="S75" s="173"/>
      <c r="T75" s="173"/>
      <c r="U75" s="173"/>
      <c r="V75" s="173"/>
      <c r="W75" s="3">
        <f>VLOOKUP(Table1[[#This Row],[Status]],Auxiliar!$B$16:$D$23,3,0)*Table1[[#This Row],[Estimação (horas)]]</f>
        <v>2</v>
      </c>
      <c r="X75" s="3"/>
    </row>
    <row r="76" spans="1:24" ht="17.399999999999999" hidden="1" customHeight="1">
      <c r="A76" t="s">
        <v>1157</v>
      </c>
      <c r="B76" s="14" t="s">
        <v>32</v>
      </c>
      <c r="C76" s="14" t="s">
        <v>32</v>
      </c>
      <c r="D76" s="3" t="s">
        <v>1151</v>
      </c>
      <c r="E76" s="3" t="s">
        <v>38</v>
      </c>
      <c r="F76" s="3" t="s">
        <v>439</v>
      </c>
      <c r="G76" s="3" t="s">
        <v>453</v>
      </c>
      <c r="H76" s="63" t="str">
        <f>Table1[[#This Row],[Tabela]]&amp;Table1[[#This Row],[Campo]]</f>
        <v>lt002_insrmntmngmnt_prdct</v>
      </c>
      <c r="I76" s="3" t="s">
        <v>177</v>
      </c>
      <c r="J76" s="48">
        <f>VLOOKUP(Table1[[#This Row],[Status]],Auxiliar!$B$16:$C$23,2,0)</f>
        <v>2</v>
      </c>
      <c r="K76" s="22" t="s">
        <v>1139</v>
      </c>
      <c r="L76" s="23" t="s">
        <v>1144</v>
      </c>
      <c r="M76" s="22" t="s">
        <v>1155</v>
      </c>
      <c r="N76" s="53">
        <v>45485</v>
      </c>
      <c r="O76" s="22">
        <f>INDEX(Auxiliar!$D$5:$F$13,MATCH(Table1[[#This Row],[Tipologia_Testes]],Auxiliar!$B$5:$B$13,0),MATCH(Table1[[#This Row],[Complexidade]],Auxiliar!$D$4:$F$4,0))</f>
        <v>4</v>
      </c>
      <c r="P76" s="3"/>
      <c r="Q76" s="3"/>
      <c r="R76" s="173">
        <v>45261</v>
      </c>
      <c r="S76" s="173"/>
      <c r="T76" s="173"/>
      <c r="U76" s="173"/>
      <c r="V76" s="173"/>
      <c r="W76" s="3">
        <f>VLOOKUP(Table1[[#This Row],[Status]],Auxiliar!$B$16:$D$23,3,0)*Table1[[#This Row],[Estimação (horas)]]</f>
        <v>2</v>
      </c>
      <c r="X76" s="3"/>
    </row>
    <row r="77" spans="1:24" ht="17.399999999999999" hidden="1" customHeight="1">
      <c r="A77" t="s">
        <v>1157</v>
      </c>
      <c r="B77" s="14" t="s">
        <v>32</v>
      </c>
      <c r="C77" s="14" t="s">
        <v>32</v>
      </c>
      <c r="D77" s="3" t="s">
        <v>1151</v>
      </c>
      <c r="E77" s="3" t="s">
        <v>38</v>
      </c>
      <c r="F77" s="3" t="s">
        <v>439</v>
      </c>
      <c r="G77" s="3" t="s">
        <v>453</v>
      </c>
      <c r="H77" s="63" t="str">
        <f>Table1[[#This Row],[Tabela]]&amp;Table1[[#This Row],[Campo]]</f>
        <v>lt002_insrmntmngmnt_prdct</v>
      </c>
      <c r="I77" s="3" t="s">
        <v>177</v>
      </c>
      <c r="J77" s="48">
        <f>VLOOKUP(Table1[[#This Row],[Status]],Auxiliar!$B$16:$C$23,2,0)</f>
        <v>2</v>
      </c>
      <c r="K77" s="22" t="s">
        <v>1141</v>
      </c>
      <c r="L77" s="23" t="s">
        <v>1144</v>
      </c>
      <c r="M77" s="22" t="s">
        <v>1155</v>
      </c>
      <c r="N77" s="53">
        <v>45485</v>
      </c>
      <c r="O77" s="131">
        <v>0.1</v>
      </c>
      <c r="P77" s="3"/>
      <c r="Q77" s="3"/>
      <c r="R77" s="173">
        <v>45261</v>
      </c>
      <c r="S77" s="173"/>
      <c r="T77" s="173"/>
      <c r="U77" s="173"/>
      <c r="V77" s="173"/>
      <c r="W77" s="3">
        <f>VLOOKUP(Table1[[#This Row],[Status]],Auxiliar!$B$16:$D$23,3,0)*Table1[[#This Row],[Estimação (horas)]]</f>
        <v>0.05</v>
      </c>
      <c r="X77" s="3"/>
    </row>
    <row r="78" spans="1:24" ht="17.399999999999999" hidden="1" customHeight="1">
      <c r="B78" s="14" t="s">
        <v>32</v>
      </c>
      <c r="C78" s="14" t="s">
        <v>32</v>
      </c>
      <c r="D78" s="3" t="s">
        <v>1151</v>
      </c>
      <c r="E78" s="3" t="s">
        <v>38</v>
      </c>
      <c r="F78" s="3" t="s">
        <v>439</v>
      </c>
      <c r="G78" s="3" t="s">
        <v>453</v>
      </c>
      <c r="H78" s="63" t="str">
        <f>Table1[[#This Row],[Tabela]]&amp;Table1[[#This Row],[Campo]]</f>
        <v>lt002_insrmntmngmnt_prdct</v>
      </c>
      <c r="I78" s="3" t="s">
        <v>177</v>
      </c>
      <c r="J78" s="48">
        <f>VLOOKUP(Table1[[#This Row],[Status]],Auxiliar!$B$16:$C$23,2,0)</f>
        <v>2</v>
      </c>
      <c r="K78" s="22" t="s">
        <v>1142</v>
      </c>
      <c r="L78" s="23" t="s">
        <v>1144</v>
      </c>
      <c r="M78" s="22" t="s">
        <v>1155</v>
      </c>
      <c r="N78" s="53">
        <v>45485</v>
      </c>
      <c r="O78" s="22">
        <f>INDEX(Auxiliar!$D$5:$F$13,MATCH(Table1[[#This Row],[Tipologia_Testes]],Auxiliar!$B$5:$B$13,0),MATCH(Table1[[#This Row],[Complexidade]],Auxiliar!$D$4:$F$4,0))</f>
        <v>2</v>
      </c>
      <c r="P78" s="3"/>
      <c r="Q78" s="3"/>
      <c r="R78" s="173">
        <v>45261</v>
      </c>
      <c r="S78" s="173"/>
      <c r="T78" s="173"/>
      <c r="U78" s="173"/>
      <c r="V78" s="173"/>
      <c r="W78" s="3">
        <f>VLOOKUP(Table1[[#This Row],[Status]],Auxiliar!$B$16:$D$23,3,0)*Table1[[#This Row],[Estimação (horas)]]</f>
        <v>1</v>
      </c>
      <c r="X78" s="3"/>
    </row>
    <row r="79" spans="1:24" ht="17.399999999999999" hidden="1" customHeight="1">
      <c r="B79" s="14" t="s">
        <v>32</v>
      </c>
      <c r="C79" s="14" t="s">
        <v>32</v>
      </c>
      <c r="D79" s="3" t="s">
        <v>1151</v>
      </c>
      <c r="E79" s="3" t="s">
        <v>38</v>
      </c>
      <c r="F79" s="3" t="s">
        <v>439</v>
      </c>
      <c r="G79" s="3" t="s">
        <v>454</v>
      </c>
      <c r="H79" s="63" t="str">
        <f>Table1[[#This Row],[Tabela]]&amp;Table1[[#This Row],[Campo]]</f>
        <v>lt002_insrmntnw_bsnss</v>
      </c>
      <c r="I79" s="3" t="s">
        <v>177</v>
      </c>
      <c r="J79" s="48">
        <f>VLOOKUP(Table1[[#This Row],[Status]],Auxiliar!$B$16:$C$23,2,0)</f>
        <v>2</v>
      </c>
      <c r="K79" s="22" t="s">
        <v>1137</v>
      </c>
      <c r="L79" s="22" t="s">
        <v>1144</v>
      </c>
      <c r="M79" s="22" t="s">
        <v>1155</v>
      </c>
      <c r="N79" s="53">
        <v>45485</v>
      </c>
      <c r="O79" s="22">
        <f>INDEX(Auxiliar!$D$5:$F$13,MATCH(Table1[[#This Row],[Tipologia_Testes]],Auxiliar!$B$5:$B$13,0),MATCH(Table1[[#This Row],[Complexidade]],Auxiliar!$D$4:$F$4,0))</f>
        <v>4</v>
      </c>
      <c r="P79" s="3"/>
      <c r="Q79" s="3"/>
      <c r="R79" s="173">
        <v>45261</v>
      </c>
      <c r="S79" s="173"/>
      <c r="T79" s="173"/>
      <c r="U79" s="173"/>
      <c r="V79" s="173"/>
      <c r="W79" s="3">
        <f>VLOOKUP(Table1[[#This Row],[Status]],Auxiliar!$B$16:$D$23,3,0)*Table1[[#This Row],[Estimação (horas)]]</f>
        <v>2</v>
      </c>
      <c r="X79" s="3"/>
    </row>
    <row r="80" spans="1:24" ht="17.399999999999999" hidden="1" customHeight="1">
      <c r="B80" s="14" t="s">
        <v>32</v>
      </c>
      <c r="C80" s="14" t="s">
        <v>32</v>
      </c>
      <c r="D80" s="3" t="s">
        <v>1151</v>
      </c>
      <c r="E80" s="3" t="s">
        <v>38</v>
      </c>
      <c r="F80" s="3" t="s">
        <v>439</v>
      </c>
      <c r="G80" s="3" t="s">
        <v>454</v>
      </c>
      <c r="H80" s="63" t="str">
        <f>Table1[[#This Row],[Tabela]]&amp;Table1[[#This Row],[Campo]]</f>
        <v>lt002_insrmntnw_bsnss</v>
      </c>
      <c r="I80" s="3" t="s">
        <v>177</v>
      </c>
      <c r="J80" s="48">
        <f>VLOOKUP(Table1[[#This Row],[Status]],Auxiliar!$B$16:$C$23,2,0)</f>
        <v>2</v>
      </c>
      <c r="K80" s="22" t="s">
        <v>1138</v>
      </c>
      <c r="L80" s="22" t="s">
        <v>1144</v>
      </c>
      <c r="M80" s="22" t="s">
        <v>1155</v>
      </c>
      <c r="N80" s="53">
        <v>45485</v>
      </c>
      <c r="O80" s="22">
        <f>INDEX(Auxiliar!$D$5:$F$13,MATCH(Table1[[#This Row],[Tipologia_Testes]],Auxiliar!$B$5:$B$13,0),MATCH(Table1[[#This Row],[Complexidade]],Auxiliar!$D$4:$F$4,0))</f>
        <v>4</v>
      </c>
      <c r="P80" s="3"/>
      <c r="Q80" s="3"/>
      <c r="R80" s="173">
        <v>45261</v>
      </c>
      <c r="S80" s="173"/>
      <c r="T80" s="173"/>
      <c r="U80" s="173"/>
      <c r="V80" s="173"/>
      <c r="W80" s="3">
        <f>VLOOKUP(Table1[[#This Row],[Status]],Auxiliar!$B$16:$D$23,3,0)*Table1[[#This Row],[Estimação (horas)]]</f>
        <v>2</v>
      </c>
      <c r="X80" s="3"/>
    </row>
    <row r="81" spans="1:24" ht="17.399999999999999" hidden="1" customHeight="1">
      <c r="A81" t="s">
        <v>1157</v>
      </c>
      <c r="B81" s="14" t="s">
        <v>32</v>
      </c>
      <c r="C81" s="14" t="s">
        <v>32</v>
      </c>
      <c r="D81" s="3" t="s">
        <v>1151</v>
      </c>
      <c r="E81" s="3" t="s">
        <v>38</v>
      </c>
      <c r="F81" s="3" t="s">
        <v>439</v>
      </c>
      <c r="G81" s="3" t="s">
        <v>454</v>
      </c>
      <c r="H81" s="63" t="str">
        <f>Table1[[#This Row],[Tabela]]&amp;Table1[[#This Row],[Campo]]</f>
        <v>lt002_insrmntnw_bsnss</v>
      </c>
      <c r="I81" s="3" t="s">
        <v>177</v>
      </c>
      <c r="J81" s="48">
        <f>VLOOKUP(Table1[[#This Row],[Status]],Auxiliar!$B$16:$C$23,2,0)</f>
        <v>2</v>
      </c>
      <c r="K81" s="22" t="s">
        <v>1141</v>
      </c>
      <c r="L81" s="22" t="s">
        <v>1144</v>
      </c>
      <c r="M81" s="22" t="s">
        <v>1155</v>
      </c>
      <c r="N81" s="53">
        <v>45485</v>
      </c>
      <c r="O81" s="22">
        <f>INDEX(Auxiliar!$D$5:$F$13,MATCH(Table1[[#This Row],[Tipologia_Testes]],Auxiliar!$B$5:$B$13,0),MATCH(Table1[[#This Row],[Complexidade]],Auxiliar!$D$4:$F$4,0))</f>
        <v>0.1</v>
      </c>
      <c r="P81" s="3"/>
      <c r="Q81" s="3"/>
      <c r="R81" s="173">
        <v>45261</v>
      </c>
      <c r="S81" s="173"/>
      <c r="T81" s="173"/>
      <c r="U81" s="173"/>
      <c r="V81" s="173"/>
      <c r="W81" s="3">
        <f>VLOOKUP(Table1[[#This Row],[Status]],Auxiliar!$B$16:$D$23,3,0)*Table1[[#This Row],[Estimação (horas)]]</f>
        <v>0.05</v>
      </c>
      <c r="X81" s="3"/>
    </row>
    <row r="82" spans="1:24" ht="17.399999999999999" hidden="1" customHeight="1">
      <c r="A82" t="s">
        <v>1157</v>
      </c>
      <c r="B82" s="14" t="s">
        <v>32</v>
      </c>
      <c r="C82" s="14" t="s">
        <v>32</v>
      </c>
      <c r="D82" s="3" t="s">
        <v>1151</v>
      </c>
      <c r="E82" s="3" t="s">
        <v>38</v>
      </c>
      <c r="F82" s="3" t="s">
        <v>439</v>
      </c>
      <c r="G82" s="3" t="s">
        <v>454</v>
      </c>
      <c r="H82" s="63" t="str">
        <f>Table1[[#This Row],[Tabela]]&amp;Table1[[#This Row],[Campo]]</f>
        <v>lt002_insrmntnw_bsnss</v>
      </c>
      <c r="I82" s="3" t="s">
        <v>177</v>
      </c>
      <c r="J82" s="48">
        <f>VLOOKUP(Table1[[#This Row],[Status]],Auxiliar!$B$16:$C$23,2,0)</f>
        <v>2</v>
      </c>
      <c r="K82" s="22" t="s">
        <v>1142</v>
      </c>
      <c r="L82" s="22" t="s">
        <v>1144</v>
      </c>
      <c r="M82" s="22" t="s">
        <v>1155</v>
      </c>
      <c r="N82" s="53">
        <v>45485</v>
      </c>
      <c r="O82" s="22">
        <f>INDEX(Auxiliar!$D$5:$F$13,MATCH(Table1[[#This Row],[Tipologia_Testes]],Auxiliar!$B$5:$B$13,0),MATCH(Table1[[#This Row],[Complexidade]],Auxiliar!$D$4:$F$4,0))</f>
        <v>2</v>
      </c>
      <c r="P82" s="3"/>
      <c r="Q82" s="3"/>
      <c r="R82" s="173">
        <v>45261</v>
      </c>
      <c r="S82" s="173"/>
      <c r="T82" s="173"/>
      <c r="U82" s="173"/>
      <c r="V82" s="173"/>
      <c r="W82" s="3">
        <f>VLOOKUP(Table1[[#This Row],[Status]],Auxiliar!$B$16:$D$23,3,0)*Table1[[#This Row],[Estimação (horas)]]</f>
        <v>1</v>
      </c>
      <c r="X82" s="3"/>
    </row>
    <row r="83" spans="1:24" ht="17.399999999999999" hidden="1" customHeight="1">
      <c r="A83" t="s">
        <v>1157</v>
      </c>
      <c r="B83" s="14" t="s">
        <v>32</v>
      </c>
      <c r="C83" s="14" t="s">
        <v>32</v>
      </c>
      <c r="D83" s="3" t="s">
        <v>1151</v>
      </c>
      <c r="E83" s="3" t="s">
        <v>38</v>
      </c>
      <c r="F83" s="3" t="s">
        <v>439</v>
      </c>
      <c r="G83" s="3" t="s">
        <v>455</v>
      </c>
      <c r="H83" s="63" t="str">
        <f>Table1[[#This Row],[Tabela]]&amp;Table1[[#This Row],[Campo]]</f>
        <v>lt002_insrmntgrss_intrst_incm_ccrr</v>
      </c>
      <c r="I83" s="3" t="s">
        <v>177</v>
      </c>
      <c r="J83" s="48">
        <f>VLOOKUP(Table1[[#This Row],[Status]],Auxiliar!$B$16:$C$23,2,0)</f>
        <v>2</v>
      </c>
      <c r="K83" s="22" t="s">
        <v>1138</v>
      </c>
      <c r="L83" s="22" t="s">
        <v>1144</v>
      </c>
      <c r="M83" s="22" t="s">
        <v>1145</v>
      </c>
      <c r="N83" s="53">
        <v>45485</v>
      </c>
      <c r="O83" s="131">
        <v>0.1</v>
      </c>
      <c r="P83" s="3" t="s">
        <v>1158</v>
      </c>
      <c r="Q83" s="3"/>
      <c r="R83" s="173">
        <v>45261</v>
      </c>
      <c r="S83" s="173"/>
      <c r="T83" s="173"/>
      <c r="U83" s="173"/>
      <c r="V83" s="173"/>
      <c r="W83" s="3">
        <f>VLOOKUP(Table1[[#This Row],[Status]],Auxiliar!$B$16:$D$23,3,0)*Table1[[#This Row],[Estimação (horas)]]</f>
        <v>0.05</v>
      </c>
      <c r="X83" s="3"/>
    </row>
    <row r="84" spans="1:24" ht="17.399999999999999" hidden="1" customHeight="1">
      <c r="B84" s="14" t="s">
        <v>32</v>
      </c>
      <c r="C84" s="14" t="s">
        <v>32</v>
      </c>
      <c r="D84" s="3" t="s">
        <v>1151</v>
      </c>
      <c r="E84" s="3" t="s">
        <v>38</v>
      </c>
      <c r="F84" s="3" t="s">
        <v>439</v>
      </c>
      <c r="G84" s="3" t="s">
        <v>456</v>
      </c>
      <c r="H84" s="63" t="str">
        <f>Table1[[#This Row],[Tabela]]&amp;Table1[[#This Row],[Campo]]</f>
        <v>lt002_insrmntnt_ln_lss_prvsn_off_blnc</v>
      </c>
      <c r="I84" s="3" t="s">
        <v>177</v>
      </c>
      <c r="J84" s="48">
        <f>VLOOKUP(Table1[[#This Row],[Status]],Auxiliar!$B$16:$C$23,2,0)</f>
        <v>2</v>
      </c>
      <c r="K84" s="22" t="s">
        <v>1137</v>
      </c>
      <c r="L84" s="22" t="s">
        <v>1144</v>
      </c>
      <c r="M84" s="22" t="s">
        <v>1155</v>
      </c>
      <c r="N84" s="53">
        <v>45485</v>
      </c>
      <c r="O84" s="22">
        <f>INDEX(Auxiliar!$D$5:$F$13,MATCH(Table1[[#This Row],[Tipologia_Testes]],Auxiliar!$B$5:$B$13,0),MATCH(Table1[[#This Row],[Complexidade]],Auxiliar!$D$4:$F$4,0))</f>
        <v>4</v>
      </c>
      <c r="P84" s="3"/>
      <c r="Q84" s="3"/>
      <c r="R84" s="173">
        <v>45261</v>
      </c>
      <c r="S84" s="173"/>
      <c r="T84" s="173"/>
      <c r="U84" s="173"/>
      <c r="V84" s="173"/>
      <c r="W84" s="3">
        <f>VLOOKUP(Table1[[#This Row],[Status]],Auxiliar!$B$16:$D$23,3,0)*Table1[[#This Row],[Estimação (horas)]]</f>
        <v>2</v>
      </c>
      <c r="X84" s="3"/>
    </row>
    <row r="85" spans="1:24" ht="17.399999999999999" hidden="1" customHeight="1">
      <c r="A85" t="s">
        <v>1157</v>
      </c>
      <c r="B85" s="14" t="s">
        <v>32</v>
      </c>
      <c r="C85" s="14" t="s">
        <v>32</v>
      </c>
      <c r="D85" s="3" t="s">
        <v>1151</v>
      </c>
      <c r="E85" s="3" t="s">
        <v>38</v>
      </c>
      <c r="F85" s="3" t="s">
        <v>439</v>
      </c>
      <c r="G85" s="3" t="s">
        <v>456</v>
      </c>
      <c r="H85" s="63" t="str">
        <f>Table1[[#This Row],[Tabela]]&amp;Table1[[#This Row],[Campo]]</f>
        <v>lt002_insrmntnt_ln_lss_prvsn_off_blnc</v>
      </c>
      <c r="I85" s="3" t="s">
        <v>177</v>
      </c>
      <c r="J85" s="48">
        <f>VLOOKUP(Table1[[#This Row],[Status]],Auxiliar!$B$16:$C$23,2,0)</f>
        <v>2</v>
      </c>
      <c r="K85" s="22" t="s">
        <v>1138</v>
      </c>
      <c r="L85" s="22" t="s">
        <v>1144</v>
      </c>
      <c r="M85" s="22" t="s">
        <v>1155</v>
      </c>
      <c r="N85" s="53">
        <v>45485</v>
      </c>
      <c r="O85" s="22">
        <f>INDEX(Auxiliar!$D$5:$F$13,MATCH(Table1[[#This Row],[Tipologia_Testes]],Auxiliar!$B$5:$B$13,0),MATCH(Table1[[#This Row],[Complexidade]],Auxiliar!$D$4:$F$4,0))</f>
        <v>4</v>
      </c>
      <c r="P85" s="3"/>
      <c r="Q85" s="3"/>
      <c r="R85" s="173">
        <v>45261</v>
      </c>
      <c r="S85" s="173"/>
      <c r="T85" s="173"/>
      <c r="U85" s="173"/>
      <c r="V85" s="173"/>
      <c r="W85" s="3">
        <f>VLOOKUP(Table1[[#This Row],[Status]],Auxiliar!$B$16:$D$23,3,0)*Table1[[#This Row],[Estimação (horas)]]</f>
        <v>2</v>
      </c>
      <c r="X85" s="3"/>
    </row>
    <row r="86" spans="1:24" ht="17.399999999999999" hidden="1" customHeight="1">
      <c r="B86" s="14" t="s">
        <v>32</v>
      </c>
      <c r="C86" s="14" t="s">
        <v>32</v>
      </c>
      <c r="D86" s="3" t="s">
        <v>1151</v>
      </c>
      <c r="E86" s="3" t="s">
        <v>38</v>
      </c>
      <c r="F86" s="3" t="s">
        <v>439</v>
      </c>
      <c r="G86" s="3" t="s">
        <v>456</v>
      </c>
      <c r="H86" s="63" t="str">
        <f>Table1[[#This Row],[Tabela]]&amp;Table1[[#This Row],[Campo]]</f>
        <v>lt002_insrmntnt_ln_lss_prvsn_off_blnc</v>
      </c>
      <c r="I86" s="3" t="s">
        <v>177</v>
      </c>
      <c r="J86" s="48">
        <f>VLOOKUP(Table1[[#This Row],[Status]],Auxiliar!$B$16:$C$23,2,0)</f>
        <v>2</v>
      </c>
      <c r="K86" s="22" t="s">
        <v>1139</v>
      </c>
      <c r="L86" s="22" t="s">
        <v>1144</v>
      </c>
      <c r="M86" s="22" t="s">
        <v>1155</v>
      </c>
      <c r="N86" s="53">
        <v>45485</v>
      </c>
      <c r="O86" s="131">
        <v>1</v>
      </c>
      <c r="P86" s="3"/>
      <c r="Q86" s="3"/>
      <c r="R86" s="173">
        <v>45261</v>
      </c>
      <c r="S86" s="173"/>
      <c r="T86" s="173"/>
      <c r="U86" s="173"/>
      <c r="V86" s="173"/>
      <c r="W86" s="3">
        <f>VLOOKUP(Table1[[#This Row],[Status]],Auxiliar!$B$16:$D$23,3,0)*Table1[[#This Row],[Estimação (horas)]]</f>
        <v>0.5</v>
      </c>
      <c r="X86" s="3"/>
    </row>
    <row r="87" spans="1:24" ht="17.399999999999999" hidden="1" customHeight="1">
      <c r="B87" s="14" t="s">
        <v>32</v>
      </c>
      <c r="C87" s="14" t="s">
        <v>32</v>
      </c>
      <c r="D87" s="3" t="s">
        <v>1151</v>
      </c>
      <c r="E87" s="3" t="s">
        <v>38</v>
      </c>
      <c r="F87" s="3" t="s">
        <v>439</v>
      </c>
      <c r="G87" s="3" t="s">
        <v>456</v>
      </c>
      <c r="H87" s="63" t="str">
        <f>Table1[[#This Row],[Tabela]]&amp;Table1[[#This Row],[Campo]]</f>
        <v>lt002_insrmntnt_ln_lss_prvsn_off_blnc</v>
      </c>
      <c r="I87" s="3" t="s">
        <v>177</v>
      </c>
      <c r="J87" s="48">
        <f>VLOOKUP(Table1[[#This Row],[Status]],Auxiliar!$B$16:$C$23,2,0)</f>
        <v>2</v>
      </c>
      <c r="K87" s="22" t="s">
        <v>1141</v>
      </c>
      <c r="L87" s="22" t="s">
        <v>1144</v>
      </c>
      <c r="M87" s="22" t="s">
        <v>1155</v>
      </c>
      <c r="N87" s="53">
        <v>45485</v>
      </c>
      <c r="O87" s="22">
        <f>INDEX(Auxiliar!$D$5:$F$13,MATCH(Table1[[#This Row],[Tipologia_Testes]],Auxiliar!$B$5:$B$13,0),MATCH(Table1[[#This Row],[Complexidade]],Auxiliar!$D$4:$F$4,0))</f>
        <v>0.1</v>
      </c>
      <c r="P87" s="3"/>
      <c r="Q87" s="3"/>
      <c r="R87" s="173">
        <v>45261</v>
      </c>
      <c r="S87" s="173"/>
      <c r="T87" s="173"/>
      <c r="U87" s="173"/>
      <c r="V87" s="173"/>
      <c r="W87" s="3">
        <f>VLOOKUP(Table1[[#This Row],[Status]],Auxiliar!$B$16:$D$23,3,0)*Table1[[#This Row],[Estimação (horas)]]</f>
        <v>0.05</v>
      </c>
      <c r="X87" s="3"/>
    </row>
    <row r="88" spans="1:24" ht="17.399999999999999" hidden="1" customHeight="1">
      <c r="B88" s="14" t="s">
        <v>32</v>
      </c>
      <c r="C88" s="14" t="s">
        <v>32</v>
      </c>
      <c r="D88" s="3" t="s">
        <v>1151</v>
      </c>
      <c r="E88" s="3" t="s">
        <v>38</v>
      </c>
      <c r="F88" s="3" t="s">
        <v>439</v>
      </c>
      <c r="G88" s="3" t="s">
        <v>456</v>
      </c>
      <c r="H88" s="63" t="str">
        <f>Table1[[#This Row],[Tabela]]&amp;Table1[[#This Row],[Campo]]</f>
        <v>lt002_insrmntnt_ln_lss_prvsn_off_blnc</v>
      </c>
      <c r="I88" s="3" t="s">
        <v>177</v>
      </c>
      <c r="J88" s="48">
        <f>VLOOKUP(Table1[[#This Row],[Status]],Auxiliar!$B$16:$C$23,2,0)</f>
        <v>2</v>
      </c>
      <c r="K88" s="22" t="s">
        <v>1142</v>
      </c>
      <c r="L88" s="22" t="s">
        <v>1144</v>
      </c>
      <c r="M88" s="22" t="s">
        <v>1145</v>
      </c>
      <c r="N88" s="53">
        <v>45485</v>
      </c>
      <c r="O88" s="22">
        <f>INDEX(Auxiliar!$D$5:$F$13,MATCH(Table1[[#This Row],[Tipologia_Testes]],Auxiliar!$B$5:$B$13,0),MATCH(Table1[[#This Row],[Complexidade]],Auxiliar!$D$4:$F$4,0))</f>
        <v>1</v>
      </c>
      <c r="P88" s="3"/>
      <c r="Q88" s="3"/>
      <c r="R88" s="173">
        <v>45261</v>
      </c>
      <c r="S88" s="173"/>
      <c r="T88" s="173"/>
      <c r="U88" s="173"/>
      <c r="V88" s="173"/>
      <c r="W88" s="3">
        <f>VLOOKUP(Table1[[#This Row],[Status]],Auxiliar!$B$16:$D$23,3,0)*Table1[[#This Row],[Estimação (horas)]]</f>
        <v>0.5</v>
      </c>
      <c r="X88" s="3"/>
    </row>
    <row r="89" spans="1:24" ht="17.399999999999999" hidden="1" customHeight="1">
      <c r="B89" s="14" t="s">
        <v>32</v>
      </c>
      <c r="C89" s="14" t="s">
        <v>32</v>
      </c>
      <c r="D89" s="3" t="s">
        <v>1151</v>
      </c>
      <c r="E89" s="3" t="s">
        <v>38</v>
      </c>
      <c r="F89" s="3" t="s">
        <v>439</v>
      </c>
      <c r="G89" s="3" t="s">
        <v>457</v>
      </c>
      <c r="H89" s="63" t="str">
        <f>Table1[[#This Row],[Tabela]]&amp;Table1[[#This Row],[Campo]]</f>
        <v>lt002_insrmntavrg_blnc_off_blnc</v>
      </c>
      <c r="I89" s="3" t="s">
        <v>177</v>
      </c>
      <c r="J89" s="48">
        <f>VLOOKUP(Table1[[#This Row],[Status]],Auxiliar!$B$16:$C$23,2,0)</f>
        <v>2</v>
      </c>
      <c r="K89" s="22" t="s">
        <v>1137</v>
      </c>
      <c r="L89" s="22" t="s">
        <v>1144</v>
      </c>
      <c r="M89" s="22" t="s">
        <v>1155</v>
      </c>
      <c r="N89" s="53">
        <v>45485</v>
      </c>
      <c r="O89" s="22">
        <f>INDEX(Auxiliar!$D$5:$F$13,MATCH(Table1[[#This Row],[Tipologia_Testes]],Auxiliar!$B$5:$B$13,0),MATCH(Table1[[#This Row],[Complexidade]],Auxiliar!$D$4:$F$4,0))</f>
        <v>4</v>
      </c>
      <c r="P89" s="3"/>
      <c r="Q89" s="3"/>
      <c r="R89" s="173">
        <v>45261</v>
      </c>
      <c r="S89" s="173"/>
      <c r="T89" s="173"/>
      <c r="U89" s="173"/>
      <c r="V89" s="173"/>
      <c r="W89" s="3">
        <f>VLOOKUP(Table1[[#This Row],[Status]],Auxiliar!$B$16:$D$23,3,0)*Table1[[#This Row],[Estimação (horas)]]</f>
        <v>2</v>
      </c>
      <c r="X89" s="3"/>
    </row>
    <row r="90" spans="1:24" ht="17.399999999999999" hidden="1" customHeight="1">
      <c r="B90" s="14" t="s">
        <v>32</v>
      </c>
      <c r="C90" s="14" t="s">
        <v>32</v>
      </c>
      <c r="D90" s="3" t="s">
        <v>1151</v>
      </c>
      <c r="E90" s="3" t="s">
        <v>38</v>
      </c>
      <c r="F90" s="3" t="s">
        <v>439</v>
      </c>
      <c r="G90" s="3" t="s">
        <v>457</v>
      </c>
      <c r="H90" s="63" t="str">
        <f>Table1[[#This Row],[Tabela]]&amp;Table1[[#This Row],[Campo]]</f>
        <v>lt002_insrmntavrg_blnc_off_blnc</v>
      </c>
      <c r="I90" s="3" t="s">
        <v>177</v>
      </c>
      <c r="J90" s="48">
        <f>VLOOKUP(Table1[[#This Row],[Status]],Auxiliar!$B$16:$C$23,2,0)</f>
        <v>2</v>
      </c>
      <c r="K90" s="22" t="s">
        <v>1138</v>
      </c>
      <c r="L90" s="22" t="s">
        <v>1144</v>
      </c>
      <c r="M90" s="22" t="s">
        <v>1155</v>
      </c>
      <c r="N90" s="53">
        <v>45485</v>
      </c>
      <c r="O90" s="22">
        <f>INDEX(Auxiliar!$D$5:$F$13,MATCH(Table1[[#This Row],[Tipologia_Testes]],Auxiliar!$B$5:$B$13,0),MATCH(Table1[[#This Row],[Complexidade]],Auxiliar!$D$4:$F$4,0))</f>
        <v>4</v>
      </c>
      <c r="P90" s="3"/>
      <c r="Q90" s="3"/>
      <c r="R90" s="173">
        <v>45261</v>
      </c>
      <c r="S90" s="173"/>
      <c r="T90" s="173"/>
      <c r="U90" s="173"/>
      <c r="V90" s="173"/>
      <c r="W90" s="3">
        <f>VLOOKUP(Table1[[#This Row],[Status]],Auxiliar!$B$16:$D$23,3,0)*Table1[[#This Row],[Estimação (horas)]]</f>
        <v>2</v>
      </c>
      <c r="X90" s="3"/>
    </row>
    <row r="91" spans="1:24" ht="17.399999999999999" hidden="1" customHeight="1">
      <c r="B91" s="14" t="s">
        <v>32</v>
      </c>
      <c r="C91" s="14" t="s">
        <v>32</v>
      </c>
      <c r="D91" s="3" t="s">
        <v>1151</v>
      </c>
      <c r="E91" s="3" t="s">
        <v>38</v>
      </c>
      <c r="F91" s="3" t="s">
        <v>439</v>
      </c>
      <c r="G91" s="3" t="s">
        <v>457</v>
      </c>
      <c r="H91" s="63" t="str">
        <f>Table1[[#This Row],[Tabela]]&amp;Table1[[#This Row],[Campo]]</f>
        <v>lt002_insrmntavrg_blnc_off_blnc</v>
      </c>
      <c r="I91" s="3" t="s">
        <v>177</v>
      </c>
      <c r="J91" s="48">
        <f>VLOOKUP(Table1[[#This Row],[Status]],Auxiliar!$B$16:$C$23,2,0)</f>
        <v>2</v>
      </c>
      <c r="K91" s="22" t="s">
        <v>1139</v>
      </c>
      <c r="L91" s="22" t="s">
        <v>1144</v>
      </c>
      <c r="M91" s="22" t="s">
        <v>1155</v>
      </c>
      <c r="N91" s="53">
        <v>45485</v>
      </c>
      <c r="O91" s="131">
        <v>1</v>
      </c>
      <c r="P91" s="3"/>
      <c r="Q91" s="3"/>
      <c r="R91" s="173">
        <v>45261</v>
      </c>
      <c r="S91" s="173"/>
      <c r="T91" s="173"/>
      <c r="U91" s="173"/>
      <c r="V91" s="173"/>
      <c r="W91" s="3">
        <f>VLOOKUP(Table1[[#This Row],[Status]],Auxiliar!$B$16:$D$23,3,0)*Table1[[#This Row],[Estimação (horas)]]</f>
        <v>0.5</v>
      </c>
      <c r="X91" s="3"/>
    </row>
    <row r="92" spans="1:24" ht="17.399999999999999" hidden="1" customHeight="1">
      <c r="B92" s="14" t="s">
        <v>32</v>
      </c>
      <c r="C92" s="14" t="s">
        <v>32</v>
      </c>
      <c r="D92" s="3" t="s">
        <v>1151</v>
      </c>
      <c r="E92" s="3" t="s">
        <v>38</v>
      </c>
      <c r="F92" s="3" t="s">
        <v>439</v>
      </c>
      <c r="G92" s="3" t="s">
        <v>457</v>
      </c>
      <c r="H92" s="63" t="str">
        <f>Table1[[#This Row],[Tabela]]&amp;Table1[[#This Row],[Campo]]</f>
        <v>lt002_insrmntavrg_blnc_off_blnc</v>
      </c>
      <c r="I92" s="3" t="s">
        <v>177</v>
      </c>
      <c r="J92" s="48">
        <f>VLOOKUP(Table1[[#This Row],[Status]],Auxiliar!$B$16:$C$23,2,0)</f>
        <v>2</v>
      </c>
      <c r="K92" s="22" t="s">
        <v>1141</v>
      </c>
      <c r="L92" s="22" t="s">
        <v>1144</v>
      </c>
      <c r="M92" s="22" t="s">
        <v>1155</v>
      </c>
      <c r="N92" s="53">
        <v>45485</v>
      </c>
      <c r="O92" s="22">
        <f>INDEX(Auxiliar!$D$5:$F$13,MATCH(Table1[[#This Row],[Tipologia_Testes]],Auxiliar!$B$5:$B$13,0),MATCH(Table1[[#This Row],[Complexidade]],Auxiliar!$D$4:$F$4,0))</f>
        <v>0.1</v>
      </c>
      <c r="P92" s="3"/>
      <c r="Q92" s="3"/>
      <c r="R92" s="173">
        <v>45261</v>
      </c>
      <c r="S92" s="173"/>
      <c r="T92" s="173"/>
      <c r="U92" s="173"/>
      <c r="V92" s="173"/>
      <c r="W92" s="3">
        <f>VLOOKUP(Table1[[#This Row],[Status]],Auxiliar!$B$16:$D$23,3,0)*Table1[[#This Row],[Estimação (horas)]]</f>
        <v>0.05</v>
      </c>
      <c r="X92" s="3"/>
    </row>
    <row r="93" spans="1:24" ht="17.399999999999999" hidden="1" customHeight="1">
      <c r="B93" s="14" t="s">
        <v>32</v>
      </c>
      <c r="C93" s="14" t="s">
        <v>32</v>
      </c>
      <c r="D93" s="3" t="s">
        <v>1151</v>
      </c>
      <c r="E93" s="3" t="s">
        <v>38</v>
      </c>
      <c r="F93" s="3" t="s">
        <v>439</v>
      </c>
      <c r="G93" s="3" t="s">
        <v>457</v>
      </c>
      <c r="H93" s="63" t="str">
        <f>Table1[[#This Row],[Tabela]]&amp;Table1[[#This Row],[Campo]]</f>
        <v>lt002_insrmntavrg_blnc_off_blnc</v>
      </c>
      <c r="I93" s="3" t="s">
        <v>177</v>
      </c>
      <c r="J93" s="48">
        <f>VLOOKUP(Table1[[#This Row],[Status]],Auxiliar!$B$16:$C$23,2,0)</f>
        <v>2</v>
      </c>
      <c r="K93" s="22" t="s">
        <v>1142</v>
      </c>
      <c r="L93" s="22" t="s">
        <v>1144</v>
      </c>
      <c r="M93" s="22" t="s">
        <v>1145</v>
      </c>
      <c r="N93" s="53">
        <v>45485</v>
      </c>
      <c r="O93" s="22">
        <f>INDEX(Auxiliar!$D$5:$F$13,MATCH(Table1[[#This Row],[Tipologia_Testes]],Auxiliar!$B$5:$B$13,0),MATCH(Table1[[#This Row],[Complexidade]],Auxiliar!$D$4:$F$4,0))</f>
        <v>1</v>
      </c>
      <c r="P93" s="3"/>
      <c r="Q93" s="3"/>
      <c r="R93" s="173">
        <v>45261</v>
      </c>
      <c r="S93" s="173"/>
      <c r="T93" s="173"/>
      <c r="U93" s="173"/>
      <c r="V93" s="173"/>
      <c r="W93" s="3">
        <f>VLOOKUP(Table1[[#This Row],[Status]],Auxiliar!$B$16:$D$23,3,0)*Table1[[#This Row],[Estimação (horas)]]</f>
        <v>0.5</v>
      </c>
      <c r="X93" s="3"/>
    </row>
    <row r="94" spans="1:24" ht="17.399999999999999" hidden="1" customHeight="1">
      <c r="B94" s="14" t="s">
        <v>32</v>
      </c>
      <c r="C94" s="14" t="s">
        <v>32</v>
      </c>
      <c r="D94" s="3" t="s">
        <v>1151</v>
      </c>
      <c r="E94" s="3" t="s">
        <v>38</v>
      </c>
      <c r="F94" s="3" t="s">
        <v>439</v>
      </c>
      <c r="G94" s="3" t="s">
        <v>458</v>
      </c>
      <c r="H94" s="63" t="str">
        <f>Table1[[#This Row],[Tabela]]&amp;Table1[[#This Row],[Campo]]</f>
        <v>lt002_insrmntbsnss_area_ccrr</v>
      </c>
      <c r="I94" s="3" t="s">
        <v>177</v>
      </c>
      <c r="J94" s="48">
        <f>VLOOKUP(Table1[[#This Row],[Status]],Auxiliar!$B$16:$C$23,2,0)</f>
        <v>2</v>
      </c>
      <c r="K94" s="22" t="s">
        <v>1138</v>
      </c>
      <c r="L94" s="22" t="s">
        <v>1144</v>
      </c>
      <c r="M94" s="22" t="s">
        <v>1145</v>
      </c>
      <c r="N94" s="53">
        <v>45485</v>
      </c>
      <c r="O94" s="131">
        <v>0.1</v>
      </c>
      <c r="P94" s="3" t="s">
        <v>1158</v>
      </c>
      <c r="Q94" s="3"/>
      <c r="R94" s="173">
        <v>45261</v>
      </c>
      <c r="S94" s="173"/>
      <c r="T94" s="173"/>
      <c r="U94" s="173"/>
      <c r="V94" s="173"/>
      <c r="W94" s="3">
        <f>VLOOKUP(Table1[[#This Row],[Status]],Auxiliar!$B$16:$D$23,3,0)*Table1[[#This Row],[Estimação (horas)]]</f>
        <v>0.05</v>
      </c>
      <c r="X94" s="3"/>
    </row>
    <row r="95" spans="1:24" ht="17.399999999999999" hidden="1" customHeight="1">
      <c r="A95" t="s">
        <v>1157</v>
      </c>
      <c r="B95" s="14" t="s">
        <v>32</v>
      </c>
      <c r="C95" s="14" t="s">
        <v>32</v>
      </c>
      <c r="D95" s="3" t="s">
        <v>1151</v>
      </c>
      <c r="E95" s="3" t="s">
        <v>38</v>
      </c>
      <c r="F95" s="3" t="s">
        <v>439</v>
      </c>
      <c r="G95" s="45" t="s">
        <v>410</v>
      </c>
      <c r="H95" s="63" t="str">
        <f>Table1[[#This Row],[Tabela]]&amp;Table1[[#This Row],[Campo]]</f>
        <v>lt002_insrmntgrss_cmmssn_incm_off_blnc</v>
      </c>
      <c r="I95" s="3" t="s">
        <v>177</v>
      </c>
      <c r="J95" s="48">
        <f>VLOOKUP(Table1[[#This Row],[Status]],Auxiliar!$B$16:$C$23,2,0)</f>
        <v>2</v>
      </c>
      <c r="K95" s="22" t="s">
        <v>1137</v>
      </c>
      <c r="L95" s="22" t="s">
        <v>1144</v>
      </c>
      <c r="M95" s="22" t="s">
        <v>1136</v>
      </c>
      <c r="N95" s="53">
        <v>45485</v>
      </c>
      <c r="O95" s="131">
        <v>4</v>
      </c>
      <c r="P95" s="3" t="s">
        <v>1159</v>
      </c>
      <c r="Q95" s="3"/>
      <c r="R95" s="173">
        <v>45261</v>
      </c>
      <c r="S95" s="173"/>
      <c r="T95" s="173"/>
      <c r="U95" s="173"/>
      <c r="V95" s="173"/>
      <c r="W95" s="3">
        <f>VLOOKUP(Table1[[#This Row],[Status]],Auxiliar!$B$16:$D$23,3,0)*Table1[[#This Row],[Estimação (horas)]]</f>
        <v>2</v>
      </c>
      <c r="X95" s="3"/>
    </row>
    <row r="96" spans="1:24" ht="17.399999999999999" hidden="1" customHeight="1">
      <c r="A96" t="s">
        <v>1157</v>
      </c>
      <c r="B96" s="14" t="s">
        <v>32</v>
      </c>
      <c r="C96" s="14" t="s">
        <v>32</v>
      </c>
      <c r="D96" s="3" t="s">
        <v>1151</v>
      </c>
      <c r="E96" s="3" t="s">
        <v>38</v>
      </c>
      <c r="F96" s="3" t="s">
        <v>439</v>
      </c>
      <c r="G96" s="3" t="s">
        <v>410</v>
      </c>
      <c r="H96" s="63" t="str">
        <f>Table1[[#This Row],[Tabela]]&amp;Table1[[#This Row],[Campo]]</f>
        <v>lt002_insrmntgrss_cmmssn_incm_off_blnc</v>
      </c>
      <c r="I96" s="3" t="s">
        <v>177</v>
      </c>
      <c r="J96" s="48">
        <f>VLOOKUP(Table1[[#This Row],[Status]],Auxiliar!$B$16:$C$23,2,0)</f>
        <v>2</v>
      </c>
      <c r="K96" s="22" t="s">
        <v>1138</v>
      </c>
      <c r="L96" s="22" t="s">
        <v>1144</v>
      </c>
      <c r="M96" s="22" t="s">
        <v>1136</v>
      </c>
      <c r="N96" s="53">
        <v>45485</v>
      </c>
      <c r="O96" s="22">
        <f>INDEX(Auxiliar!$D$5:$F$13,MATCH(Table1[[#This Row],[Tipologia_Testes]],Auxiliar!$B$5:$B$13,0),MATCH(Table1[[#This Row],[Complexidade]],Auxiliar!$D$4:$F$4,0))</f>
        <v>8</v>
      </c>
      <c r="P96" s="3"/>
      <c r="Q96" s="3"/>
      <c r="R96" s="173">
        <v>45261</v>
      </c>
      <c r="S96" s="173"/>
      <c r="T96" s="173"/>
      <c r="U96" s="173"/>
      <c r="V96" s="173"/>
      <c r="W96" s="3">
        <f>VLOOKUP(Table1[[#This Row],[Status]],Auxiliar!$B$16:$D$23,3,0)*Table1[[#This Row],[Estimação (horas)]]</f>
        <v>4</v>
      </c>
      <c r="X96" s="3"/>
    </row>
    <row r="97" spans="1:24" ht="17.399999999999999" hidden="1" customHeight="1">
      <c r="B97" s="14" t="s">
        <v>32</v>
      </c>
      <c r="C97" s="14" t="s">
        <v>32</v>
      </c>
      <c r="D97" s="3" t="s">
        <v>1151</v>
      </c>
      <c r="E97" s="3" t="s">
        <v>38</v>
      </c>
      <c r="F97" s="3" t="s">
        <v>439</v>
      </c>
      <c r="G97" s="3" t="s">
        <v>410</v>
      </c>
      <c r="H97" s="63" t="str">
        <f>Table1[[#This Row],[Tabela]]&amp;Table1[[#This Row],[Campo]]</f>
        <v>lt002_insrmntgrss_cmmssn_incm_off_blnc</v>
      </c>
      <c r="I97" s="3" t="s">
        <v>177</v>
      </c>
      <c r="J97" s="48">
        <f>VLOOKUP(Table1[[#This Row],[Status]],Auxiliar!$B$16:$C$23,2,0)</f>
        <v>2</v>
      </c>
      <c r="K97" s="22" t="s">
        <v>1139</v>
      </c>
      <c r="L97" s="22" t="s">
        <v>1144</v>
      </c>
      <c r="M97" s="22" t="s">
        <v>1136</v>
      </c>
      <c r="N97" s="53">
        <v>45485</v>
      </c>
      <c r="O97" s="131">
        <v>1</v>
      </c>
      <c r="P97" s="3" t="s">
        <v>1160</v>
      </c>
      <c r="Q97" s="3"/>
      <c r="R97" s="173">
        <v>45261</v>
      </c>
      <c r="S97" s="173"/>
      <c r="T97" s="173"/>
      <c r="U97" s="173"/>
      <c r="V97" s="173"/>
      <c r="W97" s="3">
        <f>VLOOKUP(Table1[[#This Row],[Status]],Auxiliar!$B$16:$D$23,3,0)*Table1[[#This Row],[Estimação (horas)]]</f>
        <v>0.5</v>
      </c>
      <c r="X97" s="3"/>
    </row>
    <row r="98" spans="1:24" ht="17.399999999999999" hidden="1" customHeight="1">
      <c r="B98" s="14" t="s">
        <v>32</v>
      </c>
      <c r="C98" s="14" t="s">
        <v>32</v>
      </c>
      <c r="D98" s="3" t="s">
        <v>1151</v>
      </c>
      <c r="E98" s="3" t="s">
        <v>38</v>
      </c>
      <c r="F98" s="3" t="s">
        <v>439</v>
      </c>
      <c r="G98" s="3" t="s">
        <v>410</v>
      </c>
      <c r="H98" s="63" t="str">
        <f>Table1[[#This Row],[Tabela]]&amp;Table1[[#This Row],[Campo]]</f>
        <v>lt002_insrmntgrss_cmmssn_incm_off_blnc</v>
      </c>
      <c r="I98" s="3" t="s">
        <v>177</v>
      </c>
      <c r="J98" s="48">
        <f>VLOOKUP(Table1[[#This Row],[Status]],Auxiliar!$B$16:$C$23,2,0)</f>
        <v>2</v>
      </c>
      <c r="K98" s="22" t="s">
        <v>1141</v>
      </c>
      <c r="L98" s="22" t="s">
        <v>1144</v>
      </c>
      <c r="M98" s="22" t="s">
        <v>1136</v>
      </c>
      <c r="N98" s="53">
        <v>45485</v>
      </c>
      <c r="O98" s="131">
        <v>0.1</v>
      </c>
      <c r="P98" s="3" t="s">
        <v>1161</v>
      </c>
      <c r="Q98" s="3"/>
      <c r="R98" s="173">
        <v>45261</v>
      </c>
      <c r="S98" s="173"/>
      <c r="T98" s="173"/>
      <c r="U98" s="173"/>
      <c r="V98" s="173"/>
      <c r="W98" s="3">
        <f>VLOOKUP(Table1[[#This Row],[Status]],Auxiliar!$B$16:$D$23,3,0)*Table1[[#This Row],[Estimação (horas)]]</f>
        <v>0.05</v>
      </c>
      <c r="X98" s="3"/>
    </row>
    <row r="99" spans="1:24" ht="17.399999999999999" hidden="1" customHeight="1">
      <c r="B99" s="14" t="s">
        <v>32</v>
      </c>
      <c r="C99" s="14" t="s">
        <v>32</v>
      </c>
      <c r="D99" s="3" t="s">
        <v>1151</v>
      </c>
      <c r="E99" s="3" t="s">
        <v>38</v>
      </c>
      <c r="F99" s="3" t="s">
        <v>439</v>
      </c>
      <c r="G99" s="3" t="s">
        <v>410</v>
      </c>
      <c r="H99" s="63" t="str">
        <f>Table1[[#This Row],[Tabela]]&amp;Table1[[#This Row],[Campo]]</f>
        <v>lt002_insrmntgrss_cmmssn_incm_off_blnc</v>
      </c>
      <c r="I99" s="3" t="s">
        <v>177</v>
      </c>
      <c r="J99" s="48">
        <f>VLOOKUP(Table1[[#This Row],[Status]],Auxiliar!$B$16:$C$23,2,0)</f>
        <v>2</v>
      </c>
      <c r="K99" s="22" t="s">
        <v>1142</v>
      </c>
      <c r="L99" s="22" t="s">
        <v>1144</v>
      </c>
      <c r="M99" s="22" t="s">
        <v>1136</v>
      </c>
      <c r="N99" s="53">
        <v>45485</v>
      </c>
      <c r="O99" s="22">
        <f>INDEX(Auxiliar!$D$5:$F$13,MATCH(Table1[[#This Row],[Tipologia_Testes]],Auxiliar!$B$5:$B$13,0),MATCH(Table1[[#This Row],[Complexidade]],Auxiliar!$D$4:$F$4,0))</f>
        <v>2</v>
      </c>
      <c r="P99" s="3"/>
      <c r="Q99" s="3"/>
      <c r="R99" s="173">
        <v>45261</v>
      </c>
      <c r="S99" s="173"/>
      <c r="T99" s="173"/>
      <c r="U99" s="173"/>
      <c r="V99" s="173"/>
      <c r="W99" s="3">
        <f>VLOOKUP(Table1[[#This Row],[Status]],Auxiliar!$B$16:$D$23,3,0)*Table1[[#This Row],[Estimação (horas)]]</f>
        <v>1</v>
      </c>
      <c r="X99" s="3"/>
    </row>
    <row r="100" spans="1:24" ht="17.399999999999999" hidden="1" customHeight="1">
      <c r="B100" s="14" t="s">
        <v>32</v>
      </c>
      <c r="C100" s="14" t="s">
        <v>32</v>
      </c>
      <c r="D100" s="3" t="s">
        <v>1151</v>
      </c>
      <c r="E100" s="3" t="s">
        <v>38</v>
      </c>
      <c r="F100" s="3" t="s">
        <v>439</v>
      </c>
      <c r="G100" s="3" t="s">
        <v>459</v>
      </c>
      <c r="H100" s="63" t="str">
        <f>Table1[[#This Row],[Tabela]]&amp;Table1[[#This Row],[Campo]]</f>
        <v>lt002_insrmntgrss_cmmssn_expns_off_blnc_ccrr</v>
      </c>
      <c r="I100" s="3" t="s">
        <v>177</v>
      </c>
      <c r="J100" s="48">
        <f>VLOOKUP(Table1[[#This Row],[Status]],Auxiliar!$B$16:$C$23,2,0)</f>
        <v>2</v>
      </c>
      <c r="K100" s="22" t="s">
        <v>1138</v>
      </c>
      <c r="L100" s="22" t="s">
        <v>1144</v>
      </c>
      <c r="M100" s="22" t="s">
        <v>1145</v>
      </c>
      <c r="N100" s="53">
        <v>45485</v>
      </c>
      <c r="O100" s="131">
        <v>0.1</v>
      </c>
      <c r="P100" s="3" t="s">
        <v>1158</v>
      </c>
      <c r="Q100" s="3"/>
      <c r="R100" s="173">
        <v>45261</v>
      </c>
      <c r="S100" s="173"/>
      <c r="T100" s="173"/>
      <c r="U100" s="173"/>
      <c r="V100" s="173"/>
      <c r="W100" s="3">
        <f>VLOOKUP(Table1[[#This Row],[Status]],Auxiliar!$B$16:$D$23,3,0)*Table1[[#This Row],[Estimação (horas)]]</f>
        <v>0.05</v>
      </c>
      <c r="X100" s="3"/>
    </row>
    <row r="101" spans="1:24" ht="17.399999999999999" hidden="1" customHeight="1">
      <c r="A101" t="s">
        <v>1157</v>
      </c>
      <c r="B101" s="14" t="s">
        <v>32</v>
      </c>
      <c r="C101" s="14" t="s">
        <v>32</v>
      </c>
      <c r="D101" s="3" t="s">
        <v>1151</v>
      </c>
      <c r="E101" s="3" t="s">
        <v>38</v>
      </c>
      <c r="F101" s="3" t="s">
        <v>439</v>
      </c>
      <c r="G101" s="3" t="s">
        <v>460</v>
      </c>
      <c r="H101" s="63" t="str">
        <f>Table1[[#This Row],[Tabela]]&amp;Table1[[#This Row],[Campo]]</f>
        <v>lt002_insrmntgrss_cmmssn_expns_off_blnc</v>
      </c>
      <c r="I101" s="3" t="s">
        <v>177</v>
      </c>
      <c r="J101" s="48">
        <f>VLOOKUP(Table1[[#This Row],[Status]],Auxiliar!$B$16:$C$23,2,0)</f>
        <v>2</v>
      </c>
      <c r="K101" s="22" t="s">
        <v>1137</v>
      </c>
      <c r="L101" s="22" t="s">
        <v>1144</v>
      </c>
      <c r="M101" s="22" t="s">
        <v>1136</v>
      </c>
      <c r="N101" s="53">
        <v>45485</v>
      </c>
      <c r="O101" s="131">
        <v>4</v>
      </c>
      <c r="P101" s="3" t="s">
        <v>1159</v>
      </c>
      <c r="Q101" s="3"/>
      <c r="R101" s="173">
        <v>45261</v>
      </c>
      <c r="S101" s="173"/>
      <c r="T101" s="173"/>
      <c r="U101" s="173"/>
      <c r="V101" s="173"/>
      <c r="W101" s="3">
        <f>VLOOKUP(Table1[[#This Row],[Status]],Auxiliar!$B$16:$D$23,3,0)*Table1[[#This Row],[Estimação (horas)]]</f>
        <v>2</v>
      </c>
      <c r="X101" s="3"/>
    </row>
    <row r="102" spans="1:24" ht="17.399999999999999" hidden="1" customHeight="1">
      <c r="A102" t="s">
        <v>1157</v>
      </c>
      <c r="B102" s="14" t="s">
        <v>32</v>
      </c>
      <c r="C102" s="14" t="s">
        <v>32</v>
      </c>
      <c r="D102" s="3" t="s">
        <v>1151</v>
      </c>
      <c r="E102" s="3" t="s">
        <v>38</v>
      </c>
      <c r="F102" s="3" t="s">
        <v>439</v>
      </c>
      <c r="G102" s="3" t="s">
        <v>460</v>
      </c>
      <c r="H102" s="63" t="str">
        <f>Table1[[#This Row],[Tabela]]&amp;Table1[[#This Row],[Campo]]</f>
        <v>lt002_insrmntgrss_cmmssn_expns_off_blnc</v>
      </c>
      <c r="I102" s="3" t="s">
        <v>177</v>
      </c>
      <c r="J102" s="48">
        <f>VLOOKUP(Table1[[#This Row],[Status]],Auxiliar!$B$16:$C$23,2,0)</f>
        <v>2</v>
      </c>
      <c r="K102" s="22" t="s">
        <v>1138</v>
      </c>
      <c r="L102" s="22" t="s">
        <v>1144</v>
      </c>
      <c r="M102" s="22" t="s">
        <v>1136</v>
      </c>
      <c r="N102" s="53">
        <v>45485</v>
      </c>
      <c r="O102" s="22">
        <f>INDEX(Auxiliar!$D$5:$F$13,MATCH(Table1[[#This Row],[Tipologia_Testes]],Auxiliar!$B$5:$B$13,0),MATCH(Table1[[#This Row],[Complexidade]],Auxiliar!$D$4:$F$4,0))</f>
        <v>8</v>
      </c>
      <c r="P102" s="3"/>
      <c r="Q102" s="3"/>
      <c r="R102" s="173">
        <v>45261</v>
      </c>
      <c r="S102" s="173"/>
      <c r="T102" s="173"/>
      <c r="U102" s="173"/>
      <c r="V102" s="173"/>
      <c r="W102" s="3">
        <f>VLOOKUP(Table1[[#This Row],[Status]],Auxiliar!$B$16:$D$23,3,0)*Table1[[#This Row],[Estimação (horas)]]</f>
        <v>4</v>
      </c>
      <c r="X102" s="3"/>
    </row>
    <row r="103" spans="1:24" ht="17.399999999999999" hidden="1" customHeight="1">
      <c r="A103" t="s">
        <v>1157</v>
      </c>
      <c r="B103" s="14" t="s">
        <v>32</v>
      </c>
      <c r="C103" s="14" t="s">
        <v>32</v>
      </c>
      <c r="D103" s="3" t="s">
        <v>1151</v>
      </c>
      <c r="E103" s="3" t="s">
        <v>38</v>
      </c>
      <c r="F103" s="3" t="s">
        <v>439</v>
      </c>
      <c r="G103" s="3" t="s">
        <v>460</v>
      </c>
      <c r="H103" s="63" t="str">
        <f>Table1[[#This Row],[Tabela]]&amp;Table1[[#This Row],[Campo]]</f>
        <v>lt002_insrmntgrss_cmmssn_expns_off_blnc</v>
      </c>
      <c r="I103" s="3" t="s">
        <v>177</v>
      </c>
      <c r="J103" s="48">
        <f>VLOOKUP(Table1[[#This Row],[Status]],Auxiliar!$B$16:$C$23,2,0)</f>
        <v>2</v>
      </c>
      <c r="K103" s="22" t="s">
        <v>1139</v>
      </c>
      <c r="L103" s="22" t="s">
        <v>1144</v>
      </c>
      <c r="M103" s="22" t="s">
        <v>1136</v>
      </c>
      <c r="N103" s="53">
        <v>45485</v>
      </c>
      <c r="O103" s="131">
        <v>1</v>
      </c>
      <c r="P103" s="3" t="s">
        <v>1160</v>
      </c>
      <c r="Q103" s="3"/>
      <c r="R103" s="173">
        <v>45261</v>
      </c>
      <c r="S103" s="173"/>
      <c r="T103" s="173"/>
      <c r="U103" s="173"/>
      <c r="V103" s="173"/>
      <c r="W103" s="3">
        <f>VLOOKUP(Table1[[#This Row],[Status]],Auxiliar!$B$16:$D$23,3,0)*Table1[[#This Row],[Estimação (horas)]]</f>
        <v>0.5</v>
      </c>
      <c r="X103" s="3"/>
    </row>
    <row r="104" spans="1:24" ht="17.399999999999999" hidden="1" customHeight="1">
      <c r="A104" t="s">
        <v>1157</v>
      </c>
      <c r="B104" s="14" t="s">
        <v>32</v>
      </c>
      <c r="C104" s="14" t="s">
        <v>32</v>
      </c>
      <c r="D104" s="3" t="s">
        <v>1151</v>
      </c>
      <c r="E104" s="3" t="s">
        <v>38</v>
      </c>
      <c r="F104" s="3" t="s">
        <v>439</v>
      </c>
      <c r="G104" s="3" t="s">
        <v>460</v>
      </c>
      <c r="H104" s="63" t="str">
        <f>Table1[[#This Row],[Tabela]]&amp;Table1[[#This Row],[Campo]]</f>
        <v>lt002_insrmntgrss_cmmssn_expns_off_blnc</v>
      </c>
      <c r="I104" s="3" t="s">
        <v>177</v>
      </c>
      <c r="J104" s="48">
        <f>VLOOKUP(Table1[[#This Row],[Status]],Auxiliar!$B$16:$C$23,2,0)</f>
        <v>2</v>
      </c>
      <c r="K104" s="22" t="s">
        <v>1141</v>
      </c>
      <c r="L104" s="22" t="s">
        <v>1144</v>
      </c>
      <c r="M104" s="22" t="s">
        <v>1136</v>
      </c>
      <c r="N104" s="53">
        <v>45485</v>
      </c>
      <c r="O104" s="131">
        <v>0.1</v>
      </c>
      <c r="P104" s="3" t="s">
        <v>1161</v>
      </c>
      <c r="Q104" s="3"/>
      <c r="R104" s="173">
        <v>45261</v>
      </c>
      <c r="S104" s="173"/>
      <c r="T104" s="173"/>
      <c r="U104" s="173"/>
      <c r="V104" s="173"/>
      <c r="W104" s="3">
        <f>VLOOKUP(Table1[[#This Row],[Status]],Auxiliar!$B$16:$D$23,3,0)*Table1[[#This Row],[Estimação (horas)]]</f>
        <v>0.05</v>
      </c>
      <c r="X104" s="3"/>
    </row>
    <row r="105" spans="1:24" ht="17.399999999999999" hidden="1" customHeight="1">
      <c r="B105" s="14" t="s">
        <v>32</v>
      </c>
      <c r="C105" s="14" t="s">
        <v>32</v>
      </c>
      <c r="D105" s="3" t="s">
        <v>1151</v>
      </c>
      <c r="E105" s="3" t="s">
        <v>38</v>
      </c>
      <c r="F105" s="3" t="s">
        <v>439</v>
      </c>
      <c r="G105" s="3" t="s">
        <v>460</v>
      </c>
      <c r="H105" s="63" t="str">
        <f>Table1[[#This Row],[Tabela]]&amp;Table1[[#This Row],[Campo]]</f>
        <v>lt002_insrmntgrss_cmmssn_expns_off_blnc</v>
      </c>
      <c r="I105" s="3" t="s">
        <v>177</v>
      </c>
      <c r="J105" s="48">
        <f>VLOOKUP(Table1[[#This Row],[Status]],Auxiliar!$B$16:$C$23,2,0)</f>
        <v>2</v>
      </c>
      <c r="K105" s="22" t="s">
        <v>1142</v>
      </c>
      <c r="L105" s="22" t="s">
        <v>1144</v>
      </c>
      <c r="M105" s="22" t="s">
        <v>1136</v>
      </c>
      <c r="N105" s="53">
        <v>45485</v>
      </c>
      <c r="O105" s="22">
        <f>INDEX(Auxiliar!$D$5:$F$13,MATCH(Table1[[#This Row],[Tipologia_Testes]],Auxiliar!$B$5:$B$13,0),MATCH(Table1[[#This Row],[Complexidade]],Auxiliar!$D$4:$F$4,0))</f>
        <v>2</v>
      </c>
      <c r="P105" s="3"/>
      <c r="Q105" s="3"/>
      <c r="R105" s="173">
        <v>45261</v>
      </c>
      <c r="S105" s="173"/>
      <c r="T105" s="173"/>
      <c r="U105" s="173"/>
      <c r="V105" s="173"/>
      <c r="W105" s="3">
        <f>VLOOKUP(Table1[[#This Row],[Status]],Auxiliar!$B$16:$D$23,3,0)*Table1[[#This Row],[Estimação (horas)]]</f>
        <v>1</v>
      </c>
      <c r="X105" s="3"/>
    </row>
    <row r="106" spans="1:24" ht="17.399999999999999" hidden="1" customHeight="1">
      <c r="B106" s="14" t="s">
        <v>32</v>
      </c>
      <c r="C106" s="14" t="s">
        <v>32</v>
      </c>
      <c r="D106" s="3" t="s">
        <v>1151</v>
      </c>
      <c r="E106" s="3" t="s">
        <v>38</v>
      </c>
      <c r="F106" s="3" t="s">
        <v>439</v>
      </c>
      <c r="G106" s="3" t="s">
        <v>461</v>
      </c>
      <c r="H106" s="63" t="str">
        <f>Table1[[#This Row],[Tabela]]&amp;Table1[[#This Row],[Campo]]</f>
        <v>lt002_insrmntgrss_cmmssn_incm_off_blnc_ccrr</v>
      </c>
      <c r="I106" s="3" t="s">
        <v>177</v>
      </c>
      <c r="J106" s="48">
        <f>VLOOKUP(Table1[[#This Row],[Status]],Auxiliar!$B$16:$C$23,2,0)</f>
        <v>2</v>
      </c>
      <c r="K106" s="22" t="s">
        <v>1138</v>
      </c>
      <c r="L106" s="22" t="s">
        <v>1144</v>
      </c>
      <c r="M106" s="22" t="s">
        <v>1145</v>
      </c>
      <c r="N106" s="53">
        <v>45485</v>
      </c>
      <c r="O106" s="131">
        <v>0.1</v>
      </c>
      <c r="P106" s="3" t="s">
        <v>1158</v>
      </c>
      <c r="Q106" s="3"/>
      <c r="R106" s="173">
        <v>45261</v>
      </c>
      <c r="S106" s="173"/>
      <c r="T106" s="173"/>
      <c r="U106" s="173"/>
      <c r="V106" s="173"/>
      <c r="W106" s="3">
        <f>VLOOKUP(Table1[[#This Row],[Status]],Auxiliar!$B$16:$D$23,3,0)*Table1[[#This Row],[Estimação (horas)]]</f>
        <v>0.05</v>
      </c>
      <c r="X106" s="3"/>
    </row>
    <row r="107" spans="1:24" ht="17.399999999999999" hidden="1" customHeight="1">
      <c r="A107" t="s">
        <v>1157</v>
      </c>
      <c r="B107" s="14" t="s">
        <v>32</v>
      </c>
      <c r="C107" s="14" t="s">
        <v>32</v>
      </c>
      <c r="D107" s="2" t="s">
        <v>1151</v>
      </c>
      <c r="E107" s="3" t="s">
        <v>38</v>
      </c>
      <c r="F107" s="3" t="s">
        <v>439</v>
      </c>
      <c r="G107" s="2" t="s">
        <v>408</v>
      </c>
      <c r="H107" s="64" t="str">
        <f>Table1[[#This Row],[Tabela]]&amp;Table1[[#This Row],[Campo]]</f>
        <v>lt002_insrmntgrss_intrst_incm</v>
      </c>
      <c r="I107" s="3" t="s">
        <v>177</v>
      </c>
      <c r="J107" s="48">
        <f>VLOOKUP(Table1[[#This Row],[Status]],Auxiliar!$B$16:$C$23,2,0)</f>
        <v>2</v>
      </c>
      <c r="K107" s="22" t="s">
        <v>1137</v>
      </c>
      <c r="L107" s="22" t="s">
        <v>1144</v>
      </c>
      <c r="M107" s="22" t="s">
        <v>1136</v>
      </c>
      <c r="N107" s="53">
        <v>45485</v>
      </c>
      <c r="O107" s="131">
        <v>4</v>
      </c>
      <c r="P107" s="3" t="s">
        <v>1159</v>
      </c>
      <c r="Q107" s="3"/>
      <c r="R107" s="173">
        <v>45261</v>
      </c>
      <c r="S107" s="173"/>
      <c r="T107" s="173"/>
      <c r="U107" s="173"/>
      <c r="V107" s="173"/>
      <c r="W107" s="3">
        <f>VLOOKUP(Table1[[#This Row],[Status]],Auxiliar!$B$16:$D$23,3,0)*Table1[[#This Row],[Estimação (horas)]]</f>
        <v>2</v>
      </c>
      <c r="X107" s="3"/>
    </row>
    <row r="108" spans="1:24" ht="17.399999999999999" hidden="1" customHeight="1">
      <c r="A108" t="s">
        <v>1157</v>
      </c>
      <c r="B108" s="14" t="s">
        <v>32</v>
      </c>
      <c r="C108" s="14" t="s">
        <v>32</v>
      </c>
      <c r="D108" s="3" t="s">
        <v>1151</v>
      </c>
      <c r="E108" s="3" t="s">
        <v>38</v>
      </c>
      <c r="F108" s="3" t="s">
        <v>439</v>
      </c>
      <c r="G108" s="3" t="s">
        <v>408</v>
      </c>
      <c r="H108" s="63" t="str">
        <f>Table1[[#This Row],[Tabela]]&amp;Table1[[#This Row],[Campo]]</f>
        <v>lt002_insrmntgrss_intrst_incm</v>
      </c>
      <c r="I108" s="3" t="s">
        <v>177</v>
      </c>
      <c r="J108" s="48">
        <f>VLOOKUP(Table1[[#This Row],[Status]],Auxiliar!$B$16:$C$23,2,0)</f>
        <v>2</v>
      </c>
      <c r="K108" s="22" t="s">
        <v>1138</v>
      </c>
      <c r="L108" s="22" t="s">
        <v>1144</v>
      </c>
      <c r="M108" s="22" t="s">
        <v>1136</v>
      </c>
      <c r="N108" s="53">
        <v>45485</v>
      </c>
      <c r="O108" s="22">
        <f>INDEX(Auxiliar!$D$5:$F$13,MATCH(Table1[[#This Row],[Tipologia_Testes]],Auxiliar!$B$5:$B$13,0),MATCH(Table1[[#This Row],[Complexidade]],Auxiliar!$D$4:$F$4,0))</f>
        <v>8</v>
      </c>
      <c r="P108" s="3"/>
      <c r="Q108" s="3"/>
      <c r="R108" s="173">
        <v>45261</v>
      </c>
      <c r="S108" s="173"/>
      <c r="T108" s="173"/>
      <c r="U108" s="173"/>
      <c r="V108" s="173"/>
      <c r="W108" s="3">
        <f>VLOOKUP(Table1[[#This Row],[Status]],Auxiliar!$B$16:$D$23,3,0)*Table1[[#This Row],[Estimação (horas)]]</f>
        <v>4</v>
      </c>
      <c r="X108" s="3"/>
    </row>
    <row r="109" spans="1:24" ht="17.399999999999999" hidden="1" customHeight="1">
      <c r="B109" s="14" t="s">
        <v>32</v>
      </c>
      <c r="C109" s="14" t="s">
        <v>32</v>
      </c>
      <c r="D109" s="3" t="s">
        <v>1151</v>
      </c>
      <c r="E109" s="3" t="s">
        <v>38</v>
      </c>
      <c r="F109" s="3" t="s">
        <v>439</v>
      </c>
      <c r="G109" s="3" t="s">
        <v>408</v>
      </c>
      <c r="H109" s="63" t="str">
        <f>Table1[[#This Row],[Tabela]]&amp;Table1[[#This Row],[Campo]]</f>
        <v>lt002_insrmntgrss_intrst_incm</v>
      </c>
      <c r="I109" s="3" t="s">
        <v>177</v>
      </c>
      <c r="J109" s="48">
        <f>VLOOKUP(Table1[[#This Row],[Status]],Auxiliar!$B$16:$C$23,2,0)</f>
        <v>2</v>
      </c>
      <c r="K109" s="22" t="s">
        <v>1139</v>
      </c>
      <c r="L109" s="22" t="s">
        <v>1144</v>
      </c>
      <c r="M109" s="22" t="s">
        <v>1136</v>
      </c>
      <c r="N109" s="53">
        <v>45485</v>
      </c>
      <c r="O109" s="131">
        <v>1</v>
      </c>
      <c r="P109" s="3" t="s">
        <v>1160</v>
      </c>
      <c r="Q109" s="3"/>
      <c r="R109" s="173">
        <v>45261</v>
      </c>
      <c r="S109" s="173"/>
      <c r="T109" s="173"/>
      <c r="U109" s="173"/>
      <c r="V109" s="173"/>
      <c r="W109" s="3">
        <f>VLOOKUP(Table1[[#This Row],[Status]],Auxiliar!$B$16:$D$23,3,0)*Table1[[#This Row],[Estimação (horas)]]</f>
        <v>0.5</v>
      </c>
      <c r="X109" s="3"/>
    </row>
    <row r="110" spans="1:24" ht="17.399999999999999" hidden="1" customHeight="1">
      <c r="B110" s="14" t="s">
        <v>32</v>
      </c>
      <c r="C110" s="14" t="s">
        <v>32</v>
      </c>
      <c r="D110" s="3" t="s">
        <v>1151</v>
      </c>
      <c r="E110" s="3" t="s">
        <v>38</v>
      </c>
      <c r="F110" s="3" t="s">
        <v>439</v>
      </c>
      <c r="G110" s="3" t="s">
        <v>408</v>
      </c>
      <c r="H110" s="63" t="str">
        <f>Table1[[#This Row],[Tabela]]&amp;Table1[[#This Row],[Campo]]</f>
        <v>lt002_insrmntgrss_intrst_incm</v>
      </c>
      <c r="I110" s="3" t="s">
        <v>177</v>
      </c>
      <c r="J110" s="48">
        <f>VLOOKUP(Table1[[#This Row],[Status]],Auxiliar!$B$16:$C$23,2,0)</f>
        <v>2</v>
      </c>
      <c r="K110" s="22" t="s">
        <v>1141</v>
      </c>
      <c r="L110" s="22" t="s">
        <v>1144</v>
      </c>
      <c r="M110" s="22" t="s">
        <v>1136</v>
      </c>
      <c r="N110" s="53">
        <v>45485</v>
      </c>
      <c r="O110" s="131">
        <v>0.1</v>
      </c>
      <c r="P110" s="3" t="s">
        <v>1161</v>
      </c>
      <c r="Q110" s="3"/>
      <c r="R110" s="173">
        <v>45261</v>
      </c>
      <c r="S110" s="173"/>
      <c r="T110" s="173"/>
      <c r="U110" s="173"/>
      <c r="V110" s="173"/>
      <c r="W110" s="3">
        <f>VLOOKUP(Table1[[#This Row],[Status]],Auxiliar!$B$16:$D$23,3,0)*Table1[[#This Row],[Estimação (horas)]]</f>
        <v>0.05</v>
      </c>
      <c r="X110" s="3"/>
    </row>
    <row r="111" spans="1:24" ht="17.399999999999999" hidden="1" customHeight="1">
      <c r="B111" s="14" t="s">
        <v>32</v>
      </c>
      <c r="C111" s="14" t="s">
        <v>32</v>
      </c>
      <c r="D111" s="3" t="s">
        <v>1151</v>
      </c>
      <c r="E111" s="3" t="s">
        <v>38</v>
      </c>
      <c r="F111" s="3" t="s">
        <v>439</v>
      </c>
      <c r="G111" s="3" t="s">
        <v>408</v>
      </c>
      <c r="H111" s="63" t="str">
        <f>Table1[[#This Row],[Tabela]]&amp;Table1[[#This Row],[Campo]]</f>
        <v>lt002_insrmntgrss_intrst_incm</v>
      </c>
      <c r="I111" s="3" t="s">
        <v>177</v>
      </c>
      <c r="J111" s="48">
        <f>VLOOKUP(Table1[[#This Row],[Status]],Auxiliar!$B$16:$C$23,2,0)</f>
        <v>2</v>
      </c>
      <c r="K111" s="22" t="s">
        <v>1142</v>
      </c>
      <c r="L111" s="22" t="s">
        <v>1144</v>
      </c>
      <c r="M111" s="22" t="s">
        <v>1136</v>
      </c>
      <c r="N111" s="53">
        <v>45485</v>
      </c>
      <c r="O111" s="22">
        <f>INDEX(Auxiliar!$D$5:$F$13,MATCH(Table1[[#This Row],[Tipologia_Testes]],Auxiliar!$B$5:$B$13,0),MATCH(Table1[[#This Row],[Complexidade]],Auxiliar!$D$4:$F$4,0))</f>
        <v>2</v>
      </c>
      <c r="P111" s="3"/>
      <c r="Q111" s="3"/>
      <c r="R111" s="173">
        <v>45261</v>
      </c>
      <c r="S111" s="173"/>
      <c r="T111" s="173"/>
      <c r="U111" s="173"/>
      <c r="V111" s="173"/>
      <c r="W111" s="3">
        <f>VLOOKUP(Table1[[#This Row],[Status]],Auxiliar!$B$16:$D$23,3,0)*Table1[[#This Row],[Estimação (horas)]]</f>
        <v>1</v>
      </c>
      <c r="X111" s="3"/>
    </row>
    <row r="112" spans="1:24" ht="17.399999999999999" hidden="1" customHeight="1">
      <c r="B112" s="14" t="s">
        <v>32</v>
      </c>
      <c r="C112" s="14" t="s">
        <v>32</v>
      </c>
      <c r="D112" s="2" t="s">
        <v>1151</v>
      </c>
      <c r="E112" s="3" t="s">
        <v>38</v>
      </c>
      <c r="F112" s="3" t="s">
        <v>439</v>
      </c>
      <c r="G112" s="2" t="s">
        <v>409</v>
      </c>
      <c r="H112" s="64" t="str">
        <f>Table1[[#This Row],[Tabela]]&amp;Table1[[#This Row],[Campo]]</f>
        <v>lt002_insrmntgrss_cmmssn_incm</v>
      </c>
      <c r="I112" s="3" t="s">
        <v>177</v>
      </c>
      <c r="J112" s="48">
        <f>VLOOKUP(Table1[[#This Row],[Status]],Auxiliar!$B$16:$C$23,2,0)</f>
        <v>2</v>
      </c>
      <c r="K112" s="22" t="s">
        <v>1137</v>
      </c>
      <c r="L112" s="22" t="s">
        <v>1144</v>
      </c>
      <c r="M112" s="22" t="s">
        <v>1136</v>
      </c>
      <c r="N112" s="53">
        <v>45485</v>
      </c>
      <c r="O112" s="131">
        <v>4</v>
      </c>
      <c r="P112" s="3" t="s">
        <v>1159</v>
      </c>
      <c r="Q112" s="3"/>
      <c r="R112" s="173">
        <v>45261</v>
      </c>
      <c r="S112" s="173"/>
      <c r="T112" s="173"/>
      <c r="U112" s="173"/>
      <c r="V112" s="173"/>
      <c r="W112" s="3">
        <f>VLOOKUP(Table1[[#This Row],[Status]],Auxiliar!$B$16:$D$23,3,0)*Table1[[#This Row],[Estimação (horas)]]</f>
        <v>2</v>
      </c>
      <c r="X112" s="3"/>
    </row>
    <row r="113" spans="1:24" ht="17.399999999999999" hidden="1" customHeight="1">
      <c r="A113" t="s">
        <v>1157</v>
      </c>
      <c r="B113" s="14" t="s">
        <v>32</v>
      </c>
      <c r="C113" s="14" t="s">
        <v>32</v>
      </c>
      <c r="D113" s="3" t="s">
        <v>1151</v>
      </c>
      <c r="E113" s="3" t="s">
        <v>38</v>
      </c>
      <c r="F113" s="3" t="s">
        <v>439</v>
      </c>
      <c r="G113" s="3" t="s">
        <v>409</v>
      </c>
      <c r="H113" s="63" t="str">
        <f>Table1[[#This Row],[Tabela]]&amp;Table1[[#This Row],[Campo]]</f>
        <v>lt002_insrmntgrss_cmmssn_incm</v>
      </c>
      <c r="I113" s="3" t="s">
        <v>177</v>
      </c>
      <c r="J113" s="48">
        <f>VLOOKUP(Table1[[#This Row],[Status]],Auxiliar!$B$16:$C$23,2,0)</f>
        <v>2</v>
      </c>
      <c r="K113" s="22" t="s">
        <v>1138</v>
      </c>
      <c r="L113" s="22" t="s">
        <v>1144</v>
      </c>
      <c r="M113" s="22" t="s">
        <v>1136</v>
      </c>
      <c r="N113" s="53">
        <v>45485</v>
      </c>
      <c r="O113" s="22">
        <f>INDEX(Auxiliar!$D$5:$F$13,MATCH(Table1[[#This Row],[Tipologia_Testes]],Auxiliar!$B$5:$B$13,0),MATCH(Table1[[#This Row],[Complexidade]],Auxiliar!$D$4:$F$4,0))</f>
        <v>8</v>
      </c>
      <c r="P113" s="3"/>
      <c r="Q113" s="3"/>
      <c r="R113" s="173">
        <v>45261</v>
      </c>
      <c r="S113" s="173"/>
      <c r="T113" s="173"/>
      <c r="U113" s="173"/>
      <c r="V113" s="173"/>
      <c r="W113" s="3">
        <f>VLOOKUP(Table1[[#This Row],[Status]],Auxiliar!$B$16:$D$23,3,0)*Table1[[#This Row],[Estimação (horas)]]</f>
        <v>4</v>
      </c>
      <c r="X113" s="3"/>
    </row>
    <row r="114" spans="1:24" ht="17.399999999999999" hidden="1" customHeight="1">
      <c r="B114" s="14" t="s">
        <v>32</v>
      </c>
      <c r="C114" s="14" t="s">
        <v>32</v>
      </c>
      <c r="D114" s="3" t="s">
        <v>1151</v>
      </c>
      <c r="E114" s="3" t="s">
        <v>38</v>
      </c>
      <c r="F114" s="3" t="s">
        <v>439</v>
      </c>
      <c r="G114" s="3" t="s">
        <v>409</v>
      </c>
      <c r="H114" s="63" t="str">
        <f>Table1[[#This Row],[Tabela]]&amp;Table1[[#This Row],[Campo]]</f>
        <v>lt002_insrmntgrss_cmmssn_incm</v>
      </c>
      <c r="I114" s="3" t="s">
        <v>177</v>
      </c>
      <c r="J114" s="48">
        <f>VLOOKUP(Table1[[#This Row],[Status]],Auxiliar!$B$16:$C$23,2,0)</f>
        <v>2</v>
      </c>
      <c r="K114" s="22" t="s">
        <v>1139</v>
      </c>
      <c r="L114" s="22" t="s">
        <v>1144</v>
      </c>
      <c r="M114" s="22" t="s">
        <v>1136</v>
      </c>
      <c r="N114" s="53">
        <v>45485</v>
      </c>
      <c r="O114" s="131">
        <v>1</v>
      </c>
      <c r="P114" s="3" t="s">
        <v>1160</v>
      </c>
      <c r="Q114" s="3"/>
      <c r="R114" s="173">
        <v>45261</v>
      </c>
      <c r="S114" s="173"/>
      <c r="T114" s="173"/>
      <c r="U114" s="173"/>
      <c r="V114" s="173"/>
      <c r="W114" s="3">
        <f>VLOOKUP(Table1[[#This Row],[Status]],Auxiliar!$B$16:$D$23,3,0)*Table1[[#This Row],[Estimação (horas)]]</f>
        <v>0.5</v>
      </c>
      <c r="X114" s="3"/>
    </row>
    <row r="115" spans="1:24" ht="17.399999999999999" hidden="1" customHeight="1">
      <c r="B115" s="14" t="s">
        <v>32</v>
      </c>
      <c r="C115" s="14" t="s">
        <v>32</v>
      </c>
      <c r="D115" s="3" t="s">
        <v>1151</v>
      </c>
      <c r="E115" s="3" t="s">
        <v>38</v>
      </c>
      <c r="F115" s="3" t="s">
        <v>439</v>
      </c>
      <c r="G115" s="3" t="s">
        <v>409</v>
      </c>
      <c r="H115" s="63" t="str">
        <f>Table1[[#This Row],[Tabela]]&amp;Table1[[#This Row],[Campo]]</f>
        <v>lt002_insrmntgrss_cmmssn_incm</v>
      </c>
      <c r="I115" s="3" t="s">
        <v>177</v>
      </c>
      <c r="J115" s="48">
        <f>VLOOKUP(Table1[[#This Row],[Status]],Auxiliar!$B$16:$C$23,2,0)</f>
        <v>2</v>
      </c>
      <c r="K115" s="22" t="s">
        <v>1141</v>
      </c>
      <c r="L115" s="22" t="s">
        <v>1144</v>
      </c>
      <c r="M115" s="22" t="s">
        <v>1136</v>
      </c>
      <c r="N115" s="53">
        <v>45485</v>
      </c>
      <c r="O115" s="131">
        <v>0.1</v>
      </c>
      <c r="P115" s="3" t="s">
        <v>1161</v>
      </c>
      <c r="Q115" s="3"/>
      <c r="R115" s="173">
        <v>45261</v>
      </c>
      <c r="S115" s="173"/>
      <c r="T115" s="173"/>
      <c r="U115" s="173"/>
      <c r="V115" s="173"/>
      <c r="W115" s="3">
        <f>VLOOKUP(Table1[[#This Row],[Status]],Auxiliar!$B$16:$D$23,3,0)*Table1[[#This Row],[Estimação (horas)]]</f>
        <v>0.05</v>
      </c>
      <c r="X115" s="3"/>
    </row>
    <row r="116" spans="1:24" ht="17.399999999999999" hidden="1" customHeight="1">
      <c r="B116" s="14" t="s">
        <v>32</v>
      </c>
      <c r="C116" s="14" t="s">
        <v>32</v>
      </c>
      <c r="D116" s="3" t="s">
        <v>1151</v>
      </c>
      <c r="E116" s="3" t="s">
        <v>38</v>
      </c>
      <c r="F116" s="3" t="s">
        <v>439</v>
      </c>
      <c r="G116" s="3" t="s">
        <v>409</v>
      </c>
      <c r="H116" s="63" t="str">
        <f>Table1[[#This Row],[Tabela]]&amp;Table1[[#This Row],[Campo]]</f>
        <v>lt002_insrmntgrss_cmmssn_incm</v>
      </c>
      <c r="I116" s="3" t="s">
        <v>177</v>
      </c>
      <c r="J116" s="48">
        <f>VLOOKUP(Table1[[#This Row],[Status]],Auxiliar!$B$16:$C$23,2,0)</f>
        <v>2</v>
      </c>
      <c r="K116" s="22" t="s">
        <v>1142</v>
      </c>
      <c r="L116" s="22" t="s">
        <v>1144</v>
      </c>
      <c r="M116" s="22" t="s">
        <v>1136</v>
      </c>
      <c r="N116" s="53">
        <v>45485</v>
      </c>
      <c r="O116" s="22">
        <f>INDEX(Auxiliar!$D$5:$F$13,MATCH(Table1[[#This Row],[Tipologia_Testes]],Auxiliar!$B$5:$B$13,0),MATCH(Table1[[#This Row],[Complexidade]],Auxiliar!$D$4:$F$4,0))</f>
        <v>2</v>
      </c>
      <c r="P116" s="3"/>
      <c r="Q116" s="3"/>
      <c r="R116" s="173">
        <v>45261</v>
      </c>
      <c r="S116" s="173"/>
      <c r="T116" s="173"/>
      <c r="U116" s="173"/>
      <c r="V116" s="173"/>
      <c r="W116" s="3">
        <f>VLOOKUP(Table1[[#This Row],[Status]],Auxiliar!$B$16:$D$23,3,0)*Table1[[#This Row],[Estimação (horas)]]</f>
        <v>1</v>
      </c>
      <c r="X116" s="3"/>
    </row>
    <row r="117" spans="1:24" ht="17.399999999999999" hidden="1" customHeight="1">
      <c r="B117" s="14" t="s">
        <v>32</v>
      </c>
      <c r="C117" s="14" t="s">
        <v>32</v>
      </c>
      <c r="D117" s="3" t="s">
        <v>1151</v>
      </c>
      <c r="E117" s="3" t="s">
        <v>38</v>
      </c>
      <c r="F117" s="3" t="s">
        <v>439</v>
      </c>
      <c r="G117" s="3" t="s">
        <v>462</v>
      </c>
      <c r="H117" s="63" t="str">
        <f>Table1[[#This Row],[Tabela]]&amp;Table1[[#This Row],[Campo]]</f>
        <v>lt002_insrmntgrss_cmmssn_incm_ccrr</v>
      </c>
      <c r="I117" s="3" t="s">
        <v>177</v>
      </c>
      <c r="J117" s="48">
        <f>VLOOKUP(Table1[[#This Row],[Status]],Auxiliar!$B$16:$C$23,2,0)</f>
        <v>2</v>
      </c>
      <c r="K117" s="22" t="s">
        <v>1138</v>
      </c>
      <c r="L117" s="22" t="s">
        <v>1144</v>
      </c>
      <c r="M117" s="22" t="s">
        <v>1145</v>
      </c>
      <c r="N117" s="53">
        <v>45485</v>
      </c>
      <c r="O117" s="131">
        <v>0.1</v>
      </c>
      <c r="P117" s="3" t="s">
        <v>1158</v>
      </c>
      <c r="Q117" s="3"/>
      <c r="R117" s="173">
        <v>45261</v>
      </c>
      <c r="S117" s="173"/>
      <c r="T117" s="173"/>
      <c r="U117" s="173"/>
      <c r="V117" s="173"/>
      <c r="W117" s="3">
        <f>VLOOKUP(Table1[[#This Row],[Status]],Auxiliar!$B$16:$D$23,3,0)*Table1[[#This Row],[Estimação (horas)]]</f>
        <v>0.05</v>
      </c>
      <c r="X117" s="3"/>
    </row>
    <row r="118" spans="1:24" ht="17.399999999999999" hidden="1" customHeight="1">
      <c r="B118" s="14" t="s">
        <v>32</v>
      </c>
      <c r="C118" s="14" t="s">
        <v>32</v>
      </c>
      <c r="D118" s="3" t="s">
        <v>1151</v>
      </c>
      <c r="E118" s="3" t="s">
        <v>38</v>
      </c>
      <c r="F118" s="3" t="s">
        <v>439</v>
      </c>
      <c r="G118" s="3" t="s">
        <v>463</v>
      </c>
      <c r="H118" s="63" t="str">
        <f>Table1[[#This Row],[Tabela]]&amp;Table1[[#This Row],[Campo]]</f>
        <v>lt002_insrmntintrnl_trnsfr_rt</v>
      </c>
      <c r="I118" s="3" t="s">
        <v>177</v>
      </c>
      <c r="J118" s="48">
        <f>VLOOKUP(Table1[[#This Row],[Status]],Auxiliar!$B$16:$C$23,2,0)</f>
        <v>2</v>
      </c>
      <c r="K118" s="22" t="s">
        <v>1137</v>
      </c>
      <c r="L118" s="22" t="s">
        <v>1144</v>
      </c>
      <c r="M118" s="22" t="s">
        <v>1136</v>
      </c>
      <c r="N118" s="53">
        <v>45485</v>
      </c>
      <c r="O118" s="131">
        <v>4</v>
      </c>
      <c r="P118" s="3" t="s">
        <v>1159</v>
      </c>
      <c r="Q118" s="3"/>
      <c r="R118" s="173">
        <v>45261</v>
      </c>
      <c r="S118" s="173"/>
      <c r="T118" s="173"/>
      <c r="U118" s="173"/>
      <c r="V118" s="173"/>
      <c r="W118" s="3">
        <f>VLOOKUP(Table1[[#This Row],[Status]],Auxiliar!$B$16:$D$23,3,0)*Table1[[#This Row],[Estimação (horas)]]</f>
        <v>2</v>
      </c>
      <c r="X118" s="3"/>
    </row>
    <row r="119" spans="1:24" ht="17.399999999999999" hidden="1" customHeight="1">
      <c r="B119" s="14" t="s">
        <v>32</v>
      </c>
      <c r="C119" s="14" t="s">
        <v>32</v>
      </c>
      <c r="D119" s="3" t="s">
        <v>1151</v>
      </c>
      <c r="E119" s="3" t="s">
        <v>38</v>
      </c>
      <c r="F119" s="3" t="s">
        <v>439</v>
      </c>
      <c r="G119" s="3" t="s">
        <v>463</v>
      </c>
      <c r="H119" s="63" t="str">
        <f>Table1[[#This Row],[Tabela]]&amp;Table1[[#This Row],[Campo]]</f>
        <v>lt002_insrmntintrnl_trnsfr_rt</v>
      </c>
      <c r="I119" s="3" t="s">
        <v>177</v>
      </c>
      <c r="J119" s="48">
        <f>VLOOKUP(Table1[[#This Row],[Status]],Auxiliar!$B$16:$C$23,2,0)</f>
        <v>2</v>
      </c>
      <c r="K119" s="22" t="s">
        <v>1138</v>
      </c>
      <c r="L119" s="22" t="s">
        <v>1144</v>
      </c>
      <c r="M119" s="22" t="s">
        <v>1136</v>
      </c>
      <c r="N119" s="53">
        <v>45485</v>
      </c>
      <c r="O119" s="22">
        <f>INDEX(Auxiliar!$D$5:$F$13,MATCH(Table1[[#This Row],[Tipologia_Testes]],Auxiliar!$B$5:$B$13,0),MATCH(Table1[[#This Row],[Complexidade]],Auxiliar!$D$4:$F$4,0))</f>
        <v>8</v>
      </c>
      <c r="P119" s="3"/>
      <c r="Q119" s="3"/>
      <c r="R119" s="173">
        <v>45261</v>
      </c>
      <c r="S119" s="173"/>
      <c r="T119" s="173"/>
      <c r="U119" s="173"/>
      <c r="V119" s="173"/>
      <c r="W119" s="3">
        <f>VLOOKUP(Table1[[#This Row],[Status]],Auxiliar!$B$16:$D$23,3,0)*Table1[[#This Row],[Estimação (horas)]]</f>
        <v>4</v>
      </c>
      <c r="X119" s="3"/>
    </row>
    <row r="120" spans="1:24" ht="17.399999999999999" hidden="1" customHeight="1">
      <c r="B120" s="14" t="s">
        <v>32</v>
      </c>
      <c r="C120" s="14" t="s">
        <v>32</v>
      </c>
      <c r="D120" s="3" t="s">
        <v>1151</v>
      </c>
      <c r="E120" s="3" t="s">
        <v>38</v>
      </c>
      <c r="F120" s="3" t="s">
        <v>439</v>
      </c>
      <c r="G120" s="3" t="s">
        <v>463</v>
      </c>
      <c r="H120" s="63" t="str">
        <f>Table1[[#This Row],[Tabela]]&amp;Table1[[#This Row],[Campo]]</f>
        <v>lt002_insrmntintrnl_trnsfr_rt</v>
      </c>
      <c r="I120" s="3" t="s">
        <v>177</v>
      </c>
      <c r="J120" s="48">
        <f>VLOOKUP(Table1[[#This Row],[Status]],Auxiliar!$B$16:$C$23,2,0)</f>
        <v>2</v>
      </c>
      <c r="K120" s="22" t="s">
        <v>1139</v>
      </c>
      <c r="L120" s="22" t="s">
        <v>1144</v>
      </c>
      <c r="M120" s="22" t="s">
        <v>1136</v>
      </c>
      <c r="N120" s="53">
        <v>45485</v>
      </c>
      <c r="O120" s="131">
        <v>1</v>
      </c>
      <c r="P120" s="3" t="s">
        <v>1160</v>
      </c>
      <c r="Q120" s="3"/>
      <c r="R120" s="173">
        <v>45261</v>
      </c>
      <c r="S120" s="173"/>
      <c r="T120" s="173"/>
      <c r="U120" s="173"/>
      <c r="V120" s="173"/>
      <c r="W120" s="3">
        <f>VLOOKUP(Table1[[#This Row],[Status]],Auxiliar!$B$16:$D$23,3,0)*Table1[[#This Row],[Estimação (horas)]]</f>
        <v>0.5</v>
      </c>
      <c r="X120" s="3"/>
    </row>
    <row r="121" spans="1:24" ht="17.399999999999999" hidden="1" customHeight="1">
      <c r="B121" s="14" t="s">
        <v>32</v>
      </c>
      <c r="C121" s="14" t="s">
        <v>32</v>
      </c>
      <c r="D121" s="3" t="s">
        <v>1151</v>
      </c>
      <c r="E121" s="3" t="s">
        <v>38</v>
      </c>
      <c r="F121" s="3" t="s">
        <v>439</v>
      </c>
      <c r="G121" s="3" t="s">
        <v>463</v>
      </c>
      <c r="H121" s="63" t="str">
        <f>Table1[[#This Row],[Tabela]]&amp;Table1[[#This Row],[Campo]]</f>
        <v>lt002_insrmntintrnl_trnsfr_rt</v>
      </c>
      <c r="I121" s="3" t="s">
        <v>177</v>
      </c>
      <c r="J121" s="48">
        <f>VLOOKUP(Table1[[#This Row],[Status]],Auxiliar!$B$16:$C$23,2,0)</f>
        <v>2</v>
      </c>
      <c r="K121" s="22" t="s">
        <v>1141</v>
      </c>
      <c r="L121" s="22" t="s">
        <v>1144</v>
      </c>
      <c r="M121" s="22" t="s">
        <v>1136</v>
      </c>
      <c r="N121" s="53">
        <v>45485</v>
      </c>
      <c r="O121" s="131">
        <v>0.1</v>
      </c>
      <c r="P121" s="3" t="s">
        <v>1161</v>
      </c>
      <c r="Q121" s="3"/>
      <c r="R121" s="173">
        <v>45261</v>
      </c>
      <c r="S121" s="173"/>
      <c r="T121" s="173"/>
      <c r="U121" s="173"/>
      <c r="V121" s="173"/>
      <c r="W121" s="3">
        <f>VLOOKUP(Table1[[#This Row],[Status]],Auxiliar!$B$16:$D$23,3,0)*Table1[[#This Row],[Estimação (horas)]]</f>
        <v>0.05</v>
      </c>
      <c r="X121" s="3"/>
    </row>
    <row r="122" spans="1:24" ht="17.399999999999999" hidden="1" customHeight="1">
      <c r="B122" s="14" t="s">
        <v>32</v>
      </c>
      <c r="C122" s="14" t="s">
        <v>32</v>
      </c>
      <c r="D122" s="3" t="s">
        <v>1151</v>
      </c>
      <c r="E122" s="3" t="s">
        <v>38</v>
      </c>
      <c r="F122" s="3" t="s">
        <v>439</v>
      </c>
      <c r="G122" s="3" t="s">
        <v>463</v>
      </c>
      <c r="H122" s="63" t="str">
        <f>Table1[[#This Row],[Tabela]]&amp;Table1[[#This Row],[Campo]]</f>
        <v>lt002_insrmntintrnl_trnsfr_rt</v>
      </c>
      <c r="I122" s="3" t="s">
        <v>177</v>
      </c>
      <c r="J122" s="48">
        <f>VLOOKUP(Table1[[#This Row],[Status]],Auxiliar!$B$16:$C$23,2,0)</f>
        <v>2</v>
      </c>
      <c r="K122" s="22" t="s">
        <v>1142</v>
      </c>
      <c r="L122" s="22" t="s">
        <v>1144</v>
      </c>
      <c r="M122" s="22" t="s">
        <v>1136</v>
      </c>
      <c r="N122" s="53">
        <v>45485</v>
      </c>
      <c r="O122" s="22">
        <f>INDEX(Auxiliar!$D$5:$F$13,MATCH(Table1[[#This Row],[Tipologia_Testes]],Auxiliar!$B$5:$B$13,0),MATCH(Table1[[#This Row],[Complexidade]],Auxiliar!$D$4:$F$4,0))</f>
        <v>2</v>
      </c>
      <c r="P122" s="3"/>
      <c r="Q122" s="3"/>
      <c r="R122" s="173">
        <v>45261</v>
      </c>
      <c r="S122" s="173"/>
      <c r="T122" s="173"/>
      <c r="U122" s="173"/>
      <c r="V122" s="173"/>
      <c r="W122" s="3">
        <f>VLOOKUP(Table1[[#This Row],[Status]],Auxiliar!$B$16:$D$23,3,0)*Table1[[#This Row],[Estimação (horas)]]</f>
        <v>1</v>
      </c>
      <c r="X122" s="3"/>
    </row>
    <row r="123" spans="1:24" ht="17.399999999999999" hidden="1" customHeight="1">
      <c r="B123" s="14" t="s">
        <v>32</v>
      </c>
      <c r="C123" s="14" t="s">
        <v>32</v>
      </c>
      <c r="D123" s="3" t="s">
        <v>1151</v>
      </c>
      <c r="E123" s="3" t="s">
        <v>38</v>
      </c>
      <c r="F123" s="3" t="s">
        <v>439</v>
      </c>
      <c r="G123" s="45" t="s">
        <v>464</v>
      </c>
      <c r="H123" s="63" t="str">
        <f>Table1[[#This Row],[Tabela]]&amp;Table1[[#This Row],[Campo]]</f>
        <v>lt002_insrmntgrss_cmmssn_expns</v>
      </c>
      <c r="I123" s="3" t="s">
        <v>177</v>
      </c>
      <c r="J123" s="48">
        <f>VLOOKUP(Table1[[#This Row],[Status]],Auxiliar!$B$16:$C$23,2,0)</f>
        <v>2</v>
      </c>
      <c r="K123" s="22" t="s">
        <v>1137</v>
      </c>
      <c r="L123" s="22" t="s">
        <v>1144</v>
      </c>
      <c r="M123" s="22" t="s">
        <v>1136</v>
      </c>
      <c r="N123" s="53">
        <v>45485</v>
      </c>
      <c r="O123" s="131">
        <v>4</v>
      </c>
      <c r="P123" s="3" t="s">
        <v>1159</v>
      </c>
      <c r="Q123" s="3"/>
      <c r="R123" s="173">
        <v>45261</v>
      </c>
      <c r="S123" s="173"/>
      <c r="T123" s="173"/>
      <c r="U123" s="173"/>
      <c r="V123" s="173"/>
      <c r="W123" s="3">
        <f>VLOOKUP(Table1[[#This Row],[Status]],Auxiliar!$B$16:$D$23,3,0)*Table1[[#This Row],[Estimação (horas)]]</f>
        <v>2</v>
      </c>
      <c r="X123" s="3"/>
    </row>
    <row r="124" spans="1:24" ht="17.399999999999999" hidden="1" customHeight="1">
      <c r="B124" s="14" t="s">
        <v>32</v>
      </c>
      <c r="C124" s="14" t="s">
        <v>32</v>
      </c>
      <c r="D124" s="3" t="s">
        <v>1151</v>
      </c>
      <c r="E124" s="3" t="s">
        <v>38</v>
      </c>
      <c r="F124" s="3" t="s">
        <v>439</v>
      </c>
      <c r="G124" s="3" t="s">
        <v>464</v>
      </c>
      <c r="H124" s="63" t="str">
        <f>Table1[[#This Row],[Tabela]]&amp;Table1[[#This Row],[Campo]]</f>
        <v>lt002_insrmntgrss_cmmssn_expns</v>
      </c>
      <c r="I124" s="3" t="s">
        <v>177</v>
      </c>
      <c r="J124" s="48">
        <f>VLOOKUP(Table1[[#This Row],[Status]],Auxiliar!$B$16:$C$23,2,0)</f>
        <v>2</v>
      </c>
      <c r="K124" s="22" t="s">
        <v>1138</v>
      </c>
      <c r="L124" s="22" t="s">
        <v>1144</v>
      </c>
      <c r="M124" s="22" t="s">
        <v>1136</v>
      </c>
      <c r="N124" s="53">
        <v>45485</v>
      </c>
      <c r="O124" s="22">
        <f>INDEX(Auxiliar!$D$5:$F$13,MATCH(Table1[[#This Row],[Tipologia_Testes]],Auxiliar!$B$5:$B$13,0),MATCH(Table1[[#This Row],[Complexidade]],Auxiliar!$D$4:$F$4,0))</f>
        <v>8</v>
      </c>
      <c r="P124" s="3"/>
      <c r="Q124" s="3"/>
      <c r="R124" s="173">
        <v>45261</v>
      </c>
      <c r="S124" s="173"/>
      <c r="T124" s="173"/>
      <c r="U124" s="173"/>
      <c r="V124" s="173"/>
      <c r="W124" s="3">
        <f>VLOOKUP(Table1[[#This Row],[Status]],Auxiliar!$B$16:$D$23,3,0)*Table1[[#This Row],[Estimação (horas)]]</f>
        <v>4</v>
      </c>
      <c r="X124" s="3"/>
    </row>
    <row r="125" spans="1:24" ht="17.399999999999999" hidden="1" customHeight="1">
      <c r="B125" s="14" t="s">
        <v>32</v>
      </c>
      <c r="C125" s="14" t="s">
        <v>32</v>
      </c>
      <c r="D125" s="3" t="s">
        <v>1151</v>
      </c>
      <c r="E125" s="3" t="s">
        <v>38</v>
      </c>
      <c r="F125" s="3" t="s">
        <v>439</v>
      </c>
      <c r="G125" s="3" t="s">
        <v>464</v>
      </c>
      <c r="H125" s="63" t="str">
        <f>Table1[[#This Row],[Tabela]]&amp;Table1[[#This Row],[Campo]]</f>
        <v>lt002_insrmntgrss_cmmssn_expns</v>
      </c>
      <c r="I125" s="3" t="s">
        <v>177</v>
      </c>
      <c r="J125" s="48">
        <f>VLOOKUP(Table1[[#This Row],[Status]],Auxiliar!$B$16:$C$23,2,0)</f>
        <v>2</v>
      </c>
      <c r="K125" s="22" t="s">
        <v>1139</v>
      </c>
      <c r="L125" s="22" t="s">
        <v>1144</v>
      </c>
      <c r="M125" s="22" t="s">
        <v>1136</v>
      </c>
      <c r="N125" s="53">
        <v>45485</v>
      </c>
      <c r="O125" s="131">
        <v>1</v>
      </c>
      <c r="P125" s="3" t="s">
        <v>1160</v>
      </c>
      <c r="Q125" s="3"/>
      <c r="R125" s="173">
        <v>45261</v>
      </c>
      <c r="S125" s="173"/>
      <c r="T125" s="173"/>
      <c r="U125" s="173"/>
      <c r="V125" s="173"/>
      <c r="W125" s="3">
        <f>VLOOKUP(Table1[[#This Row],[Status]],Auxiliar!$B$16:$D$23,3,0)*Table1[[#This Row],[Estimação (horas)]]</f>
        <v>0.5</v>
      </c>
      <c r="X125" s="3"/>
    </row>
    <row r="126" spans="1:24" ht="17.399999999999999" hidden="1" customHeight="1">
      <c r="B126" s="14" t="s">
        <v>32</v>
      </c>
      <c r="C126" s="14" t="s">
        <v>32</v>
      </c>
      <c r="D126" s="3" t="s">
        <v>1151</v>
      </c>
      <c r="E126" s="3" t="s">
        <v>38</v>
      </c>
      <c r="F126" s="3" t="s">
        <v>439</v>
      </c>
      <c r="G126" s="3" t="s">
        <v>464</v>
      </c>
      <c r="H126" s="63" t="str">
        <f>Table1[[#This Row],[Tabela]]&amp;Table1[[#This Row],[Campo]]</f>
        <v>lt002_insrmntgrss_cmmssn_expns</v>
      </c>
      <c r="I126" s="3" t="s">
        <v>177</v>
      </c>
      <c r="J126" s="48">
        <f>VLOOKUP(Table1[[#This Row],[Status]],Auxiliar!$B$16:$C$23,2,0)</f>
        <v>2</v>
      </c>
      <c r="K126" s="22" t="s">
        <v>1141</v>
      </c>
      <c r="L126" s="22" t="s">
        <v>1144</v>
      </c>
      <c r="M126" s="22" t="s">
        <v>1136</v>
      </c>
      <c r="N126" s="53">
        <v>45485</v>
      </c>
      <c r="O126" s="131">
        <v>0.1</v>
      </c>
      <c r="P126" s="3" t="s">
        <v>1161</v>
      </c>
      <c r="Q126" s="3"/>
      <c r="R126" s="173">
        <v>45261</v>
      </c>
      <c r="S126" s="173"/>
      <c r="T126" s="173"/>
      <c r="U126" s="173"/>
      <c r="V126" s="173"/>
      <c r="W126" s="3">
        <f>VLOOKUP(Table1[[#This Row],[Status]],Auxiliar!$B$16:$D$23,3,0)*Table1[[#This Row],[Estimação (horas)]]</f>
        <v>0.05</v>
      </c>
      <c r="X126" s="3"/>
    </row>
    <row r="127" spans="1:24" ht="17.399999999999999" hidden="1" customHeight="1">
      <c r="B127" s="14" t="s">
        <v>32</v>
      </c>
      <c r="C127" s="14" t="s">
        <v>32</v>
      </c>
      <c r="D127" s="3" t="s">
        <v>1151</v>
      </c>
      <c r="E127" s="3" t="s">
        <v>38</v>
      </c>
      <c r="F127" s="3" t="s">
        <v>439</v>
      </c>
      <c r="G127" s="3" t="s">
        <v>464</v>
      </c>
      <c r="H127" s="63" t="str">
        <f>Table1[[#This Row],[Tabela]]&amp;Table1[[#This Row],[Campo]]</f>
        <v>lt002_insrmntgrss_cmmssn_expns</v>
      </c>
      <c r="I127" s="3" t="s">
        <v>177</v>
      </c>
      <c r="J127" s="48">
        <f>VLOOKUP(Table1[[#This Row],[Status]],Auxiliar!$B$16:$C$23,2,0)</f>
        <v>2</v>
      </c>
      <c r="K127" s="22" t="s">
        <v>1142</v>
      </c>
      <c r="L127" s="22" t="s">
        <v>1144</v>
      </c>
      <c r="M127" s="22" t="s">
        <v>1136</v>
      </c>
      <c r="N127" s="53">
        <v>45485</v>
      </c>
      <c r="O127" s="22">
        <f>INDEX(Auxiliar!$D$5:$F$13,MATCH(Table1[[#This Row],[Tipologia_Testes]],Auxiliar!$B$5:$B$13,0),MATCH(Table1[[#This Row],[Complexidade]],Auxiliar!$D$4:$F$4,0))</f>
        <v>2</v>
      </c>
      <c r="P127" s="3"/>
      <c r="Q127" s="3"/>
      <c r="R127" s="173">
        <v>45261</v>
      </c>
      <c r="S127" s="173"/>
      <c r="T127" s="173"/>
      <c r="U127" s="173"/>
      <c r="V127" s="173"/>
      <c r="W127" s="3">
        <f>VLOOKUP(Table1[[#This Row],[Status]],Auxiliar!$B$16:$D$23,3,0)*Table1[[#This Row],[Estimação (horas)]]</f>
        <v>1</v>
      </c>
      <c r="X127" s="3"/>
    </row>
    <row r="128" spans="1:24" ht="17.399999999999999" hidden="1" customHeight="1">
      <c r="B128" s="14" t="s">
        <v>32</v>
      </c>
      <c r="C128" s="14" t="s">
        <v>32</v>
      </c>
      <c r="D128" s="3" t="s">
        <v>1151</v>
      </c>
      <c r="E128" s="3" t="s">
        <v>38</v>
      </c>
      <c r="F128" s="3" t="s">
        <v>439</v>
      </c>
      <c r="G128" s="3" t="s">
        <v>465</v>
      </c>
      <c r="H128" s="63" t="str">
        <f>Table1[[#This Row],[Tabela]]&amp;Table1[[#This Row],[Campo]]</f>
        <v>lt002_insrmntgrss_cmmssn_expns_ccrr</v>
      </c>
      <c r="I128" s="3" t="s">
        <v>177</v>
      </c>
      <c r="J128" s="48">
        <f>VLOOKUP(Table1[[#This Row],[Status]],Auxiliar!$B$16:$C$23,2,0)</f>
        <v>2</v>
      </c>
      <c r="K128" s="22" t="s">
        <v>1138</v>
      </c>
      <c r="L128" s="22" t="s">
        <v>1144</v>
      </c>
      <c r="M128" s="22" t="s">
        <v>1145</v>
      </c>
      <c r="N128" s="53">
        <v>45485</v>
      </c>
      <c r="O128" s="131">
        <v>0.1</v>
      </c>
      <c r="P128" s="3" t="s">
        <v>1158</v>
      </c>
      <c r="Q128" s="3"/>
      <c r="R128" s="173">
        <v>45261</v>
      </c>
      <c r="S128" s="173"/>
      <c r="T128" s="173"/>
      <c r="U128" s="173"/>
      <c r="V128" s="173"/>
      <c r="W128" s="3">
        <f>VLOOKUP(Table1[[#This Row],[Status]],Auxiliar!$B$16:$D$23,3,0)*Table1[[#This Row],[Estimação (horas)]]</f>
        <v>0.05</v>
      </c>
      <c r="X128" s="3"/>
    </row>
    <row r="129" spans="2:24" ht="17.399999999999999" hidden="1" customHeight="1">
      <c r="B129" s="14" t="s">
        <v>32</v>
      </c>
      <c r="C129" s="14" t="s">
        <v>32</v>
      </c>
      <c r="D129" s="3" t="s">
        <v>1151</v>
      </c>
      <c r="E129" s="3" t="s">
        <v>38</v>
      </c>
      <c r="F129" s="3" t="s">
        <v>439</v>
      </c>
      <c r="G129" s="3" t="s">
        <v>466</v>
      </c>
      <c r="H129" s="63" t="str">
        <f>Table1[[#This Row],[Tabela]]&amp;Table1[[#This Row],[Campo]]</f>
        <v>lt002_insrmntgrss_intrst_expns</v>
      </c>
      <c r="I129" s="3" t="s">
        <v>177</v>
      </c>
      <c r="J129" s="48">
        <f>VLOOKUP(Table1[[#This Row],[Status]],Auxiliar!$B$16:$C$23,2,0)</f>
        <v>2</v>
      </c>
      <c r="K129" s="22" t="s">
        <v>1137</v>
      </c>
      <c r="L129" s="22" t="s">
        <v>1144</v>
      </c>
      <c r="M129" s="22" t="s">
        <v>1136</v>
      </c>
      <c r="N129" s="53">
        <v>45485</v>
      </c>
      <c r="O129" s="131">
        <v>4</v>
      </c>
      <c r="P129" s="3" t="s">
        <v>1159</v>
      </c>
      <c r="Q129" s="3"/>
      <c r="R129" s="173">
        <v>45261</v>
      </c>
      <c r="S129" s="173"/>
      <c r="T129" s="173"/>
      <c r="U129" s="173"/>
      <c r="V129" s="173"/>
      <c r="W129" s="3">
        <f>VLOOKUP(Table1[[#This Row],[Status]],Auxiliar!$B$16:$D$23,3,0)*Table1[[#This Row],[Estimação (horas)]]</f>
        <v>2</v>
      </c>
      <c r="X129" s="3"/>
    </row>
    <row r="130" spans="2:24" ht="17.399999999999999" hidden="1" customHeight="1">
      <c r="B130" s="14" t="s">
        <v>32</v>
      </c>
      <c r="C130" s="14" t="s">
        <v>32</v>
      </c>
      <c r="D130" s="3" t="s">
        <v>1151</v>
      </c>
      <c r="E130" s="3" t="s">
        <v>38</v>
      </c>
      <c r="F130" s="3" t="s">
        <v>439</v>
      </c>
      <c r="G130" s="3" t="s">
        <v>466</v>
      </c>
      <c r="H130" s="63" t="str">
        <f>Table1[[#This Row],[Tabela]]&amp;Table1[[#This Row],[Campo]]</f>
        <v>lt002_insrmntgrss_intrst_expns</v>
      </c>
      <c r="I130" s="3" t="s">
        <v>177</v>
      </c>
      <c r="J130" s="48">
        <f>VLOOKUP(Table1[[#This Row],[Status]],Auxiliar!$B$16:$C$23,2,0)</f>
        <v>2</v>
      </c>
      <c r="K130" s="22" t="s">
        <v>1138</v>
      </c>
      <c r="L130" s="22" t="s">
        <v>1144</v>
      </c>
      <c r="M130" s="22" t="s">
        <v>1136</v>
      </c>
      <c r="N130" s="53">
        <v>45485</v>
      </c>
      <c r="O130" s="22">
        <f>INDEX(Auxiliar!$D$5:$F$13,MATCH(Table1[[#This Row],[Tipologia_Testes]],Auxiliar!$B$5:$B$13,0),MATCH(Table1[[#This Row],[Complexidade]],Auxiliar!$D$4:$F$4,0))</f>
        <v>8</v>
      </c>
      <c r="P130" s="3"/>
      <c r="Q130" s="3"/>
      <c r="R130" s="173">
        <v>45261</v>
      </c>
      <c r="S130" s="173"/>
      <c r="T130" s="173"/>
      <c r="U130" s="173"/>
      <c r="V130" s="173"/>
      <c r="W130" s="3">
        <f>VLOOKUP(Table1[[#This Row],[Status]],Auxiliar!$B$16:$D$23,3,0)*Table1[[#This Row],[Estimação (horas)]]</f>
        <v>4</v>
      </c>
      <c r="X130" s="3"/>
    </row>
    <row r="131" spans="2:24" ht="17.399999999999999" hidden="1" customHeight="1">
      <c r="B131" s="14" t="s">
        <v>32</v>
      </c>
      <c r="C131" s="14" t="s">
        <v>32</v>
      </c>
      <c r="D131" s="3" t="s">
        <v>1151</v>
      </c>
      <c r="E131" s="3" t="s">
        <v>38</v>
      </c>
      <c r="F131" s="3" t="s">
        <v>439</v>
      </c>
      <c r="G131" s="3" t="s">
        <v>466</v>
      </c>
      <c r="H131" s="63" t="str">
        <f>Table1[[#This Row],[Tabela]]&amp;Table1[[#This Row],[Campo]]</f>
        <v>lt002_insrmntgrss_intrst_expns</v>
      </c>
      <c r="I131" s="3" t="s">
        <v>177</v>
      </c>
      <c r="J131" s="48">
        <f>VLOOKUP(Table1[[#This Row],[Status]],Auxiliar!$B$16:$C$23,2,0)</f>
        <v>2</v>
      </c>
      <c r="K131" s="22" t="s">
        <v>1139</v>
      </c>
      <c r="L131" s="22" t="s">
        <v>1144</v>
      </c>
      <c r="M131" s="22" t="s">
        <v>1136</v>
      </c>
      <c r="N131" s="53">
        <v>45485</v>
      </c>
      <c r="O131" s="131">
        <v>1</v>
      </c>
      <c r="P131" s="3" t="s">
        <v>1160</v>
      </c>
      <c r="Q131" s="3"/>
      <c r="R131" s="173">
        <v>45261</v>
      </c>
      <c r="S131" s="173"/>
      <c r="T131" s="173"/>
      <c r="U131" s="173"/>
      <c r="V131" s="173"/>
      <c r="W131" s="3">
        <f>VLOOKUP(Table1[[#This Row],[Status]],Auxiliar!$B$16:$D$23,3,0)*Table1[[#This Row],[Estimação (horas)]]</f>
        <v>0.5</v>
      </c>
      <c r="X131" s="3"/>
    </row>
    <row r="132" spans="2:24" ht="17.399999999999999" hidden="1" customHeight="1">
      <c r="B132" s="14" t="s">
        <v>32</v>
      </c>
      <c r="C132" s="14" t="s">
        <v>32</v>
      </c>
      <c r="D132" s="3" t="s">
        <v>1151</v>
      </c>
      <c r="E132" s="3" t="s">
        <v>38</v>
      </c>
      <c r="F132" s="3" t="s">
        <v>439</v>
      </c>
      <c r="G132" s="3" t="s">
        <v>466</v>
      </c>
      <c r="H132" s="63" t="str">
        <f>Table1[[#This Row],[Tabela]]&amp;Table1[[#This Row],[Campo]]</f>
        <v>lt002_insrmntgrss_intrst_expns</v>
      </c>
      <c r="I132" s="3" t="s">
        <v>177</v>
      </c>
      <c r="J132" s="48">
        <f>VLOOKUP(Table1[[#This Row],[Status]],Auxiliar!$B$16:$C$23,2,0)</f>
        <v>2</v>
      </c>
      <c r="K132" s="22" t="s">
        <v>1141</v>
      </c>
      <c r="L132" s="22" t="s">
        <v>1144</v>
      </c>
      <c r="M132" s="22" t="s">
        <v>1136</v>
      </c>
      <c r="N132" s="53">
        <v>45485</v>
      </c>
      <c r="O132" s="131">
        <v>0.1</v>
      </c>
      <c r="P132" s="3" t="s">
        <v>1161</v>
      </c>
      <c r="Q132" s="3"/>
      <c r="R132" s="173">
        <v>45261</v>
      </c>
      <c r="S132" s="173"/>
      <c r="T132" s="173"/>
      <c r="U132" s="173"/>
      <c r="V132" s="173"/>
      <c r="W132" s="3">
        <f>VLOOKUP(Table1[[#This Row],[Status]],Auxiliar!$B$16:$D$23,3,0)*Table1[[#This Row],[Estimação (horas)]]</f>
        <v>0.05</v>
      </c>
      <c r="X132" s="3"/>
    </row>
    <row r="133" spans="2:24" ht="17.399999999999999" hidden="1" customHeight="1">
      <c r="B133" s="14" t="s">
        <v>32</v>
      </c>
      <c r="C133" s="14" t="s">
        <v>32</v>
      </c>
      <c r="D133" s="3" t="s">
        <v>1151</v>
      </c>
      <c r="E133" s="3" t="s">
        <v>38</v>
      </c>
      <c r="F133" s="3" t="s">
        <v>439</v>
      </c>
      <c r="G133" s="3" t="s">
        <v>466</v>
      </c>
      <c r="H133" s="63" t="str">
        <f>Table1[[#This Row],[Tabela]]&amp;Table1[[#This Row],[Campo]]</f>
        <v>lt002_insrmntgrss_intrst_expns</v>
      </c>
      <c r="I133" s="3" t="s">
        <v>177</v>
      </c>
      <c r="J133" s="48">
        <f>VLOOKUP(Table1[[#This Row],[Status]],Auxiliar!$B$16:$C$23,2,0)</f>
        <v>2</v>
      </c>
      <c r="K133" s="22" t="s">
        <v>1142</v>
      </c>
      <c r="L133" s="22" t="s">
        <v>1144</v>
      </c>
      <c r="M133" s="22" t="s">
        <v>1136</v>
      </c>
      <c r="N133" s="53">
        <v>45485</v>
      </c>
      <c r="O133" s="22">
        <f>INDEX(Auxiliar!$D$5:$F$13,MATCH(Table1[[#This Row],[Tipologia_Testes]],Auxiliar!$B$5:$B$13,0),MATCH(Table1[[#This Row],[Complexidade]],Auxiliar!$D$4:$F$4,0))</f>
        <v>2</v>
      </c>
      <c r="P133" s="3"/>
      <c r="Q133" s="3"/>
      <c r="R133" s="173">
        <v>45261</v>
      </c>
      <c r="S133" s="173"/>
      <c r="T133" s="173"/>
      <c r="U133" s="173"/>
      <c r="V133" s="173"/>
      <c r="W133" s="3">
        <f>VLOOKUP(Table1[[#This Row],[Status]],Auxiliar!$B$16:$D$23,3,0)*Table1[[#This Row],[Estimação (horas)]]</f>
        <v>1</v>
      </c>
      <c r="X133" s="3"/>
    </row>
    <row r="134" spans="2:24" ht="17.399999999999999" hidden="1" customHeight="1">
      <c r="B134" s="14" t="s">
        <v>32</v>
      </c>
      <c r="C134" s="14" t="s">
        <v>32</v>
      </c>
      <c r="D134" s="3" t="s">
        <v>1151</v>
      </c>
      <c r="E134" s="3" t="s">
        <v>38</v>
      </c>
      <c r="F134" s="3" t="s">
        <v>439</v>
      </c>
      <c r="G134" s="3" t="s">
        <v>467</v>
      </c>
      <c r="H134" s="63" t="str">
        <f>Table1[[#This Row],[Tabela]]&amp;Table1[[#This Row],[Campo]]</f>
        <v>lt002_insrmntgrss_intrst_expns_ccrr</v>
      </c>
      <c r="I134" s="3" t="s">
        <v>177</v>
      </c>
      <c r="J134" s="48">
        <f>VLOOKUP(Table1[[#This Row],[Status]],Auxiliar!$B$16:$C$23,2,0)</f>
        <v>2</v>
      </c>
      <c r="K134" s="22" t="s">
        <v>1138</v>
      </c>
      <c r="L134" s="22" t="s">
        <v>1144</v>
      </c>
      <c r="M134" s="22" t="s">
        <v>1145</v>
      </c>
      <c r="N134" s="53">
        <v>45485</v>
      </c>
      <c r="O134" s="131">
        <v>0.1</v>
      </c>
      <c r="P134" s="3" t="s">
        <v>1158</v>
      </c>
      <c r="Q134" s="3"/>
      <c r="R134" s="173">
        <v>45261</v>
      </c>
      <c r="S134" s="173"/>
      <c r="T134" s="173"/>
      <c r="U134" s="173"/>
      <c r="V134" s="173"/>
      <c r="W134" s="3">
        <f>VLOOKUP(Table1[[#This Row],[Status]],Auxiliar!$B$16:$D$23,3,0)*Table1[[#This Row],[Estimação (horas)]]</f>
        <v>0.05</v>
      </c>
      <c r="X134" s="3"/>
    </row>
    <row r="135" spans="2:24" ht="17.399999999999999" hidden="1" customHeight="1">
      <c r="B135" s="14" t="s">
        <v>32</v>
      </c>
      <c r="C135" s="14" t="s">
        <v>32</v>
      </c>
      <c r="D135" s="3" t="s">
        <v>1151</v>
      </c>
      <c r="E135" s="3" t="s">
        <v>38</v>
      </c>
      <c r="F135" s="3" t="s">
        <v>439</v>
      </c>
      <c r="G135" s="3" t="s">
        <v>468</v>
      </c>
      <c r="H135" s="63" t="str">
        <f>Table1[[#This Row],[Tabela]]&amp;Table1[[#This Row],[Campo]]</f>
        <v>lt002_insrmntgns_fnncl_trnsctn_exchng_dffrncs</v>
      </c>
      <c r="I135" s="3" t="s">
        <v>177</v>
      </c>
      <c r="J135" s="48">
        <f>VLOOKUP(Table1[[#This Row],[Status]],Auxiliar!$B$16:$C$23,2,0)</f>
        <v>2</v>
      </c>
      <c r="K135" s="22" t="s">
        <v>1137</v>
      </c>
      <c r="L135" s="22" t="s">
        <v>1144</v>
      </c>
      <c r="M135" s="22" t="s">
        <v>1136</v>
      </c>
      <c r="N135" s="53">
        <v>45485</v>
      </c>
      <c r="O135" s="131">
        <v>4</v>
      </c>
      <c r="P135" s="3" t="s">
        <v>1159</v>
      </c>
      <c r="Q135" s="3"/>
      <c r="R135" s="173">
        <v>45261</v>
      </c>
      <c r="S135" s="173"/>
      <c r="T135" s="173"/>
      <c r="U135" s="173"/>
      <c r="V135" s="173"/>
      <c r="W135" s="3">
        <f>VLOOKUP(Table1[[#This Row],[Status]],Auxiliar!$B$16:$D$23,3,0)*Table1[[#This Row],[Estimação (horas)]]</f>
        <v>2</v>
      </c>
      <c r="X135" s="3"/>
    </row>
    <row r="136" spans="2:24" ht="17.399999999999999" hidden="1" customHeight="1">
      <c r="B136" s="14" t="s">
        <v>32</v>
      </c>
      <c r="C136" s="14" t="s">
        <v>32</v>
      </c>
      <c r="D136" s="3" t="s">
        <v>1151</v>
      </c>
      <c r="E136" s="3" t="s">
        <v>38</v>
      </c>
      <c r="F136" s="3" t="s">
        <v>439</v>
      </c>
      <c r="G136" s="3" t="s">
        <v>468</v>
      </c>
      <c r="H136" s="63" t="str">
        <f>Table1[[#This Row],[Tabela]]&amp;Table1[[#This Row],[Campo]]</f>
        <v>lt002_insrmntgns_fnncl_trnsctn_exchng_dffrncs</v>
      </c>
      <c r="I136" s="3" t="s">
        <v>177</v>
      </c>
      <c r="J136" s="48">
        <f>VLOOKUP(Table1[[#This Row],[Status]],Auxiliar!$B$16:$C$23,2,0)</f>
        <v>2</v>
      </c>
      <c r="K136" s="22" t="s">
        <v>1138</v>
      </c>
      <c r="L136" s="22" t="s">
        <v>1144</v>
      </c>
      <c r="M136" s="22" t="s">
        <v>1136</v>
      </c>
      <c r="N136" s="53">
        <v>45485</v>
      </c>
      <c r="O136" s="22">
        <f>INDEX(Auxiliar!$D$5:$F$13,MATCH(Table1[[#This Row],[Tipologia_Testes]],Auxiliar!$B$5:$B$13,0),MATCH(Table1[[#This Row],[Complexidade]],Auxiliar!$D$4:$F$4,0))</f>
        <v>8</v>
      </c>
      <c r="P136" s="3"/>
      <c r="Q136" s="3"/>
      <c r="R136" s="173">
        <v>45261</v>
      </c>
      <c r="S136" s="173"/>
      <c r="T136" s="173"/>
      <c r="U136" s="173"/>
      <c r="V136" s="173"/>
      <c r="W136" s="3">
        <f>VLOOKUP(Table1[[#This Row],[Status]],Auxiliar!$B$16:$D$23,3,0)*Table1[[#This Row],[Estimação (horas)]]</f>
        <v>4</v>
      </c>
      <c r="X136" s="3"/>
    </row>
    <row r="137" spans="2:24" ht="17.399999999999999" hidden="1" customHeight="1">
      <c r="B137" s="14" t="s">
        <v>32</v>
      </c>
      <c r="C137" s="14" t="s">
        <v>32</v>
      </c>
      <c r="D137" s="3" t="s">
        <v>1151</v>
      </c>
      <c r="E137" s="3" t="s">
        <v>38</v>
      </c>
      <c r="F137" s="3" t="s">
        <v>439</v>
      </c>
      <c r="G137" s="3" t="s">
        <v>468</v>
      </c>
      <c r="H137" s="63" t="str">
        <f>Table1[[#This Row],[Tabela]]&amp;Table1[[#This Row],[Campo]]</f>
        <v>lt002_insrmntgns_fnncl_trnsctn_exchng_dffrncs</v>
      </c>
      <c r="I137" s="3" t="s">
        <v>177</v>
      </c>
      <c r="J137" s="48">
        <f>VLOOKUP(Table1[[#This Row],[Status]],Auxiliar!$B$16:$C$23,2,0)</f>
        <v>2</v>
      </c>
      <c r="K137" s="22" t="s">
        <v>1139</v>
      </c>
      <c r="L137" s="22" t="s">
        <v>1144</v>
      </c>
      <c r="M137" s="22" t="s">
        <v>1136</v>
      </c>
      <c r="N137" s="53">
        <v>45485</v>
      </c>
      <c r="O137" s="131">
        <v>1</v>
      </c>
      <c r="P137" s="3" t="s">
        <v>1160</v>
      </c>
      <c r="Q137" s="3"/>
      <c r="R137" s="173">
        <v>45261</v>
      </c>
      <c r="S137" s="173"/>
      <c r="T137" s="173"/>
      <c r="U137" s="173"/>
      <c r="V137" s="173"/>
      <c r="W137" s="3">
        <f>VLOOKUP(Table1[[#This Row],[Status]],Auxiliar!$B$16:$D$23,3,0)*Table1[[#This Row],[Estimação (horas)]]</f>
        <v>0.5</v>
      </c>
      <c r="X137" s="3"/>
    </row>
    <row r="138" spans="2:24" ht="17.399999999999999" hidden="1" customHeight="1">
      <c r="B138" s="14" t="s">
        <v>32</v>
      </c>
      <c r="C138" s="14" t="s">
        <v>32</v>
      </c>
      <c r="D138" s="3" t="s">
        <v>1151</v>
      </c>
      <c r="E138" s="3" t="s">
        <v>38</v>
      </c>
      <c r="F138" s="3" t="s">
        <v>439</v>
      </c>
      <c r="G138" s="3" t="s">
        <v>468</v>
      </c>
      <c r="H138" s="63" t="str">
        <f>Table1[[#This Row],[Tabela]]&amp;Table1[[#This Row],[Campo]]</f>
        <v>lt002_insrmntgns_fnncl_trnsctn_exchng_dffrncs</v>
      </c>
      <c r="I138" s="3" t="s">
        <v>177</v>
      </c>
      <c r="J138" s="48">
        <f>VLOOKUP(Table1[[#This Row],[Status]],Auxiliar!$B$16:$C$23,2,0)</f>
        <v>2</v>
      </c>
      <c r="K138" s="22" t="s">
        <v>1141</v>
      </c>
      <c r="L138" s="22" t="s">
        <v>1144</v>
      </c>
      <c r="M138" s="22" t="s">
        <v>1136</v>
      </c>
      <c r="N138" s="53">
        <v>45485</v>
      </c>
      <c r="O138" s="131">
        <v>0.1</v>
      </c>
      <c r="P138" s="3" t="s">
        <v>1161</v>
      </c>
      <c r="Q138" s="3"/>
      <c r="R138" s="173">
        <v>45261</v>
      </c>
      <c r="S138" s="173"/>
      <c r="T138" s="173"/>
      <c r="U138" s="173"/>
      <c r="V138" s="173"/>
      <c r="W138" s="3">
        <f>VLOOKUP(Table1[[#This Row],[Status]],Auxiliar!$B$16:$D$23,3,0)*Table1[[#This Row],[Estimação (horas)]]</f>
        <v>0.05</v>
      </c>
      <c r="X138" s="3"/>
    </row>
    <row r="139" spans="2:24" ht="17.399999999999999" hidden="1" customHeight="1">
      <c r="B139" s="14" t="s">
        <v>32</v>
      </c>
      <c r="C139" s="14" t="s">
        <v>32</v>
      </c>
      <c r="D139" s="3" t="s">
        <v>1151</v>
      </c>
      <c r="E139" s="3" t="s">
        <v>38</v>
      </c>
      <c r="F139" s="3" t="s">
        <v>439</v>
      </c>
      <c r="G139" s="3" t="s">
        <v>468</v>
      </c>
      <c r="H139" s="63" t="str">
        <f>Table1[[#This Row],[Tabela]]&amp;Table1[[#This Row],[Campo]]</f>
        <v>lt002_insrmntgns_fnncl_trnsctn_exchng_dffrncs</v>
      </c>
      <c r="I139" s="3" t="s">
        <v>177</v>
      </c>
      <c r="J139" s="48">
        <f>VLOOKUP(Table1[[#This Row],[Status]],Auxiliar!$B$16:$C$23,2,0)</f>
        <v>2</v>
      </c>
      <c r="K139" s="22" t="s">
        <v>1142</v>
      </c>
      <c r="L139" s="22" t="s">
        <v>1144</v>
      </c>
      <c r="M139" s="22" t="s">
        <v>1136</v>
      </c>
      <c r="N139" s="53">
        <v>45485</v>
      </c>
      <c r="O139" s="22">
        <f>INDEX(Auxiliar!$D$5:$F$13,MATCH(Table1[[#This Row],[Tipologia_Testes]],Auxiliar!$B$5:$B$13,0),MATCH(Table1[[#This Row],[Complexidade]],Auxiliar!$D$4:$F$4,0))</f>
        <v>2</v>
      </c>
      <c r="P139" s="3"/>
      <c r="Q139" s="3"/>
      <c r="R139" s="173">
        <v>45261</v>
      </c>
      <c r="S139" s="173"/>
      <c r="T139" s="173"/>
      <c r="U139" s="173"/>
      <c r="V139" s="173"/>
      <c r="W139" s="3">
        <f>VLOOKUP(Table1[[#This Row],[Status]],Auxiliar!$B$16:$D$23,3,0)*Table1[[#This Row],[Estimação (horas)]]</f>
        <v>1</v>
      </c>
      <c r="X139" s="3"/>
    </row>
    <row r="140" spans="2:24" ht="17.399999999999999" hidden="1" customHeight="1">
      <c r="B140" s="14" t="s">
        <v>32</v>
      </c>
      <c r="C140" s="14" t="s">
        <v>32</v>
      </c>
      <c r="D140" s="3" t="s">
        <v>1151</v>
      </c>
      <c r="E140" s="3" t="s">
        <v>38</v>
      </c>
      <c r="F140" s="3" t="s">
        <v>439</v>
      </c>
      <c r="G140" s="3" t="s">
        <v>469</v>
      </c>
      <c r="H140" s="63" t="str">
        <f>Table1[[#This Row],[Tabela]]&amp;Table1[[#This Row],[Campo]]</f>
        <v>lt002_insrmntgns_fnncl_trnsctn_exchng_ccrr</v>
      </c>
      <c r="I140" s="3" t="s">
        <v>177</v>
      </c>
      <c r="J140" s="48">
        <f>VLOOKUP(Table1[[#This Row],[Status]],Auxiliar!$B$16:$C$23,2,0)</f>
        <v>2</v>
      </c>
      <c r="K140" s="22" t="s">
        <v>1138</v>
      </c>
      <c r="L140" s="22" t="s">
        <v>1144</v>
      </c>
      <c r="M140" s="22" t="s">
        <v>1145</v>
      </c>
      <c r="N140" s="53">
        <v>45485</v>
      </c>
      <c r="O140" s="131">
        <v>0.1</v>
      </c>
      <c r="P140" s="3" t="s">
        <v>1158</v>
      </c>
      <c r="Q140" s="3"/>
      <c r="R140" s="173">
        <v>45261</v>
      </c>
      <c r="S140" s="173"/>
      <c r="T140" s="173"/>
      <c r="U140" s="173"/>
      <c r="V140" s="173"/>
      <c r="W140" s="3">
        <f>VLOOKUP(Table1[[#This Row],[Status]],Auxiliar!$B$16:$D$23,3,0)*Table1[[#This Row],[Estimação (horas)]]</f>
        <v>0.05</v>
      </c>
      <c r="X140" s="3"/>
    </row>
    <row r="141" spans="2:24" ht="17.399999999999999" hidden="1" customHeight="1">
      <c r="B141" s="14" t="s">
        <v>32</v>
      </c>
      <c r="C141" s="14" t="s">
        <v>32</v>
      </c>
      <c r="D141" s="3" t="s">
        <v>1151</v>
      </c>
      <c r="E141" s="3" t="s">
        <v>38</v>
      </c>
      <c r="F141" s="3" t="s">
        <v>439</v>
      </c>
      <c r="G141" s="3" t="s">
        <v>470</v>
      </c>
      <c r="H141" s="63" t="str">
        <f>Table1[[#This Row],[Tabela]]&amp;Table1[[#This Row],[Campo]]</f>
        <v>lt002_insrmntcnclld_instrmnt_stts</v>
      </c>
      <c r="I141" s="3" t="s">
        <v>177</v>
      </c>
      <c r="J141" s="48">
        <f>VLOOKUP(Table1[[#This Row],[Status]],Auxiliar!$B$16:$C$23,2,0)</f>
        <v>2</v>
      </c>
      <c r="K141" s="22" t="s">
        <v>1137</v>
      </c>
      <c r="L141" s="22" t="s">
        <v>1135</v>
      </c>
      <c r="M141" s="22" t="s">
        <v>1136</v>
      </c>
      <c r="N141" s="53">
        <v>45499</v>
      </c>
      <c r="O141" s="22">
        <f>INDEX(Auxiliar!$D$5:$F$13,MATCH(Table1[[#This Row],[Tipologia_Testes]],Auxiliar!$B$5:$B$13,0),MATCH(Table1[[#This Row],[Complexidade]],Auxiliar!$D$4:$F$4,0))</f>
        <v>8</v>
      </c>
      <c r="P141" s="3" t="s">
        <v>1162</v>
      </c>
      <c r="Q141" s="3"/>
      <c r="R141" s="173">
        <v>45261</v>
      </c>
      <c r="S141" s="173"/>
      <c r="T141" s="173">
        <v>45471</v>
      </c>
      <c r="U141" s="173">
        <v>45481</v>
      </c>
      <c r="V141" s="173">
        <v>45481</v>
      </c>
      <c r="W141" s="3">
        <f>VLOOKUP(Table1[[#This Row],[Status]],Auxiliar!$B$16:$D$23,3,0)*Table1[[#This Row],[Estimação (horas)]]</f>
        <v>4</v>
      </c>
      <c r="X141" s="3"/>
    </row>
    <row r="142" spans="2:24" ht="17.399999999999999" hidden="1" customHeight="1">
      <c r="B142" s="14" t="s">
        <v>32</v>
      </c>
      <c r="C142" s="14" t="s">
        <v>32</v>
      </c>
      <c r="D142" s="3" t="s">
        <v>1151</v>
      </c>
      <c r="E142" s="3" t="s">
        <v>38</v>
      </c>
      <c r="F142" s="3" t="s">
        <v>439</v>
      </c>
      <c r="G142" s="3" t="s">
        <v>470</v>
      </c>
      <c r="H142" s="63" t="str">
        <f>Table1[[#This Row],[Tabela]]&amp;Table1[[#This Row],[Campo]]</f>
        <v>lt002_insrmntcnclld_instrmnt_stts</v>
      </c>
      <c r="I142" s="3" t="s">
        <v>177</v>
      </c>
      <c r="J142" s="48">
        <f>VLOOKUP(Table1[[#This Row],[Status]],Auxiliar!$B$16:$C$23,2,0)</f>
        <v>2</v>
      </c>
      <c r="K142" s="22" t="s">
        <v>1138</v>
      </c>
      <c r="L142" s="22" t="s">
        <v>1135</v>
      </c>
      <c r="M142" s="22" t="s">
        <v>1136</v>
      </c>
      <c r="N142" s="53">
        <v>45499</v>
      </c>
      <c r="O142" s="131">
        <v>2</v>
      </c>
      <c r="P142" s="3" t="s">
        <v>1162</v>
      </c>
      <c r="Q142" s="3"/>
      <c r="R142" s="173">
        <v>45261</v>
      </c>
      <c r="S142" s="173"/>
      <c r="T142" s="173">
        <v>45471</v>
      </c>
      <c r="U142" s="173">
        <v>45481</v>
      </c>
      <c r="V142" s="173">
        <v>45481</v>
      </c>
      <c r="W142" s="3">
        <f>VLOOKUP(Table1[[#This Row],[Status]],Auxiliar!$B$16:$D$23,3,0)*Table1[[#This Row],[Estimação (horas)]]</f>
        <v>1</v>
      </c>
      <c r="X142" s="3"/>
    </row>
    <row r="143" spans="2:24" ht="17.399999999999999" hidden="1" customHeight="1">
      <c r="B143" s="14" t="s">
        <v>32</v>
      </c>
      <c r="C143" s="14" t="s">
        <v>32</v>
      </c>
      <c r="D143" s="3" t="s">
        <v>1151</v>
      </c>
      <c r="E143" s="3" t="s">
        <v>38</v>
      </c>
      <c r="F143" s="3" t="s">
        <v>439</v>
      </c>
      <c r="G143" s="3" t="s">
        <v>470</v>
      </c>
      <c r="H143" s="63" t="str">
        <f>Table1[[#This Row],[Tabela]]&amp;Table1[[#This Row],[Campo]]</f>
        <v>lt002_insrmntcnclld_instrmnt_stts</v>
      </c>
      <c r="I143" s="3" t="s">
        <v>177</v>
      </c>
      <c r="J143" s="48">
        <f>VLOOKUP(Table1[[#This Row],[Status]],Auxiliar!$B$16:$C$23,2,0)</f>
        <v>2</v>
      </c>
      <c r="K143" s="22" t="s">
        <v>1141</v>
      </c>
      <c r="L143" s="22" t="s">
        <v>1135</v>
      </c>
      <c r="M143" s="22" t="s">
        <v>1136</v>
      </c>
      <c r="N143" s="53">
        <v>45499</v>
      </c>
      <c r="O143" s="22">
        <f>INDEX(Auxiliar!$D$5:$F$13,MATCH(Table1[[#This Row],[Tipologia_Testes]],Auxiliar!$B$5:$B$13,0),MATCH(Table1[[#This Row],[Complexidade]],Auxiliar!$D$4:$F$4,0))</f>
        <v>0.1</v>
      </c>
      <c r="P143" s="3" t="s">
        <v>1162</v>
      </c>
      <c r="Q143" s="3"/>
      <c r="R143" s="173">
        <v>45261</v>
      </c>
      <c r="S143" s="173"/>
      <c r="T143" s="173">
        <v>45471</v>
      </c>
      <c r="U143" s="173">
        <v>45481</v>
      </c>
      <c r="V143" s="173">
        <v>45481</v>
      </c>
      <c r="W143" s="3">
        <f>VLOOKUP(Table1[[#This Row],[Status]],Auxiliar!$B$16:$D$23,3,0)*Table1[[#This Row],[Estimação (horas)]]</f>
        <v>0.05</v>
      </c>
      <c r="X143" s="3"/>
    </row>
    <row r="144" spans="2:24" ht="17.399999999999999" hidden="1" customHeight="1">
      <c r="B144" s="14" t="s">
        <v>32</v>
      </c>
      <c r="C144" s="14" t="s">
        <v>32</v>
      </c>
      <c r="D144" s="3" t="s">
        <v>1151</v>
      </c>
      <c r="E144" s="3" t="s">
        <v>38</v>
      </c>
      <c r="F144" s="3" t="s">
        <v>439</v>
      </c>
      <c r="G144" s="3" t="s">
        <v>470</v>
      </c>
      <c r="H144" s="63" t="str">
        <f>Table1[[#This Row],[Tabela]]&amp;Table1[[#This Row],[Campo]]</f>
        <v>lt002_insrmntcnclld_instrmnt_stts</v>
      </c>
      <c r="I144" s="3" t="s">
        <v>177</v>
      </c>
      <c r="J144" s="48">
        <f>VLOOKUP(Table1[[#This Row],[Status]],Auxiliar!$B$16:$C$23,2,0)</f>
        <v>2</v>
      </c>
      <c r="K144" s="22" t="s">
        <v>1142</v>
      </c>
      <c r="L144" s="22" t="s">
        <v>1135</v>
      </c>
      <c r="M144" s="22" t="s">
        <v>1136</v>
      </c>
      <c r="N144" s="53">
        <v>45499</v>
      </c>
      <c r="O144" s="22">
        <f>INDEX(Auxiliar!$D$5:$F$13,MATCH(Table1[[#This Row],[Tipologia_Testes]],Auxiliar!$B$5:$B$13,0),MATCH(Table1[[#This Row],[Complexidade]],Auxiliar!$D$4:$F$4,0))</f>
        <v>2</v>
      </c>
      <c r="P144" s="3" t="s">
        <v>1162</v>
      </c>
      <c r="Q144" s="3"/>
      <c r="R144" s="173">
        <v>45261</v>
      </c>
      <c r="S144" s="173"/>
      <c r="T144" s="173">
        <v>45471</v>
      </c>
      <c r="U144" s="173">
        <v>45481</v>
      </c>
      <c r="V144" s="173">
        <v>45481</v>
      </c>
      <c r="W144" s="3">
        <f>VLOOKUP(Table1[[#This Row],[Status]],Auxiliar!$B$16:$D$23,3,0)*Table1[[#This Row],[Estimação (horas)]]</f>
        <v>1</v>
      </c>
      <c r="X144" s="3"/>
    </row>
    <row r="145" spans="2:30" ht="17.399999999999999" hidden="1" customHeight="1">
      <c r="B145" s="14" t="s">
        <v>32</v>
      </c>
      <c r="C145" s="14" t="s">
        <v>32</v>
      </c>
      <c r="D145" s="3" t="s">
        <v>31</v>
      </c>
      <c r="E145" s="3" t="s">
        <v>38</v>
      </c>
      <c r="F145" s="3" t="s">
        <v>439</v>
      </c>
      <c r="G145" s="3" t="s">
        <v>406</v>
      </c>
      <c r="H145" s="63" t="str">
        <f>Table1[[#This Row],[Tabela]]&amp;Table1[[#This Row],[Campo]]</f>
        <v>lt002_insrmntsstnbl_indctr</v>
      </c>
      <c r="I145" s="3" t="s">
        <v>177</v>
      </c>
      <c r="J145" s="48">
        <f>VLOOKUP(Table1[[#This Row],[Status]],Auxiliar!$B$16:$C$23,2,0)</f>
        <v>2</v>
      </c>
      <c r="K145" s="22" t="s">
        <v>1137</v>
      </c>
      <c r="L145" s="22" t="s">
        <v>1144</v>
      </c>
      <c r="M145" s="22" t="s">
        <v>1155</v>
      </c>
      <c r="N145" s="53">
        <v>45499</v>
      </c>
      <c r="O145" s="22">
        <f>INDEX(Auxiliar!$D$5:$F$13,MATCH(Table1[[#This Row],[Tipologia_Testes]],Auxiliar!$B$5:$B$13,0),MATCH(Table1[[#This Row],[Complexidade]],Auxiliar!$D$4:$F$4,0))</f>
        <v>4</v>
      </c>
      <c r="P145" s="3" t="s">
        <v>1162</v>
      </c>
      <c r="Q145" s="3"/>
      <c r="R145" s="173">
        <v>45261</v>
      </c>
      <c r="S145" s="173"/>
      <c r="T145" s="173">
        <v>45471</v>
      </c>
      <c r="U145" s="173">
        <v>45481</v>
      </c>
      <c r="V145" s="173">
        <v>45481</v>
      </c>
      <c r="W145" s="3">
        <f>VLOOKUP(Table1[[#This Row],[Status]],Auxiliar!$B$16:$D$23,3,0)*Table1[[#This Row],[Estimação (horas)]]</f>
        <v>2</v>
      </c>
      <c r="X145" s="3"/>
    </row>
    <row r="146" spans="2:30" ht="17.399999999999999" hidden="1" customHeight="1">
      <c r="B146" s="14" t="s">
        <v>32</v>
      </c>
      <c r="C146" s="14" t="s">
        <v>32</v>
      </c>
      <c r="D146" s="3" t="s">
        <v>31</v>
      </c>
      <c r="E146" s="3" t="s">
        <v>38</v>
      </c>
      <c r="F146" s="3" t="s">
        <v>439</v>
      </c>
      <c r="G146" s="3" t="s">
        <v>406</v>
      </c>
      <c r="H146" s="63" t="str">
        <f>Table1[[#This Row],[Tabela]]&amp;Table1[[#This Row],[Campo]]</f>
        <v>lt002_insrmntsstnbl_indctr</v>
      </c>
      <c r="I146" s="3" t="s">
        <v>177</v>
      </c>
      <c r="J146" s="48">
        <f>VLOOKUP(Table1[[#This Row],[Status]],Auxiliar!$B$16:$C$23,2,0)</f>
        <v>2</v>
      </c>
      <c r="K146" s="22" t="s">
        <v>1138</v>
      </c>
      <c r="L146" s="22" t="s">
        <v>1144</v>
      </c>
      <c r="M146" s="22" t="s">
        <v>1155</v>
      </c>
      <c r="N146" s="53">
        <v>45499</v>
      </c>
      <c r="O146" s="22">
        <f>INDEX(Auxiliar!$D$5:$F$13,MATCH(Table1[[#This Row],[Tipologia_Testes]],Auxiliar!$B$5:$B$13,0),MATCH(Table1[[#This Row],[Complexidade]],Auxiliar!$D$4:$F$4,0))</f>
        <v>4</v>
      </c>
      <c r="P146" s="3" t="s">
        <v>1162</v>
      </c>
      <c r="Q146" s="3"/>
      <c r="R146" s="173">
        <v>45261</v>
      </c>
      <c r="S146" s="173"/>
      <c r="T146" s="173">
        <v>45471</v>
      </c>
      <c r="U146" s="173">
        <v>45481</v>
      </c>
      <c r="V146" s="173">
        <v>45481</v>
      </c>
      <c r="W146" s="3">
        <f>VLOOKUP(Table1[[#This Row],[Status]],Auxiliar!$B$16:$D$23,3,0)*Table1[[#This Row],[Estimação (horas)]]</f>
        <v>2</v>
      </c>
      <c r="X146" s="3"/>
    </row>
    <row r="147" spans="2:30" ht="17.399999999999999" hidden="1" customHeight="1">
      <c r="B147" s="14" t="s">
        <v>32</v>
      </c>
      <c r="C147" s="14" t="s">
        <v>32</v>
      </c>
      <c r="D147" s="3" t="s">
        <v>31</v>
      </c>
      <c r="E147" s="3" t="s">
        <v>38</v>
      </c>
      <c r="F147" s="3" t="s">
        <v>439</v>
      </c>
      <c r="G147" s="3" t="s">
        <v>406</v>
      </c>
      <c r="H147" s="63" t="str">
        <f>Table1[[#This Row],[Tabela]]&amp;Table1[[#This Row],[Campo]]</f>
        <v>lt002_insrmntsstnbl_indctr</v>
      </c>
      <c r="I147" s="3" t="s">
        <v>177</v>
      </c>
      <c r="J147" s="48">
        <f>VLOOKUP(Table1[[#This Row],[Status]],Auxiliar!$B$16:$C$23,2,0)</f>
        <v>2</v>
      </c>
      <c r="K147" s="22" t="s">
        <v>1139</v>
      </c>
      <c r="L147" s="22" t="s">
        <v>1144</v>
      </c>
      <c r="M147" s="22" t="s">
        <v>1155</v>
      </c>
      <c r="N147" s="53">
        <v>45499</v>
      </c>
      <c r="O147" s="22">
        <f>INDEX(Auxiliar!$D$5:$F$13,MATCH(Table1[[#This Row],[Tipologia_Testes]],Auxiliar!$B$5:$B$13,0),MATCH(Table1[[#This Row],[Complexidade]],Auxiliar!$D$4:$F$4,0))</f>
        <v>4</v>
      </c>
      <c r="P147" s="3" t="s">
        <v>1162</v>
      </c>
      <c r="Q147" s="3"/>
      <c r="R147" s="173">
        <v>45261</v>
      </c>
      <c r="S147" s="173"/>
      <c r="T147" s="173">
        <v>45471</v>
      </c>
      <c r="U147" s="173">
        <v>45481</v>
      </c>
      <c r="V147" s="173">
        <v>45481</v>
      </c>
      <c r="W147" s="3">
        <f>VLOOKUP(Table1[[#This Row],[Status]],Auxiliar!$B$16:$D$23,3,0)*Table1[[#This Row],[Estimação (horas)]]</f>
        <v>2</v>
      </c>
      <c r="X147" s="3"/>
    </row>
    <row r="148" spans="2:30" ht="17.399999999999999" hidden="1" customHeight="1">
      <c r="B148" s="14" t="s">
        <v>32</v>
      </c>
      <c r="C148" s="14" t="s">
        <v>32</v>
      </c>
      <c r="D148" s="3" t="s">
        <v>31</v>
      </c>
      <c r="E148" s="3" t="s">
        <v>38</v>
      </c>
      <c r="F148" s="3" t="s">
        <v>439</v>
      </c>
      <c r="G148" s="3" t="s">
        <v>406</v>
      </c>
      <c r="H148" s="63" t="str">
        <f>Table1[[#This Row],[Tabela]]&amp;Table1[[#This Row],[Campo]]</f>
        <v>lt002_insrmntsstnbl_indctr</v>
      </c>
      <c r="I148" s="3" t="s">
        <v>177</v>
      </c>
      <c r="J148" s="48">
        <f>VLOOKUP(Table1[[#This Row],[Status]],Auxiliar!$B$16:$C$23,2,0)</f>
        <v>2</v>
      </c>
      <c r="K148" s="22" t="s">
        <v>1141</v>
      </c>
      <c r="L148" s="22" t="s">
        <v>1144</v>
      </c>
      <c r="M148" s="22" t="s">
        <v>1155</v>
      </c>
      <c r="N148" s="53">
        <v>45499</v>
      </c>
      <c r="O148" s="22">
        <f>INDEX(Auxiliar!$D$5:$F$13,MATCH(Table1[[#This Row],[Tipologia_Testes]],Auxiliar!$B$5:$B$13,0),MATCH(Table1[[#This Row],[Complexidade]],Auxiliar!$D$4:$F$4,0))</f>
        <v>0.1</v>
      </c>
      <c r="P148" s="3" t="s">
        <v>1162</v>
      </c>
      <c r="Q148" s="3"/>
      <c r="R148" s="173">
        <v>45261</v>
      </c>
      <c r="S148" s="173"/>
      <c r="T148" s="173">
        <v>45471</v>
      </c>
      <c r="U148" s="173">
        <v>45481</v>
      </c>
      <c r="V148" s="173">
        <v>45481</v>
      </c>
      <c r="W148" s="3">
        <f>VLOOKUP(Table1[[#This Row],[Status]],Auxiliar!$B$16:$D$23,3,0)*Table1[[#This Row],[Estimação (horas)]]</f>
        <v>0.05</v>
      </c>
      <c r="X148" s="3"/>
    </row>
    <row r="149" spans="2:30" ht="17.399999999999999" hidden="1" customHeight="1">
      <c r="B149" s="33" t="s">
        <v>32</v>
      </c>
      <c r="C149" s="14" t="s">
        <v>32</v>
      </c>
      <c r="D149" s="33" t="s">
        <v>31</v>
      </c>
      <c r="E149" s="3" t="s">
        <v>38</v>
      </c>
      <c r="F149" s="33" t="s">
        <v>439</v>
      </c>
      <c r="G149" s="33" t="s">
        <v>406</v>
      </c>
      <c r="H149" s="65" t="str">
        <f>Table1[[#This Row],[Tabela]]&amp;Table1[[#This Row],[Campo]]</f>
        <v>lt002_insrmntsstnbl_indctr</v>
      </c>
      <c r="I149" s="3" t="s">
        <v>177</v>
      </c>
      <c r="J149" s="47">
        <f>VLOOKUP(Table1[[#This Row],[Status]],Auxiliar!$B$16:$C$23,2,0)</f>
        <v>2</v>
      </c>
      <c r="K149" s="46" t="s">
        <v>1142</v>
      </c>
      <c r="L149" s="46" t="s">
        <v>1144</v>
      </c>
      <c r="M149" s="22" t="s">
        <v>1155</v>
      </c>
      <c r="N149" s="53">
        <v>45499</v>
      </c>
      <c r="O149" s="22">
        <f>INDEX(Auxiliar!$D$5:$F$13,MATCH(Table1[[#This Row],[Tipologia_Testes]],Auxiliar!$B$5:$B$13,0),MATCH(Table1[[#This Row],[Complexidade]],Auxiliar!$D$4:$F$4,0))</f>
        <v>2</v>
      </c>
      <c r="P149" s="3" t="s">
        <v>1162</v>
      </c>
      <c r="Q149" s="33"/>
      <c r="R149" s="173">
        <v>45261</v>
      </c>
      <c r="S149" s="173"/>
      <c r="T149" s="173">
        <v>45471</v>
      </c>
      <c r="U149" s="173">
        <v>45481</v>
      </c>
      <c r="V149" s="173">
        <v>45481</v>
      </c>
      <c r="W149" s="3">
        <f>VLOOKUP(Table1[[#This Row],[Status]],Auxiliar!$B$16:$D$23,3,0)*Table1[[#This Row],[Estimação (horas)]]</f>
        <v>1</v>
      </c>
      <c r="X149" s="33"/>
    </row>
    <row r="150" spans="2:30" ht="17.399999999999999" hidden="1" customHeight="1">
      <c r="B150" s="3" t="s">
        <v>28</v>
      </c>
      <c r="C150" s="3" t="s">
        <v>35</v>
      </c>
      <c r="D150" s="3" t="s">
        <v>1163</v>
      </c>
      <c r="E150" s="3" t="s">
        <v>38</v>
      </c>
      <c r="F150" s="3" t="s">
        <v>37</v>
      </c>
      <c r="G150" s="3" t="s">
        <v>38</v>
      </c>
      <c r="H150" s="63" t="str">
        <f>Table1[[#This Row],[Tabela]]&amp;Table1[[#This Row],[Campo]]</f>
        <v>cd_imv_inp_certif_estimativan.a.</v>
      </c>
      <c r="I150" s="3" t="s">
        <v>482</v>
      </c>
      <c r="J150" s="45">
        <f>VLOOKUP(Table1[[#This Row],[Status]],Auxiliar!$B$16:$C$23,2,0)</f>
        <v>6</v>
      </c>
      <c r="K150" s="3" t="s">
        <v>1134</v>
      </c>
      <c r="L150" s="3" t="s">
        <v>1144</v>
      </c>
      <c r="M150" s="22" t="s">
        <v>1145</v>
      </c>
      <c r="N150" s="53">
        <v>45485</v>
      </c>
      <c r="O150" s="22">
        <f>INDEX(Auxiliar!$D$5:$F$13,MATCH(Table1[[#This Row],[Tipologia_Testes]],Auxiliar!$B$5:$B$13,0),MATCH(Table1[[#This Row],[Complexidade]],Auxiliar!$D$4:$F$4,0))</f>
        <v>8</v>
      </c>
      <c r="P150" s="3"/>
      <c r="Q150" s="3"/>
      <c r="R150" s="173">
        <v>45261</v>
      </c>
      <c r="S150" s="173"/>
      <c r="T150" s="173"/>
      <c r="U150" s="173"/>
      <c r="V150" s="173"/>
      <c r="W150" s="3">
        <f>VLOOKUP(Table1[[#This Row],[Status]],Auxiliar!$B$16:$D$23,3,0)*Table1[[#This Row],[Estimação (horas)]]</f>
        <v>2</v>
      </c>
      <c r="X150" s="195"/>
      <c r="Y150" s="199"/>
      <c r="Z150" s="27"/>
      <c r="AA150" s="27"/>
      <c r="AB150" s="27"/>
      <c r="AC150" s="27"/>
      <c r="AD150" s="27"/>
    </row>
    <row r="151" spans="2:30" ht="17.399999999999999" hidden="1" customHeight="1">
      <c r="B151" s="3" t="s">
        <v>28</v>
      </c>
      <c r="C151" s="3" t="s">
        <v>35</v>
      </c>
      <c r="D151" s="3" t="s">
        <v>1163</v>
      </c>
      <c r="E151" s="3" t="s">
        <v>38</v>
      </c>
      <c r="F151" s="3" t="s">
        <v>37</v>
      </c>
      <c r="G151" s="3" t="s">
        <v>41</v>
      </c>
      <c r="H151" s="63" t="str">
        <f>Table1[[#This Row],[Tabela]]&amp;Table1[[#This Row],[Campo]]</f>
        <v>cd_imv_inp_certif_estimativacempbem</v>
      </c>
      <c r="I151" s="3" t="s">
        <v>482</v>
      </c>
      <c r="J151" s="45">
        <f>VLOOKUP(Table1[[#This Row],[Status]],Auxiliar!$B$16:$C$23,2,0)</f>
        <v>6</v>
      </c>
      <c r="K151" s="3" t="s">
        <v>1141</v>
      </c>
      <c r="L151" s="29" t="s">
        <v>1135</v>
      </c>
      <c r="M151" s="22" t="s">
        <v>1145</v>
      </c>
      <c r="N151" s="53">
        <v>45485</v>
      </c>
      <c r="O151" s="22">
        <f>INDEX(Auxiliar!$D$5:$F$13,MATCH(Table1[[#This Row],[Tipologia_Testes]],Auxiliar!$B$5:$B$13,0),MATCH(Table1[[#This Row],[Complexidade]],Auxiliar!$D$4:$F$4,0))</f>
        <v>0.1</v>
      </c>
      <c r="P151" s="3"/>
      <c r="Q151" s="3"/>
      <c r="R151" s="173">
        <v>45261</v>
      </c>
      <c r="S151" s="173"/>
      <c r="T151" s="173"/>
      <c r="U151" s="173"/>
      <c r="V151" s="173"/>
      <c r="W151" s="3">
        <f>VLOOKUP(Table1[[#This Row],[Status]],Auxiliar!$B$16:$D$23,3,0)*Table1[[#This Row],[Estimação (horas)]]</f>
        <v>2.5000000000000001E-2</v>
      </c>
      <c r="X151" s="195"/>
      <c r="Y151" s="199"/>
      <c r="Z151" s="27"/>
      <c r="AA151" s="27"/>
      <c r="AB151" s="27"/>
      <c r="AC151" s="27"/>
      <c r="AD151" s="27"/>
    </row>
    <row r="152" spans="2:30" ht="17.399999999999999" hidden="1" customHeight="1">
      <c r="B152" s="3" t="s">
        <v>28</v>
      </c>
      <c r="C152" s="3" t="s">
        <v>35</v>
      </c>
      <c r="D152" s="3" t="s">
        <v>1163</v>
      </c>
      <c r="E152" s="3" t="s">
        <v>38</v>
      </c>
      <c r="F152" s="3" t="s">
        <v>37</v>
      </c>
      <c r="G152" s="3" t="s">
        <v>41</v>
      </c>
      <c r="H152" s="63" t="str">
        <f>Table1[[#This Row],[Tabela]]&amp;Table1[[#This Row],[Campo]]</f>
        <v>cd_imv_inp_certif_estimativacempbem</v>
      </c>
      <c r="I152" s="3" t="s">
        <v>482</v>
      </c>
      <c r="J152" s="45">
        <f>VLOOKUP(Table1[[#This Row],[Status]],Auxiliar!$B$16:$C$23,2,0)</f>
        <v>6</v>
      </c>
      <c r="K152" s="3" t="s">
        <v>1164</v>
      </c>
      <c r="L152" s="29" t="s">
        <v>1135</v>
      </c>
      <c r="M152" s="22" t="s">
        <v>1145</v>
      </c>
      <c r="N152" s="53">
        <v>45485</v>
      </c>
      <c r="O152" s="22">
        <f>INDEX(Auxiliar!$D$5:$F$13,MATCH(Table1[[#This Row],[Tipologia_Testes]],Auxiliar!$B$5:$B$13,0),MATCH(Table1[[#This Row],[Complexidade]],Auxiliar!$D$4:$F$4,0))</f>
        <v>0.5</v>
      </c>
      <c r="P152" s="3" t="s">
        <v>1165</v>
      </c>
      <c r="Q152" s="3"/>
      <c r="R152" s="173">
        <v>45261</v>
      </c>
      <c r="S152" s="173"/>
      <c r="T152" s="173"/>
      <c r="U152" s="173"/>
      <c r="V152" s="173"/>
      <c r="W152" s="3">
        <f>VLOOKUP(Table1[[#This Row],[Status]],Auxiliar!$B$16:$D$23,3,0)*Table1[[#This Row],[Estimação (horas)]]</f>
        <v>0.125</v>
      </c>
      <c r="X152" s="195"/>
      <c r="Y152" s="199"/>
      <c r="Z152" s="27"/>
      <c r="AA152" s="27"/>
      <c r="AB152" s="27"/>
      <c r="AC152" s="27"/>
      <c r="AD152" s="27"/>
    </row>
    <row r="153" spans="2:30" ht="69.599999999999994" hidden="1" customHeight="1">
      <c r="B153" s="3" t="s">
        <v>28</v>
      </c>
      <c r="C153" s="3" t="s">
        <v>35</v>
      </c>
      <c r="D153" s="3" t="s">
        <v>1163</v>
      </c>
      <c r="E153" s="3" t="s">
        <v>38</v>
      </c>
      <c r="F153" s="3" t="s">
        <v>37</v>
      </c>
      <c r="G153" s="3" t="s">
        <v>42</v>
      </c>
      <c r="H153" s="63" t="str">
        <f>Table1[[#This Row],[Tabela]]&amp;Table1[[#This Row],[Campo]]</f>
        <v>cd_imv_inp_certif_estimativachave_encriptada</v>
      </c>
      <c r="I153" s="3" t="s">
        <v>482</v>
      </c>
      <c r="J153" s="45">
        <f>VLOOKUP(Table1[[#This Row],[Status]],Auxiliar!$B$16:$C$23,2,0)</f>
        <v>6</v>
      </c>
      <c r="K153" s="3" t="s">
        <v>1141</v>
      </c>
      <c r="L153" s="29" t="s">
        <v>1135</v>
      </c>
      <c r="M153" s="22" t="s">
        <v>1145</v>
      </c>
      <c r="N153" s="53">
        <v>45485</v>
      </c>
      <c r="O153" s="22">
        <f>INDEX(Auxiliar!$D$5:$F$13,MATCH(Table1[[#This Row],[Tipologia_Testes]],Auxiliar!$B$5:$B$13,0),MATCH(Table1[[#This Row],[Complexidade]],Auxiliar!$D$4:$F$4,0))</f>
        <v>0.1</v>
      </c>
      <c r="P153" s="54" t="s">
        <v>1166</v>
      </c>
      <c r="Q153" s="34"/>
      <c r="R153" s="173">
        <v>45261</v>
      </c>
      <c r="S153" s="173"/>
      <c r="T153" s="173"/>
      <c r="U153" s="173"/>
      <c r="V153" s="173"/>
      <c r="W153" s="3">
        <f>VLOOKUP(Table1[[#This Row],[Status]],Auxiliar!$B$16:$D$23,3,0)*Table1[[#This Row],[Estimação (horas)]]</f>
        <v>2.5000000000000001E-2</v>
      </c>
      <c r="X153" s="196"/>
      <c r="Y153" s="200"/>
      <c r="Z153" s="198"/>
      <c r="AA153" s="198"/>
      <c r="AB153" s="198"/>
      <c r="AC153" s="198"/>
      <c r="AD153" s="198"/>
    </row>
    <row r="154" spans="2:30" ht="69.599999999999994" hidden="1" customHeight="1">
      <c r="B154" s="3" t="s">
        <v>28</v>
      </c>
      <c r="C154" s="3" t="s">
        <v>35</v>
      </c>
      <c r="D154" s="3" t="s">
        <v>1163</v>
      </c>
      <c r="E154" s="3" t="s">
        <v>38</v>
      </c>
      <c r="F154" s="3" t="s">
        <v>37</v>
      </c>
      <c r="G154" s="3" t="s">
        <v>42</v>
      </c>
      <c r="H154" s="63" t="str">
        <f>Table1[[#This Row],[Tabela]]&amp;Table1[[#This Row],[Campo]]</f>
        <v>cd_imv_inp_certif_estimativachave_encriptada</v>
      </c>
      <c r="I154" s="3" t="s">
        <v>482</v>
      </c>
      <c r="J154" s="45">
        <f>VLOOKUP(Table1[[#This Row],[Status]],Auxiliar!$B$16:$C$23,2,0)</f>
        <v>6</v>
      </c>
      <c r="K154" s="3" t="s">
        <v>1164</v>
      </c>
      <c r="L154" s="29" t="s">
        <v>1135</v>
      </c>
      <c r="M154" s="22" t="s">
        <v>1145</v>
      </c>
      <c r="N154" s="53">
        <v>45485</v>
      </c>
      <c r="O154" s="22">
        <f>INDEX(Auxiliar!$D$5:$F$13,MATCH(Table1[[#This Row],[Tipologia_Testes]],Auxiliar!$B$5:$B$13,0),MATCH(Table1[[#This Row],[Complexidade]],Auxiliar!$D$4:$F$4,0))</f>
        <v>0.5</v>
      </c>
      <c r="P154" s="54" t="s">
        <v>1166</v>
      </c>
      <c r="Q154" s="34"/>
      <c r="R154" s="173">
        <v>45261</v>
      </c>
      <c r="S154" s="173"/>
      <c r="T154" s="173"/>
      <c r="U154" s="173"/>
      <c r="V154" s="173"/>
      <c r="W154" s="3">
        <f>VLOOKUP(Table1[[#This Row],[Status]],Auxiliar!$B$16:$D$23,3,0)*Table1[[#This Row],[Estimação (horas)]]</f>
        <v>0.125</v>
      </c>
      <c r="X154" s="196"/>
      <c r="Y154" s="200"/>
      <c r="Z154" s="198"/>
      <c r="AA154" s="198"/>
      <c r="AB154" s="198"/>
      <c r="AC154" s="198"/>
      <c r="AD154" s="198"/>
    </row>
    <row r="155" spans="2:30" ht="17.399999999999999" hidden="1" customHeight="1">
      <c r="B155" s="3" t="s">
        <v>28</v>
      </c>
      <c r="C155" s="3" t="s">
        <v>35</v>
      </c>
      <c r="D155" s="3" t="s">
        <v>1163</v>
      </c>
      <c r="E155" s="3" t="s">
        <v>38</v>
      </c>
      <c r="F155" s="3" t="s">
        <v>37</v>
      </c>
      <c r="G155" s="3" t="s">
        <v>43</v>
      </c>
      <c r="H155" s="63" t="str">
        <f>Table1[[#This Row],[Tabela]]&amp;Table1[[#This Row],[Campo]]</f>
        <v>cd_imv_inp_certif_estimativackbalbem</v>
      </c>
      <c r="I155" s="3" t="s">
        <v>482</v>
      </c>
      <c r="J155" s="45">
        <f>VLOOKUP(Table1[[#This Row],[Status]],Auxiliar!$B$16:$C$23,2,0)</f>
        <v>6</v>
      </c>
      <c r="K155" s="3" t="s">
        <v>1141</v>
      </c>
      <c r="L155" s="29" t="s">
        <v>1135</v>
      </c>
      <c r="M155" s="22" t="s">
        <v>1145</v>
      </c>
      <c r="N155" s="53">
        <v>45485</v>
      </c>
      <c r="O155" s="22">
        <f>INDEX(Auxiliar!$D$5:$F$13,MATCH(Table1[[#This Row],[Tipologia_Testes]],Auxiliar!$B$5:$B$13,0),MATCH(Table1[[#This Row],[Complexidade]],Auxiliar!$D$4:$F$4,0))</f>
        <v>0.1</v>
      </c>
      <c r="P155" s="3"/>
      <c r="Q155" s="3"/>
      <c r="R155" s="173">
        <v>45261</v>
      </c>
      <c r="S155" s="173"/>
      <c r="T155" s="173"/>
      <c r="U155" s="173"/>
      <c r="V155" s="173"/>
      <c r="W155" s="3">
        <f>VLOOKUP(Table1[[#This Row],[Status]],Auxiliar!$B$16:$D$23,3,0)*Table1[[#This Row],[Estimação (horas)]]</f>
        <v>2.5000000000000001E-2</v>
      </c>
      <c r="X155" s="195"/>
      <c r="Y155" s="199"/>
      <c r="Z155" s="27"/>
      <c r="AA155" s="27"/>
      <c r="AB155" s="27"/>
      <c r="AC155" s="27"/>
      <c r="AD155" s="27"/>
    </row>
    <row r="156" spans="2:30" ht="17.399999999999999" hidden="1" customHeight="1">
      <c r="B156" s="3" t="s">
        <v>28</v>
      </c>
      <c r="C156" s="3" t="s">
        <v>35</v>
      </c>
      <c r="D156" s="3" t="s">
        <v>1163</v>
      </c>
      <c r="E156" s="3" t="s">
        <v>38</v>
      </c>
      <c r="F156" s="3" t="s">
        <v>37</v>
      </c>
      <c r="G156" s="3" t="s">
        <v>43</v>
      </c>
      <c r="H156" s="63" t="str">
        <f>Table1[[#This Row],[Tabela]]&amp;Table1[[#This Row],[Campo]]</f>
        <v>cd_imv_inp_certif_estimativackbalbem</v>
      </c>
      <c r="I156" s="3" t="s">
        <v>482</v>
      </c>
      <c r="J156" s="45">
        <f>VLOOKUP(Table1[[#This Row],[Status]],Auxiliar!$B$16:$C$23,2,0)</f>
        <v>6</v>
      </c>
      <c r="K156" s="3" t="s">
        <v>1164</v>
      </c>
      <c r="L156" s="29" t="s">
        <v>1135</v>
      </c>
      <c r="M156" s="22" t="s">
        <v>1145</v>
      </c>
      <c r="N156" s="53">
        <v>45485</v>
      </c>
      <c r="O156" s="22">
        <f>INDEX(Auxiliar!$D$5:$F$13,MATCH(Table1[[#This Row],[Tipologia_Testes]],Auxiliar!$B$5:$B$13,0),MATCH(Table1[[#This Row],[Complexidade]],Auxiliar!$D$4:$F$4,0))</f>
        <v>0.5</v>
      </c>
      <c r="P156" s="3"/>
      <c r="Q156" s="3"/>
      <c r="R156" s="173">
        <v>45261</v>
      </c>
      <c r="S156" s="173"/>
      <c r="T156" s="173"/>
      <c r="U156" s="173"/>
      <c r="V156" s="173"/>
      <c r="W156" s="3">
        <f>VLOOKUP(Table1[[#This Row],[Status]],Auxiliar!$B$16:$D$23,3,0)*Table1[[#This Row],[Estimação (horas)]]</f>
        <v>0.125</v>
      </c>
      <c r="X156" s="195"/>
      <c r="Y156" s="199"/>
      <c r="Z156" s="27"/>
      <c r="AA156" s="27"/>
      <c r="AB156" s="27"/>
      <c r="AC156" s="27"/>
      <c r="AD156" s="27"/>
    </row>
    <row r="157" spans="2:30" ht="17.399999999999999" hidden="1" customHeight="1">
      <c r="B157" s="3" t="s">
        <v>28</v>
      </c>
      <c r="C157" s="3" t="s">
        <v>35</v>
      </c>
      <c r="D157" s="3" t="s">
        <v>1163</v>
      </c>
      <c r="E157" s="3" t="s">
        <v>38</v>
      </c>
      <c r="F157" s="3" t="s">
        <v>37</v>
      </c>
      <c r="G157" s="3" t="s">
        <v>44</v>
      </c>
      <c r="H157" s="63" t="str">
        <f>Table1[[#This Row],[Tabela]]&amp;Table1[[#This Row],[Campo]]</f>
        <v>cd_imv_inp_certif_estimativackctabem</v>
      </c>
      <c r="I157" s="3" t="s">
        <v>482</v>
      </c>
      <c r="J157" s="45">
        <f>VLOOKUP(Table1[[#This Row],[Status]],Auxiliar!$B$16:$C$23,2,0)</f>
        <v>6</v>
      </c>
      <c r="K157" s="3" t="s">
        <v>1141</v>
      </c>
      <c r="L157" s="29" t="s">
        <v>1135</v>
      </c>
      <c r="M157" s="22" t="s">
        <v>1145</v>
      </c>
      <c r="N157" s="53">
        <v>45485</v>
      </c>
      <c r="O157" s="22">
        <f>INDEX(Auxiliar!$D$5:$F$13,MATCH(Table1[[#This Row],[Tipologia_Testes]],Auxiliar!$B$5:$B$13,0),MATCH(Table1[[#This Row],[Complexidade]],Auxiliar!$D$4:$F$4,0))</f>
        <v>0.1</v>
      </c>
      <c r="P157" s="3"/>
      <c r="Q157" s="3"/>
      <c r="R157" s="173">
        <v>45261</v>
      </c>
      <c r="S157" s="173"/>
      <c r="T157" s="173"/>
      <c r="U157" s="173"/>
      <c r="V157" s="173"/>
      <c r="W157" s="3">
        <f>VLOOKUP(Table1[[#This Row],[Status]],Auxiliar!$B$16:$D$23,3,0)*Table1[[#This Row],[Estimação (horas)]]</f>
        <v>2.5000000000000001E-2</v>
      </c>
      <c r="X157" s="195"/>
      <c r="Y157" s="199"/>
      <c r="Z157" s="27"/>
      <c r="AA157" s="27"/>
      <c r="AB157" s="27"/>
      <c r="AC157" s="27"/>
      <c r="AD157" s="27"/>
    </row>
    <row r="158" spans="2:30" ht="17.399999999999999" hidden="1" customHeight="1">
      <c r="B158" s="3" t="s">
        <v>28</v>
      </c>
      <c r="C158" s="3" t="s">
        <v>35</v>
      </c>
      <c r="D158" s="3" t="s">
        <v>1163</v>
      </c>
      <c r="E158" s="3" t="s">
        <v>38</v>
      </c>
      <c r="F158" s="3" t="s">
        <v>37</v>
      </c>
      <c r="G158" s="3" t="s">
        <v>44</v>
      </c>
      <c r="H158" s="63" t="str">
        <f>Table1[[#This Row],[Tabela]]&amp;Table1[[#This Row],[Campo]]</f>
        <v>cd_imv_inp_certif_estimativackctabem</v>
      </c>
      <c r="I158" s="3" t="s">
        <v>482</v>
      </c>
      <c r="J158" s="45">
        <f>VLOOKUP(Table1[[#This Row],[Status]],Auxiliar!$B$16:$C$23,2,0)</f>
        <v>6</v>
      </c>
      <c r="K158" s="3" t="s">
        <v>1164</v>
      </c>
      <c r="L158" s="29" t="s">
        <v>1135</v>
      </c>
      <c r="M158" s="22" t="s">
        <v>1145</v>
      </c>
      <c r="N158" s="53">
        <v>45485</v>
      </c>
      <c r="O158" s="22">
        <f>INDEX(Auxiliar!$D$5:$F$13,MATCH(Table1[[#This Row],[Tipologia_Testes]],Auxiliar!$B$5:$B$13,0),MATCH(Table1[[#This Row],[Complexidade]],Auxiliar!$D$4:$F$4,0))</f>
        <v>0.5</v>
      </c>
      <c r="P158" s="3"/>
      <c r="Q158" s="3"/>
      <c r="R158" s="173">
        <v>45261</v>
      </c>
      <c r="S158" s="173"/>
      <c r="T158" s="173"/>
      <c r="U158" s="173"/>
      <c r="V158" s="173"/>
      <c r="W158" s="3">
        <f>VLOOKUP(Table1[[#This Row],[Status]],Auxiliar!$B$16:$D$23,3,0)*Table1[[#This Row],[Estimação (horas)]]</f>
        <v>0.125</v>
      </c>
      <c r="X158" s="195"/>
      <c r="Y158" s="199"/>
      <c r="Z158" s="27"/>
      <c r="AA158" s="27"/>
      <c r="AB158" s="27"/>
      <c r="AC158" s="27"/>
      <c r="AD158" s="27"/>
    </row>
    <row r="159" spans="2:30" ht="17.399999999999999" hidden="1" customHeight="1">
      <c r="B159" s="3" t="s">
        <v>28</v>
      </c>
      <c r="C159" s="3" t="s">
        <v>35</v>
      </c>
      <c r="D159" s="3" t="s">
        <v>1163</v>
      </c>
      <c r="E159" s="3" t="s">
        <v>38</v>
      </c>
      <c r="F159" s="3" t="s">
        <v>37</v>
      </c>
      <c r="G159" s="3" t="s">
        <v>45</v>
      </c>
      <c r="H159" s="63" t="str">
        <f>Table1[[#This Row],[Tabela]]&amp;Table1[[#This Row],[Campo]]</f>
        <v>cd_imv_inp_certif_estimativackrefbem</v>
      </c>
      <c r="I159" s="3" t="s">
        <v>482</v>
      </c>
      <c r="J159" s="45">
        <f>VLOOKUP(Table1[[#This Row],[Status]],Auxiliar!$B$16:$C$23,2,0)</f>
        <v>6</v>
      </c>
      <c r="K159" s="3" t="s">
        <v>1141</v>
      </c>
      <c r="L159" s="29" t="s">
        <v>1135</v>
      </c>
      <c r="M159" s="22" t="s">
        <v>1145</v>
      </c>
      <c r="N159" s="53">
        <v>45485</v>
      </c>
      <c r="O159" s="22">
        <f>INDEX(Auxiliar!$D$5:$F$13,MATCH(Table1[[#This Row],[Tipologia_Testes]],Auxiliar!$B$5:$B$13,0),MATCH(Table1[[#This Row],[Complexidade]],Auxiliar!$D$4:$F$4,0))</f>
        <v>0.1</v>
      </c>
      <c r="P159" s="3"/>
      <c r="Q159" s="3"/>
      <c r="R159" s="173">
        <v>45261</v>
      </c>
      <c r="S159" s="173"/>
      <c r="T159" s="173"/>
      <c r="U159" s="173"/>
      <c r="V159" s="173"/>
      <c r="W159" s="3">
        <f>VLOOKUP(Table1[[#This Row],[Status]],Auxiliar!$B$16:$D$23,3,0)*Table1[[#This Row],[Estimação (horas)]]</f>
        <v>2.5000000000000001E-2</v>
      </c>
      <c r="X159" s="195"/>
      <c r="Y159" s="199"/>
      <c r="Z159" s="27"/>
      <c r="AA159" s="27"/>
      <c r="AB159" s="27"/>
      <c r="AC159" s="27"/>
      <c r="AD159" s="27"/>
    </row>
    <row r="160" spans="2:30" ht="17.399999999999999" hidden="1" customHeight="1">
      <c r="B160" s="3" t="s">
        <v>28</v>
      </c>
      <c r="C160" s="3" t="s">
        <v>35</v>
      </c>
      <c r="D160" s="3" t="s">
        <v>1163</v>
      </c>
      <c r="E160" s="3" t="s">
        <v>38</v>
      </c>
      <c r="F160" s="3" t="s">
        <v>37</v>
      </c>
      <c r="G160" s="3" t="s">
        <v>45</v>
      </c>
      <c r="H160" s="63" t="str">
        <f>Table1[[#This Row],[Tabela]]&amp;Table1[[#This Row],[Campo]]</f>
        <v>cd_imv_inp_certif_estimativackrefbem</v>
      </c>
      <c r="I160" s="3" t="s">
        <v>482</v>
      </c>
      <c r="J160" s="45">
        <f>VLOOKUP(Table1[[#This Row],[Status]],Auxiliar!$B$16:$C$23,2,0)</f>
        <v>6</v>
      </c>
      <c r="K160" s="3" t="s">
        <v>1164</v>
      </c>
      <c r="L160" s="29" t="s">
        <v>1135</v>
      </c>
      <c r="M160" s="22" t="s">
        <v>1145</v>
      </c>
      <c r="N160" s="53">
        <v>45485</v>
      </c>
      <c r="O160" s="22">
        <f>INDEX(Auxiliar!$D$5:$F$13,MATCH(Table1[[#This Row],[Tipologia_Testes]],Auxiliar!$B$5:$B$13,0),MATCH(Table1[[#This Row],[Complexidade]],Auxiliar!$D$4:$F$4,0))</f>
        <v>0.5</v>
      </c>
      <c r="P160" s="3"/>
      <c r="Q160" s="3"/>
      <c r="R160" s="173">
        <v>45261</v>
      </c>
      <c r="S160" s="173"/>
      <c r="T160" s="173"/>
      <c r="U160" s="173"/>
      <c r="V160" s="173"/>
      <c r="W160" s="3">
        <f>VLOOKUP(Table1[[#This Row],[Status]],Auxiliar!$B$16:$D$23,3,0)*Table1[[#This Row],[Estimação (horas)]]</f>
        <v>0.125</v>
      </c>
      <c r="X160" s="195"/>
      <c r="Y160" s="199"/>
      <c r="Z160" s="27"/>
      <c r="AA160" s="27"/>
      <c r="AB160" s="27"/>
      <c r="AC160" s="27"/>
      <c r="AD160" s="27"/>
    </row>
    <row r="161" spans="2:30" ht="17.399999999999999" hidden="1" customHeight="1">
      <c r="B161" s="3" t="s">
        <v>28</v>
      </c>
      <c r="C161" s="3" t="s">
        <v>35</v>
      </c>
      <c r="D161" s="3" t="s">
        <v>1163</v>
      </c>
      <c r="E161" s="3" t="s">
        <v>38</v>
      </c>
      <c r="F161" s="3" t="s">
        <v>37</v>
      </c>
      <c r="G161" s="3" t="s">
        <v>46</v>
      </c>
      <c r="H161" s="63" t="str">
        <f>Table1[[#This Row],[Tabela]]&amp;Table1[[#This Row],[Campo]]</f>
        <v>cd_imv_inp_certif_estimativadata_extraccao_info</v>
      </c>
      <c r="I161" s="3" t="s">
        <v>482</v>
      </c>
      <c r="J161" s="45">
        <f>VLOOKUP(Table1[[#This Row],[Status]],Auxiliar!$B$16:$C$23,2,0)</f>
        <v>6</v>
      </c>
      <c r="K161" s="3" t="s">
        <v>1141</v>
      </c>
      <c r="L161" s="29" t="s">
        <v>1135</v>
      </c>
      <c r="M161" s="22" t="s">
        <v>1145</v>
      </c>
      <c r="N161" s="53">
        <v>45485</v>
      </c>
      <c r="O161" s="22">
        <f>INDEX(Auxiliar!$D$5:$F$13,MATCH(Table1[[#This Row],[Tipologia_Testes]],Auxiliar!$B$5:$B$13,0),MATCH(Table1[[#This Row],[Complexidade]],Auxiliar!$D$4:$F$4,0))</f>
        <v>0.1</v>
      </c>
      <c r="P161" s="3"/>
      <c r="Q161" s="3"/>
      <c r="R161" s="173">
        <v>45261</v>
      </c>
      <c r="S161" s="173"/>
      <c r="T161" s="173"/>
      <c r="U161" s="173"/>
      <c r="V161" s="173"/>
      <c r="W161" s="3">
        <f>VLOOKUP(Table1[[#This Row],[Status]],Auxiliar!$B$16:$D$23,3,0)*Table1[[#This Row],[Estimação (horas)]]</f>
        <v>2.5000000000000001E-2</v>
      </c>
      <c r="X161" s="195"/>
      <c r="Y161" s="199"/>
      <c r="Z161" s="27"/>
      <c r="AA161" s="27"/>
      <c r="AB161" s="27"/>
      <c r="AC161" s="27"/>
      <c r="AD161" s="27"/>
    </row>
    <row r="162" spans="2:30" ht="17.399999999999999" hidden="1" customHeight="1">
      <c r="B162" s="3" t="s">
        <v>28</v>
      </c>
      <c r="C162" s="3" t="s">
        <v>35</v>
      </c>
      <c r="D162" s="3" t="s">
        <v>1163</v>
      </c>
      <c r="E162" s="3" t="s">
        <v>38</v>
      </c>
      <c r="F162" s="3" t="s">
        <v>37</v>
      </c>
      <c r="G162" s="3" t="s">
        <v>46</v>
      </c>
      <c r="H162" s="63" t="str">
        <f>Table1[[#This Row],[Tabela]]&amp;Table1[[#This Row],[Campo]]</f>
        <v>cd_imv_inp_certif_estimativadata_extraccao_info</v>
      </c>
      <c r="I162" s="3" t="s">
        <v>482</v>
      </c>
      <c r="J162" s="45">
        <f>VLOOKUP(Table1[[#This Row],[Status]],Auxiliar!$B$16:$C$23,2,0)</f>
        <v>6</v>
      </c>
      <c r="K162" s="3" t="s">
        <v>1164</v>
      </c>
      <c r="L162" s="29" t="s">
        <v>1135</v>
      </c>
      <c r="M162" s="22" t="s">
        <v>1145</v>
      </c>
      <c r="N162" s="53">
        <v>45485</v>
      </c>
      <c r="O162" s="22">
        <f>INDEX(Auxiliar!$D$5:$F$13,MATCH(Table1[[#This Row],[Tipologia_Testes]],Auxiliar!$B$5:$B$13,0),MATCH(Table1[[#This Row],[Complexidade]],Auxiliar!$D$4:$F$4,0))</f>
        <v>0.5</v>
      </c>
      <c r="P162" s="3"/>
      <c r="Q162" s="3"/>
      <c r="R162" s="173">
        <v>45261</v>
      </c>
      <c r="S162" s="173"/>
      <c r="T162" s="173"/>
      <c r="U162" s="173"/>
      <c r="V162" s="173"/>
      <c r="W162" s="3">
        <f>VLOOKUP(Table1[[#This Row],[Status]],Auxiliar!$B$16:$D$23,3,0)*Table1[[#This Row],[Estimação (horas)]]</f>
        <v>0.125</v>
      </c>
      <c r="X162" s="195"/>
      <c r="Y162" s="199"/>
      <c r="Z162" s="27"/>
      <c r="AA162" s="27"/>
      <c r="AB162" s="27"/>
      <c r="AC162" s="27"/>
      <c r="AD162" s="27"/>
    </row>
    <row r="163" spans="2:30" ht="17.399999999999999" hidden="1" customHeight="1">
      <c r="B163" s="3" t="s">
        <v>28</v>
      </c>
      <c r="C163" s="3" t="s">
        <v>35</v>
      </c>
      <c r="D163" s="3" t="s">
        <v>1163</v>
      </c>
      <c r="E163" s="3" t="s">
        <v>38</v>
      </c>
      <c r="F163" s="3" t="s">
        <v>37</v>
      </c>
      <c r="G163" s="3" t="s">
        <v>47</v>
      </c>
      <c r="H163" s="63" t="str">
        <f>Table1[[#This Row],[Tabela]]&amp;Table1[[#This Row],[Campo]]</f>
        <v>cd_imv_inp_certif_estimativaepc</v>
      </c>
      <c r="I163" s="3" t="s">
        <v>482</v>
      </c>
      <c r="J163" s="45">
        <f>VLOOKUP(Table1[[#This Row],[Status]],Auxiliar!$B$16:$C$23,2,0)</f>
        <v>6</v>
      </c>
      <c r="K163" s="3" t="s">
        <v>1141</v>
      </c>
      <c r="L163" s="29" t="s">
        <v>1135</v>
      </c>
      <c r="M163" s="22" t="s">
        <v>1145</v>
      </c>
      <c r="N163" s="53">
        <v>45485</v>
      </c>
      <c r="O163" s="22">
        <f>INDEX(Auxiliar!$D$5:$F$13,MATCH(Table1[[#This Row],[Tipologia_Testes]],Auxiliar!$B$5:$B$13,0),MATCH(Table1[[#This Row],[Complexidade]],Auxiliar!$D$4:$F$4,0))</f>
        <v>0.1</v>
      </c>
      <c r="P163" s="3" t="s">
        <v>1167</v>
      </c>
      <c r="Q163" s="3"/>
      <c r="R163" s="173">
        <v>45261</v>
      </c>
      <c r="S163" s="173"/>
      <c r="T163" s="173"/>
      <c r="U163" s="173"/>
      <c r="V163" s="173"/>
      <c r="W163" s="3">
        <f>VLOOKUP(Table1[[#This Row],[Status]],Auxiliar!$B$16:$D$23,3,0)*Table1[[#This Row],[Estimação (horas)]]</f>
        <v>2.5000000000000001E-2</v>
      </c>
      <c r="X163" s="195"/>
      <c r="Y163" s="199"/>
      <c r="Z163" s="27"/>
      <c r="AA163" s="27"/>
      <c r="AB163" s="27"/>
      <c r="AC163" s="27"/>
      <c r="AD163" s="27"/>
    </row>
    <row r="164" spans="2:30" ht="17.399999999999999" hidden="1" customHeight="1">
      <c r="B164" s="3" t="s">
        <v>28</v>
      </c>
      <c r="C164" s="3" t="s">
        <v>35</v>
      </c>
      <c r="D164" s="3" t="s">
        <v>1163</v>
      </c>
      <c r="E164" s="3" t="s">
        <v>38</v>
      </c>
      <c r="F164" s="3" t="s">
        <v>37</v>
      </c>
      <c r="G164" s="3" t="s">
        <v>47</v>
      </c>
      <c r="H164" s="63" t="str">
        <f>Table1[[#This Row],[Tabela]]&amp;Table1[[#This Row],[Campo]]</f>
        <v>cd_imv_inp_certif_estimativaepc</v>
      </c>
      <c r="I164" s="3" t="s">
        <v>482</v>
      </c>
      <c r="J164" s="45">
        <f>VLOOKUP(Table1[[#This Row],[Status]],Auxiliar!$B$16:$C$23,2,0)</f>
        <v>6</v>
      </c>
      <c r="K164" s="3" t="s">
        <v>1164</v>
      </c>
      <c r="L164" s="29" t="s">
        <v>1135</v>
      </c>
      <c r="M164" s="22" t="s">
        <v>1145</v>
      </c>
      <c r="N164" s="53">
        <v>45485</v>
      </c>
      <c r="O164" s="22">
        <f>INDEX(Auxiliar!$D$5:$F$13,MATCH(Table1[[#This Row],[Tipologia_Testes]],Auxiliar!$B$5:$B$13,0),MATCH(Table1[[#This Row],[Complexidade]],Auxiliar!$D$4:$F$4,0))</f>
        <v>0.5</v>
      </c>
      <c r="P164" s="3" t="s">
        <v>1167</v>
      </c>
      <c r="Q164" s="3"/>
      <c r="R164" s="173">
        <v>45261</v>
      </c>
      <c r="S164" s="173"/>
      <c r="T164" s="173"/>
      <c r="U164" s="173"/>
      <c r="V164" s="173"/>
      <c r="W164" s="3">
        <f>VLOOKUP(Table1[[#This Row],[Status]],Auxiliar!$B$16:$D$23,3,0)*Table1[[#This Row],[Estimação (horas)]]</f>
        <v>0.125</v>
      </c>
      <c r="X164" s="195"/>
      <c r="Y164" s="199"/>
      <c r="Z164" s="27"/>
      <c r="AA164" s="27"/>
      <c r="AB164" s="27"/>
      <c r="AC164" s="27"/>
      <c r="AD164" s="27"/>
    </row>
    <row r="165" spans="2:30" ht="17.399999999999999" hidden="1" customHeight="1">
      <c r="B165" s="3" t="s">
        <v>28</v>
      </c>
      <c r="C165" s="3" t="s">
        <v>35</v>
      </c>
      <c r="D165" s="3" t="s">
        <v>1163</v>
      </c>
      <c r="E165" s="3" t="s">
        <v>38</v>
      </c>
      <c r="F165" s="3" t="s">
        <v>37</v>
      </c>
      <c r="G165" s="3" t="s">
        <v>48</v>
      </c>
      <c r="H165" s="63" t="str">
        <f>Table1[[#This Row],[Tabela]]&amp;Table1[[#This Row],[Campo]]</f>
        <v>cd_imv_inp_certif_estimativafornecedor</v>
      </c>
      <c r="I165" s="3" t="s">
        <v>482</v>
      </c>
      <c r="J165" s="45">
        <f>VLOOKUP(Table1[[#This Row],[Status]],Auxiliar!$B$16:$C$23,2,0)</f>
        <v>6</v>
      </c>
      <c r="K165" s="3" t="s">
        <v>1141</v>
      </c>
      <c r="L165" s="29" t="s">
        <v>1135</v>
      </c>
      <c r="M165" s="22" t="s">
        <v>1145</v>
      </c>
      <c r="N165" s="53">
        <v>45485</v>
      </c>
      <c r="O165" s="22">
        <f>INDEX(Auxiliar!$D$5:$F$13,MATCH(Table1[[#This Row],[Tipologia_Testes]],Auxiliar!$B$5:$B$13,0),MATCH(Table1[[#This Row],[Complexidade]],Auxiliar!$D$4:$F$4,0))</f>
        <v>0.1</v>
      </c>
      <c r="P165" s="54" t="s">
        <v>1168</v>
      </c>
      <c r="Q165" s="34"/>
      <c r="R165" s="173">
        <v>45261</v>
      </c>
      <c r="S165" s="173"/>
      <c r="T165" s="173"/>
      <c r="U165" s="173"/>
      <c r="V165" s="173"/>
      <c r="W165" s="3">
        <f>VLOOKUP(Table1[[#This Row],[Status]],Auxiliar!$B$16:$D$23,3,0)*Table1[[#This Row],[Estimação (horas)]]</f>
        <v>2.5000000000000001E-2</v>
      </c>
      <c r="X165" s="196"/>
      <c r="Y165" s="200"/>
      <c r="Z165" s="198"/>
      <c r="AA165" s="198"/>
      <c r="AB165" s="198"/>
      <c r="AC165" s="198"/>
      <c r="AD165" s="198"/>
    </row>
    <row r="166" spans="2:30" ht="17.399999999999999" hidden="1" customHeight="1">
      <c r="B166" s="3" t="s">
        <v>28</v>
      </c>
      <c r="C166" s="3" t="s">
        <v>35</v>
      </c>
      <c r="D166" s="3" t="s">
        <v>1163</v>
      </c>
      <c r="E166" s="3" t="s">
        <v>38</v>
      </c>
      <c r="F166" s="3" t="s">
        <v>37</v>
      </c>
      <c r="G166" s="3" t="s">
        <v>48</v>
      </c>
      <c r="H166" s="63" t="str">
        <f>Table1[[#This Row],[Tabela]]&amp;Table1[[#This Row],[Campo]]</f>
        <v>cd_imv_inp_certif_estimativafornecedor</v>
      </c>
      <c r="I166" s="3" t="s">
        <v>482</v>
      </c>
      <c r="J166" s="45">
        <f>VLOOKUP(Table1[[#This Row],[Status]],Auxiliar!$B$16:$C$23,2,0)</f>
        <v>6</v>
      </c>
      <c r="K166" s="3" t="s">
        <v>1164</v>
      </c>
      <c r="L166" s="29" t="s">
        <v>1135</v>
      </c>
      <c r="M166" s="22" t="s">
        <v>1145</v>
      </c>
      <c r="N166" s="53">
        <v>45485</v>
      </c>
      <c r="O166" s="22">
        <f>INDEX(Auxiliar!$D$5:$F$13,MATCH(Table1[[#This Row],[Tipologia_Testes]],Auxiliar!$B$5:$B$13,0),MATCH(Table1[[#This Row],[Complexidade]],Auxiliar!$D$4:$F$4,0))</f>
        <v>0.5</v>
      </c>
      <c r="P166" s="54" t="s">
        <v>1168</v>
      </c>
      <c r="Q166" s="34"/>
      <c r="R166" s="173">
        <v>45261</v>
      </c>
      <c r="S166" s="173"/>
      <c r="T166" s="173"/>
      <c r="U166" s="173"/>
      <c r="V166" s="173"/>
      <c r="W166" s="3">
        <f>VLOOKUP(Table1[[#This Row],[Status]],Auxiliar!$B$16:$D$23,3,0)*Table1[[#This Row],[Estimação (horas)]]</f>
        <v>0.125</v>
      </c>
      <c r="X166" s="196"/>
      <c r="Y166" s="200"/>
      <c r="Z166" s="198"/>
      <c r="AA166" s="198"/>
      <c r="AB166" s="198"/>
      <c r="AC166" s="198"/>
      <c r="AD166" s="198"/>
    </row>
    <row r="167" spans="2:30" ht="17.399999999999999" hidden="1" customHeight="1">
      <c r="B167" s="3" t="s">
        <v>28</v>
      </c>
      <c r="C167" s="3" t="s">
        <v>35</v>
      </c>
      <c r="D167" s="3" t="s">
        <v>1163</v>
      </c>
      <c r="E167" s="3" t="s">
        <v>38</v>
      </c>
      <c r="F167" s="3" t="s">
        <v>37</v>
      </c>
      <c r="G167" s="3" t="s">
        <v>49</v>
      </c>
      <c r="H167" s="63" t="str">
        <f>Table1[[#This Row],[Tabela]]&amp;Table1[[#This Row],[Campo]]</f>
        <v>cd_imv_inp_certif_estimativametodo_info</v>
      </c>
      <c r="I167" s="3" t="s">
        <v>482</v>
      </c>
      <c r="J167" s="45">
        <f>VLOOKUP(Table1[[#This Row],[Status]],Auxiliar!$B$16:$C$23,2,0)</f>
        <v>6</v>
      </c>
      <c r="K167" s="3" t="s">
        <v>1141</v>
      </c>
      <c r="L167" s="29" t="s">
        <v>1135</v>
      </c>
      <c r="M167" s="22" t="s">
        <v>1145</v>
      </c>
      <c r="N167" s="53">
        <v>45485</v>
      </c>
      <c r="O167" s="22">
        <f>INDEX(Auxiliar!$D$5:$F$13,MATCH(Table1[[#This Row],[Tipologia_Testes]],Auxiliar!$B$5:$B$13,0),MATCH(Table1[[#This Row],[Complexidade]],Auxiliar!$D$4:$F$4,0))</f>
        <v>0.1</v>
      </c>
      <c r="P167" s="3"/>
      <c r="Q167" s="3"/>
      <c r="R167" s="173">
        <v>45261</v>
      </c>
      <c r="S167" s="173"/>
      <c r="T167" s="173"/>
      <c r="U167" s="173"/>
      <c r="V167" s="173"/>
      <c r="W167" s="3">
        <f>VLOOKUP(Table1[[#This Row],[Status]],Auxiliar!$B$16:$D$23,3,0)*Table1[[#This Row],[Estimação (horas)]]</f>
        <v>2.5000000000000001E-2</v>
      </c>
      <c r="X167" s="195"/>
      <c r="Y167" s="199"/>
      <c r="Z167" s="27"/>
      <c r="AA167" s="27"/>
      <c r="AB167" s="27"/>
      <c r="AC167" s="27"/>
      <c r="AD167" s="27"/>
    </row>
    <row r="168" spans="2:30" ht="17.399999999999999" hidden="1" customHeight="1">
      <c r="B168" s="3" t="s">
        <v>28</v>
      </c>
      <c r="C168" s="3" t="s">
        <v>35</v>
      </c>
      <c r="D168" s="3" t="s">
        <v>1163</v>
      </c>
      <c r="E168" s="3" t="s">
        <v>38</v>
      </c>
      <c r="F168" s="3" t="s">
        <v>37</v>
      </c>
      <c r="G168" s="3" t="s">
        <v>49</v>
      </c>
      <c r="H168" s="63" t="str">
        <f>Table1[[#This Row],[Tabela]]&amp;Table1[[#This Row],[Campo]]</f>
        <v>cd_imv_inp_certif_estimativametodo_info</v>
      </c>
      <c r="I168" s="3" t="s">
        <v>482</v>
      </c>
      <c r="J168" s="45">
        <f>VLOOKUP(Table1[[#This Row],[Status]],Auxiliar!$B$16:$C$23,2,0)</f>
        <v>6</v>
      </c>
      <c r="K168" s="3" t="s">
        <v>1164</v>
      </c>
      <c r="L168" s="29" t="s">
        <v>1135</v>
      </c>
      <c r="M168" s="22" t="s">
        <v>1145</v>
      </c>
      <c r="N168" s="53">
        <v>45485</v>
      </c>
      <c r="O168" s="22">
        <f>INDEX(Auxiliar!$D$5:$F$13,MATCH(Table1[[#This Row],[Tipologia_Testes]],Auxiliar!$B$5:$B$13,0),MATCH(Table1[[#This Row],[Complexidade]],Auxiliar!$D$4:$F$4,0))</f>
        <v>0.5</v>
      </c>
      <c r="P168" s="3"/>
      <c r="Q168" s="3"/>
      <c r="R168" s="173">
        <v>45261</v>
      </c>
      <c r="S168" s="173"/>
      <c r="T168" s="173"/>
      <c r="U168" s="173"/>
      <c r="V168" s="173"/>
      <c r="W168" s="3">
        <f>VLOOKUP(Table1[[#This Row],[Status]],Auxiliar!$B$16:$D$23,3,0)*Table1[[#This Row],[Estimação (horas)]]</f>
        <v>0.125</v>
      </c>
      <c r="X168" s="195"/>
      <c r="Y168" s="199"/>
      <c r="Z168" s="27"/>
      <c r="AA168" s="27"/>
      <c r="AB168" s="27"/>
      <c r="AC168" s="27"/>
      <c r="AD168" s="27"/>
    </row>
    <row r="169" spans="2:30" ht="17.399999999999999" hidden="1" customHeight="1">
      <c r="B169" s="3" t="s">
        <v>28</v>
      </c>
      <c r="C169" s="3" t="s">
        <v>35</v>
      </c>
      <c r="D169" s="3" t="s">
        <v>1163</v>
      </c>
      <c r="E169" s="3" t="s">
        <v>38</v>
      </c>
      <c r="F169" s="3" t="s">
        <v>37</v>
      </c>
      <c r="G169" s="3" t="s">
        <v>50</v>
      </c>
      <c r="H169" s="63" t="str">
        <f>Table1[[#This Row],[Tabela]]&amp;Table1[[#This Row],[Campo]]</f>
        <v>cd_imv_inp_certif_estimativascore_qualidade</v>
      </c>
      <c r="I169" s="3" t="s">
        <v>482</v>
      </c>
      <c r="J169" s="45">
        <f>VLOOKUP(Table1[[#This Row],[Status]],Auxiliar!$B$16:$C$23,2,0)</f>
        <v>6</v>
      </c>
      <c r="K169" s="3" t="s">
        <v>1141</v>
      </c>
      <c r="L169" s="29" t="s">
        <v>1135</v>
      </c>
      <c r="M169" s="22" t="s">
        <v>1145</v>
      </c>
      <c r="N169" s="53">
        <v>45485</v>
      </c>
      <c r="O169" s="22">
        <f>INDEX(Auxiliar!$D$5:$F$13,MATCH(Table1[[#This Row],[Tipologia_Testes]],Auxiliar!$B$5:$B$13,0),MATCH(Table1[[#This Row],[Complexidade]],Auxiliar!$D$4:$F$4,0))</f>
        <v>0.1</v>
      </c>
      <c r="P169" s="3"/>
      <c r="Q169" s="3"/>
      <c r="R169" s="173">
        <v>45261</v>
      </c>
      <c r="S169" s="173"/>
      <c r="T169" s="173"/>
      <c r="U169" s="173"/>
      <c r="V169" s="173"/>
      <c r="W169" s="3">
        <f>VLOOKUP(Table1[[#This Row],[Status]],Auxiliar!$B$16:$D$23,3,0)*Table1[[#This Row],[Estimação (horas)]]</f>
        <v>2.5000000000000001E-2</v>
      </c>
      <c r="X169" s="195"/>
      <c r="Y169" s="199"/>
      <c r="Z169" s="27"/>
      <c r="AA169" s="27"/>
      <c r="AB169" s="27"/>
      <c r="AC169" s="27"/>
      <c r="AD169" s="27"/>
    </row>
    <row r="170" spans="2:30" ht="17.399999999999999" hidden="1" customHeight="1">
      <c r="B170" s="3" t="s">
        <v>28</v>
      </c>
      <c r="C170" s="3" t="s">
        <v>35</v>
      </c>
      <c r="D170" s="3" t="s">
        <v>1163</v>
      </c>
      <c r="E170" s="3" t="s">
        <v>38</v>
      </c>
      <c r="F170" s="3" t="s">
        <v>37</v>
      </c>
      <c r="G170" s="3" t="s">
        <v>50</v>
      </c>
      <c r="H170" s="63" t="str">
        <f>Table1[[#This Row],[Tabela]]&amp;Table1[[#This Row],[Campo]]</f>
        <v>cd_imv_inp_certif_estimativascore_qualidade</v>
      </c>
      <c r="I170" s="3" t="s">
        <v>482</v>
      </c>
      <c r="J170" s="45">
        <f>VLOOKUP(Table1[[#This Row],[Status]],Auxiliar!$B$16:$C$23,2,0)</f>
        <v>6</v>
      </c>
      <c r="K170" s="3" t="s">
        <v>1164</v>
      </c>
      <c r="L170" s="29" t="s">
        <v>1135</v>
      </c>
      <c r="M170" s="22" t="s">
        <v>1145</v>
      </c>
      <c r="N170" s="53">
        <v>45485</v>
      </c>
      <c r="O170" s="22">
        <f>INDEX(Auxiliar!$D$5:$F$13,MATCH(Table1[[#This Row],[Tipologia_Testes]],Auxiliar!$B$5:$B$13,0),MATCH(Table1[[#This Row],[Complexidade]],Auxiliar!$D$4:$F$4,0))</f>
        <v>0.5</v>
      </c>
      <c r="P170" s="3"/>
      <c r="Q170" s="3"/>
      <c r="R170" s="173">
        <v>45261</v>
      </c>
      <c r="S170" s="173"/>
      <c r="T170" s="173"/>
      <c r="U170" s="173"/>
      <c r="V170" s="173"/>
      <c r="W170" s="3">
        <f>VLOOKUP(Table1[[#This Row],[Status]],Auxiliar!$B$16:$D$23,3,0)*Table1[[#This Row],[Estimação (horas)]]</f>
        <v>0.125</v>
      </c>
      <c r="X170" s="195"/>
      <c r="Y170" s="199"/>
      <c r="Z170" s="27"/>
      <c r="AA170" s="27"/>
      <c r="AB170" s="27"/>
      <c r="AC170" s="27"/>
      <c r="AD170" s="27"/>
    </row>
    <row r="171" spans="2:30" ht="17.399999999999999" hidden="1" customHeight="1">
      <c r="B171" s="3" t="s">
        <v>28</v>
      </c>
      <c r="C171" s="3" t="s">
        <v>35</v>
      </c>
      <c r="D171" s="3" t="s">
        <v>1163</v>
      </c>
      <c r="E171" s="3" t="s">
        <v>38</v>
      </c>
      <c r="F171" s="3" t="s">
        <v>37</v>
      </c>
      <c r="G171" s="3" t="s">
        <v>51</v>
      </c>
      <c r="H171" s="63" t="str">
        <f>Table1[[#This Row],[Tabela]]&amp;Table1[[#This Row],[Campo]]</f>
        <v>cd_imv_inp_certif_estimativavlr_cnsm_ano</v>
      </c>
      <c r="I171" s="3" t="s">
        <v>482</v>
      </c>
      <c r="J171" s="45">
        <f>VLOOKUP(Table1[[#This Row],[Status]],Auxiliar!$B$16:$C$23,2,0)</f>
        <v>6</v>
      </c>
      <c r="K171" s="3" t="s">
        <v>1141</v>
      </c>
      <c r="L171" s="29" t="s">
        <v>1135</v>
      </c>
      <c r="M171" s="22" t="s">
        <v>1145</v>
      </c>
      <c r="N171" s="53">
        <v>45485</v>
      </c>
      <c r="O171" s="22">
        <f>INDEX(Auxiliar!$D$5:$F$13,MATCH(Table1[[#This Row],[Tipologia_Testes]],Auxiliar!$B$5:$B$13,0),MATCH(Table1[[#This Row],[Complexidade]],Auxiliar!$D$4:$F$4,0))</f>
        <v>0.1</v>
      </c>
      <c r="P171" s="3" t="s">
        <v>1167</v>
      </c>
      <c r="Q171" s="3"/>
      <c r="R171" s="173">
        <v>45261</v>
      </c>
      <c r="S171" s="173"/>
      <c r="T171" s="173"/>
      <c r="U171" s="173"/>
      <c r="V171" s="173"/>
      <c r="W171" s="3">
        <f>VLOOKUP(Table1[[#This Row],[Status]],Auxiliar!$B$16:$D$23,3,0)*Table1[[#This Row],[Estimação (horas)]]</f>
        <v>2.5000000000000001E-2</v>
      </c>
      <c r="X171" s="195"/>
      <c r="Y171" s="199"/>
      <c r="Z171" s="27"/>
      <c r="AA171" s="27"/>
      <c r="AB171" s="27"/>
      <c r="AC171" s="27"/>
      <c r="AD171" s="27"/>
    </row>
    <row r="172" spans="2:30" ht="17.399999999999999" hidden="1" customHeight="1">
      <c r="B172" s="3" t="s">
        <v>28</v>
      </c>
      <c r="C172" s="3" t="s">
        <v>35</v>
      </c>
      <c r="D172" s="3" t="s">
        <v>1163</v>
      </c>
      <c r="E172" s="3" t="s">
        <v>38</v>
      </c>
      <c r="F172" s="3" t="s">
        <v>37</v>
      </c>
      <c r="G172" s="3" t="s">
        <v>51</v>
      </c>
      <c r="H172" s="63" t="str">
        <f>Table1[[#This Row],[Tabela]]&amp;Table1[[#This Row],[Campo]]</f>
        <v>cd_imv_inp_certif_estimativavlr_cnsm_ano</v>
      </c>
      <c r="I172" s="3" t="s">
        <v>482</v>
      </c>
      <c r="J172" s="45">
        <f>VLOOKUP(Table1[[#This Row],[Status]],Auxiliar!$B$16:$C$23,2,0)</f>
        <v>6</v>
      </c>
      <c r="K172" s="3" t="s">
        <v>1164</v>
      </c>
      <c r="L172" s="29" t="s">
        <v>1135</v>
      </c>
      <c r="M172" s="22" t="s">
        <v>1145</v>
      </c>
      <c r="N172" s="53">
        <v>45485</v>
      </c>
      <c r="O172" s="22">
        <f>INDEX(Auxiliar!$D$5:$F$13,MATCH(Table1[[#This Row],[Tipologia_Testes]],Auxiliar!$B$5:$B$13,0),MATCH(Table1[[#This Row],[Complexidade]],Auxiliar!$D$4:$F$4,0))</f>
        <v>0.5</v>
      </c>
      <c r="P172" s="3" t="s">
        <v>1167</v>
      </c>
      <c r="Q172" s="3"/>
      <c r="R172" s="173">
        <v>45261</v>
      </c>
      <c r="S172" s="173"/>
      <c r="T172" s="173"/>
      <c r="U172" s="173"/>
      <c r="V172" s="173"/>
      <c r="W172" s="3">
        <f>VLOOKUP(Table1[[#This Row],[Status]],Auxiliar!$B$16:$D$23,3,0)*Table1[[#This Row],[Estimação (horas)]]</f>
        <v>0.125</v>
      </c>
      <c r="X172" s="195"/>
      <c r="Y172" s="199"/>
      <c r="Z172" s="27"/>
      <c r="AA172" s="27"/>
      <c r="AB172" s="27"/>
      <c r="AC172" s="27"/>
      <c r="AD172" s="27"/>
    </row>
    <row r="173" spans="2:30" ht="17.399999999999999" hidden="1" customHeight="1">
      <c r="B173" s="3" t="s">
        <v>28</v>
      </c>
      <c r="C173" s="3" t="s">
        <v>35</v>
      </c>
      <c r="D173" s="3" t="s">
        <v>1163</v>
      </c>
      <c r="E173" s="3" t="s">
        <v>38</v>
      </c>
      <c r="F173" s="3" t="s">
        <v>37</v>
      </c>
      <c r="G173" s="3" t="s">
        <v>52</v>
      </c>
      <c r="H173" s="63" t="str">
        <f>Table1[[#This Row],[Tabela]]&amp;Table1[[#This Row],[Campo]]</f>
        <v>cd_imv_inp_certif_estimativavlr_emss_ano</v>
      </c>
      <c r="I173" s="3" t="s">
        <v>482</v>
      </c>
      <c r="J173" s="45">
        <f>VLOOKUP(Table1[[#This Row],[Status]],Auxiliar!$B$16:$C$23,2,0)</f>
        <v>6</v>
      </c>
      <c r="K173" s="3" t="s">
        <v>1141</v>
      </c>
      <c r="L173" s="29" t="s">
        <v>1135</v>
      </c>
      <c r="M173" s="22" t="s">
        <v>1145</v>
      </c>
      <c r="N173" s="53">
        <v>45485</v>
      </c>
      <c r="O173" s="22">
        <f>INDEX(Auxiliar!$D$5:$F$13,MATCH(Table1[[#This Row],[Tipologia_Testes]],Auxiliar!$B$5:$B$13,0),MATCH(Table1[[#This Row],[Complexidade]],Auxiliar!$D$4:$F$4,0))</f>
        <v>0.1</v>
      </c>
      <c r="P173" s="3" t="s">
        <v>1167</v>
      </c>
      <c r="Q173" s="3"/>
      <c r="R173" s="173">
        <v>45261</v>
      </c>
      <c r="S173" s="173"/>
      <c r="T173" s="173"/>
      <c r="U173" s="173"/>
      <c r="V173" s="173"/>
      <c r="W173" s="3">
        <f>VLOOKUP(Table1[[#This Row],[Status]],Auxiliar!$B$16:$D$23,3,0)*Table1[[#This Row],[Estimação (horas)]]</f>
        <v>2.5000000000000001E-2</v>
      </c>
      <c r="X173" s="195"/>
      <c r="Y173" s="199"/>
      <c r="Z173" s="27"/>
      <c r="AA173" s="27"/>
      <c r="AB173" s="27"/>
      <c r="AC173" s="27"/>
      <c r="AD173" s="27"/>
    </row>
    <row r="174" spans="2:30" ht="17.399999999999999" hidden="1" customHeight="1">
      <c r="B174" s="3" t="s">
        <v>28</v>
      </c>
      <c r="C174" s="3" t="s">
        <v>35</v>
      </c>
      <c r="D174" s="3" t="s">
        <v>1163</v>
      </c>
      <c r="E174" s="3" t="s">
        <v>38</v>
      </c>
      <c r="F174" s="3" t="s">
        <v>37</v>
      </c>
      <c r="G174" s="3" t="s">
        <v>52</v>
      </c>
      <c r="H174" s="63" t="str">
        <f>Table1[[#This Row],[Tabela]]&amp;Table1[[#This Row],[Campo]]</f>
        <v>cd_imv_inp_certif_estimativavlr_emss_ano</v>
      </c>
      <c r="I174" s="3" t="s">
        <v>482</v>
      </c>
      <c r="J174" s="45">
        <f>VLOOKUP(Table1[[#This Row],[Status]],Auxiliar!$B$16:$C$23,2,0)</f>
        <v>6</v>
      </c>
      <c r="K174" s="3" t="s">
        <v>1164</v>
      </c>
      <c r="L174" s="29" t="s">
        <v>1135</v>
      </c>
      <c r="M174" s="22" t="s">
        <v>1145</v>
      </c>
      <c r="N174" s="53">
        <v>45485</v>
      </c>
      <c r="O174" s="22">
        <f>INDEX(Auxiliar!$D$5:$F$13,MATCH(Table1[[#This Row],[Tipologia_Testes]],Auxiliar!$B$5:$B$13,0),MATCH(Table1[[#This Row],[Complexidade]],Auxiliar!$D$4:$F$4,0))</f>
        <v>0.5</v>
      </c>
      <c r="P174" s="3" t="s">
        <v>1167</v>
      </c>
      <c r="Q174" s="3"/>
      <c r="R174" s="173">
        <v>45261</v>
      </c>
      <c r="S174" s="173"/>
      <c r="T174" s="173"/>
      <c r="U174" s="173"/>
      <c r="V174" s="173"/>
      <c r="W174" s="3">
        <f>VLOOKUP(Table1[[#This Row],[Status]],Auxiliar!$B$16:$D$23,3,0)*Table1[[#This Row],[Estimação (horas)]]</f>
        <v>0.125</v>
      </c>
      <c r="X174" s="197"/>
      <c r="Y174" s="199"/>
      <c r="Z174" s="27"/>
      <c r="AA174" s="27"/>
      <c r="AB174" s="27"/>
      <c r="AC174" s="27"/>
      <c r="AD174" s="27"/>
    </row>
    <row r="175" spans="2:30" ht="87" hidden="1" customHeight="1">
      <c r="B175" s="3" t="s">
        <v>28</v>
      </c>
      <c r="C175" s="3" t="s">
        <v>54</v>
      </c>
      <c r="D175" s="3" t="s">
        <v>93</v>
      </c>
      <c r="E175" s="3" t="s">
        <v>38</v>
      </c>
      <c r="F175" s="3" t="s">
        <v>92</v>
      </c>
      <c r="G175" s="3" t="s">
        <v>38</v>
      </c>
      <c r="H175" s="63" t="str">
        <f>Table1[[#This Row],[Tabela]]&amp;Table1[[#This Row],[Campo]]</f>
        <v>cd_imv_out_bensn.a.</v>
      </c>
      <c r="I175" s="3" t="s">
        <v>477</v>
      </c>
      <c r="J175" s="45">
        <f>VLOOKUP(Table1[[#This Row],[Status]],Auxiliar!$B$16:$C$23,2,0)</f>
        <v>1</v>
      </c>
      <c r="K175" s="3" t="s">
        <v>1134</v>
      </c>
      <c r="L175" s="3" t="s">
        <v>1135</v>
      </c>
      <c r="M175" s="22" t="s">
        <v>1136</v>
      </c>
      <c r="N175" s="53">
        <v>45505</v>
      </c>
      <c r="O175" s="22">
        <f>INDEX(Auxiliar!$D$5:$F$13,MATCH(Table1[[#This Row],[Tipologia_Testes]],Auxiliar!$B$5:$B$13,0),MATCH(Table1[[#This Row],[Complexidade]],Auxiliar!$D$4:$F$4,0))</f>
        <v>8</v>
      </c>
      <c r="P175" s="24" t="s">
        <v>1169</v>
      </c>
      <c r="Q175" s="3" t="s">
        <v>1170</v>
      </c>
      <c r="R175" s="173">
        <v>45261</v>
      </c>
      <c r="S175" s="173"/>
      <c r="T175" s="173"/>
      <c r="U175" s="173"/>
      <c r="V175" s="173"/>
      <c r="W175" s="3">
        <f>VLOOKUP(Table1[[#This Row],[Status]],Auxiliar!$B$16:$D$23,3,0)*Table1[[#This Row],[Estimação (horas)]]</f>
        <v>8</v>
      </c>
      <c r="X175" s="197"/>
      <c r="Y175" s="194"/>
    </row>
    <row r="176" spans="2:30" ht="52.2" hidden="1" customHeight="1">
      <c r="B176" s="3" t="s">
        <v>28</v>
      </c>
      <c r="C176" s="3" t="s">
        <v>54</v>
      </c>
      <c r="D176" s="3" t="s">
        <v>93</v>
      </c>
      <c r="E176" s="3" t="s">
        <v>38</v>
      </c>
      <c r="F176" s="3" t="s">
        <v>92</v>
      </c>
      <c r="G176" s="3" t="s">
        <v>94</v>
      </c>
      <c r="H176" s="63" t="str">
        <f>Table1[[#This Row],[Tabela]]&amp;Table1[[#This Row],[Campo]]</f>
        <v>cd_imv_out_bensano_construcao</v>
      </c>
      <c r="I176" s="3" t="s">
        <v>477</v>
      </c>
      <c r="J176" s="45">
        <f>VLOOKUP(Table1[[#This Row],[Status]],Auxiliar!$B$16:$C$23,2,0)</f>
        <v>1</v>
      </c>
      <c r="K176" s="3" t="s">
        <v>1137</v>
      </c>
      <c r="L176" s="3" t="s">
        <v>1171</v>
      </c>
      <c r="M176" s="22" t="s">
        <v>1155</v>
      </c>
      <c r="N176" s="53">
        <v>45505</v>
      </c>
      <c r="O176" s="22">
        <f>INDEX(Auxiliar!$D$5:$F$13,MATCH(Table1[[#This Row],[Tipologia_Testes]],Auxiliar!$B$5:$B$13,0),MATCH(Table1[[#This Row],[Complexidade]],Auxiliar!$D$4:$F$4,0))</f>
        <v>4</v>
      </c>
      <c r="P176" s="24" t="s">
        <v>1172</v>
      </c>
      <c r="Q176" s="3" t="s">
        <v>1170</v>
      </c>
      <c r="R176" s="173">
        <v>45425</v>
      </c>
      <c r="S176" s="173"/>
      <c r="T176" s="173"/>
      <c r="U176" s="173"/>
      <c r="V176" s="173"/>
      <c r="W176" s="3">
        <f>VLOOKUP(Table1[[#This Row],[Status]],Auxiliar!$B$16:$D$23,3,0)*Table1[[#This Row],[Estimação (horas)]]</f>
        <v>4</v>
      </c>
      <c r="X176" s="197"/>
      <c r="Y176" s="194"/>
    </row>
    <row r="177" spans="2:27" ht="17.399999999999999" hidden="1" customHeight="1">
      <c r="B177" s="3" t="s">
        <v>28</v>
      </c>
      <c r="C177" s="3" t="s">
        <v>54</v>
      </c>
      <c r="D177" s="3" t="s">
        <v>93</v>
      </c>
      <c r="E177" s="3" t="s">
        <v>38</v>
      </c>
      <c r="F177" s="3" t="s">
        <v>92</v>
      </c>
      <c r="G177" s="3" t="s">
        <v>95</v>
      </c>
      <c r="H177" s="63" t="str">
        <f>Table1[[#This Row],[Tabela]]&amp;Table1[[#This Row],[Campo]]</f>
        <v>cd_imv_out_bensarea_util</v>
      </c>
      <c r="I177" s="4" t="s">
        <v>477</v>
      </c>
      <c r="J177" s="45">
        <f>VLOOKUP(Table1[[#This Row],[Status]],Auxiliar!$B$16:$C$23,2,0)</f>
        <v>1</v>
      </c>
      <c r="K177" s="3" t="s">
        <v>1137</v>
      </c>
      <c r="L177" s="3" t="s">
        <v>1135</v>
      </c>
      <c r="M177" s="22" t="s">
        <v>1155</v>
      </c>
      <c r="N177" s="53">
        <v>45505</v>
      </c>
      <c r="O177" s="22">
        <f>INDEX(Auxiliar!$D$5:$F$13,MATCH(Table1[[#This Row],[Tipologia_Testes]],Auxiliar!$B$5:$B$13,0),MATCH(Table1[[#This Row],[Complexidade]],Auxiliar!$D$4:$F$4,0))</f>
        <v>4</v>
      </c>
      <c r="P177" s="3"/>
      <c r="Q177" s="3" t="s">
        <v>1170</v>
      </c>
      <c r="R177" s="173">
        <v>45261</v>
      </c>
      <c r="S177" s="173"/>
      <c r="T177" s="173"/>
      <c r="U177" s="173"/>
      <c r="V177" s="173"/>
      <c r="W177" s="3">
        <f>VLOOKUP(Table1[[#This Row],[Status]],Auxiliar!$B$16:$D$23,3,0)*Table1[[#This Row],[Estimação (horas)]]</f>
        <v>4</v>
      </c>
      <c r="X177" s="197"/>
      <c r="Y177" s="194"/>
    </row>
    <row r="178" spans="2:27" ht="17.399999999999999" hidden="1" customHeight="1">
      <c r="B178" s="3" t="s">
        <v>28</v>
      </c>
      <c r="C178" s="3" t="s">
        <v>54</v>
      </c>
      <c r="D178" s="3" t="s">
        <v>93</v>
      </c>
      <c r="E178" s="3" t="s">
        <v>38</v>
      </c>
      <c r="F178" s="3" t="s">
        <v>92</v>
      </c>
      <c r="G178" s="3" t="s">
        <v>95</v>
      </c>
      <c r="H178" s="63" t="str">
        <f>Table1[[#This Row],[Tabela]]&amp;Table1[[#This Row],[Campo]]</f>
        <v>cd_imv_out_bensarea_util</v>
      </c>
      <c r="I178" s="4" t="s">
        <v>477</v>
      </c>
      <c r="J178" s="45">
        <f>VLOOKUP(Table1[[#This Row],[Status]],Auxiliar!$B$16:$C$23,2,0)</f>
        <v>1</v>
      </c>
      <c r="K178" s="3" t="s">
        <v>1138</v>
      </c>
      <c r="L178" s="3" t="s">
        <v>1135</v>
      </c>
      <c r="M178" s="22" t="s">
        <v>1155</v>
      </c>
      <c r="N178" s="53">
        <v>45505</v>
      </c>
      <c r="O178" s="22">
        <f>INDEX(Auxiliar!$D$5:$F$13,MATCH(Table1[[#This Row],[Tipologia_Testes]],Auxiliar!$B$5:$B$13,0),MATCH(Table1[[#This Row],[Complexidade]],Auxiliar!$D$4:$F$4,0))</f>
        <v>4</v>
      </c>
      <c r="P178" s="3"/>
      <c r="Q178" s="3" t="s">
        <v>1170</v>
      </c>
      <c r="R178" s="173">
        <v>45261</v>
      </c>
      <c r="S178" s="173"/>
      <c r="T178" s="173"/>
      <c r="U178" s="173"/>
      <c r="V178" s="173"/>
      <c r="W178" s="3">
        <f>VLOOKUP(Table1[[#This Row],[Status]],Auxiliar!$B$16:$D$23,3,0)*Table1[[#This Row],[Estimação (horas)]]</f>
        <v>4</v>
      </c>
      <c r="X178" s="197"/>
      <c r="Y178" s="194"/>
    </row>
    <row r="179" spans="2:27" ht="17.399999999999999" hidden="1" customHeight="1">
      <c r="B179" s="3" t="s">
        <v>28</v>
      </c>
      <c r="C179" s="3" t="s">
        <v>54</v>
      </c>
      <c r="D179" s="3" t="s">
        <v>93</v>
      </c>
      <c r="E179" s="3" t="s">
        <v>38</v>
      </c>
      <c r="F179" s="3" t="s">
        <v>92</v>
      </c>
      <c r="G179" s="3" t="s">
        <v>95</v>
      </c>
      <c r="H179" s="63" t="str">
        <f>Table1[[#This Row],[Tabela]]&amp;Table1[[#This Row],[Campo]]</f>
        <v>cd_imv_out_bensarea_util</v>
      </c>
      <c r="I179" s="4" t="s">
        <v>477</v>
      </c>
      <c r="J179" s="45">
        <f>VLOOKUP(Table1[[#This Row],[Status]],Auxiliar!$B$16:$C$23,2,0)</f>
        <v>1</v>
      </c>
      <c r="K179" s="3" t="s">
        <v>1141</v>
      </c>
      <c r="L179" s="3" t="s">
        <v>1135</v>
      </c>
      <c r="M179" s="22" t="s">
        <v>1155</v>
      </c>
      <c r="N179" s="53">
        <v>45505</v>
      </c>
      <c r="O179" s="22">
        <f>INDEX(Auxiliar!$D$5:$F$13,MATCH(Table1[[#This Row],[Tipologia_Testes]],Auxiliar!$B$5:$B$13,0),MATCH(Table1[[#This Row],[Complexidade]],Auxiliar!$D$4:$F$4,0))</f>
        <v>0.1</v>
      </c>
      <c r="P179" s="3"/>
      <c r="Q179" s="3" t="s">
        <v>1170</v>
      </c>
      <c r="R179" s="173">
        <v>45261</v>
      </c>
      <c r="S179" s="173"/>
      <c r="T179" s="173"/>
      <c r="U179" s="173"/>
      <c r="V179" s="173"/>
      <c r="W179" s="3">
        <f>VLOOKUP(Table1[[#This Row],[Status]],Auxiliar!$B$16:$D$23,3,0)*Table1[[#This Row],[Estimação (horas)]]</f>
        <v>0.1</v>
      </c>
      <c r="X179" s="197"/>
      <c r="Y179" s="194"/>
    </row>
    <row r="180" spans="2:27" ht="17.399999999999999" hidden="1" customHeight="1">
      <c r="B180" s="3" t="s">
        <v>28</v>
      </c>
      <c r="C180" s="3" t="s">
        <v>54</v>
      </c>
      <c r="D180" s="3" t="s">
        <v>93</v>
      </c>
      <c r="E180" s="3" t="s">
        <v>38</v>
      </c>
      <c r="F180" s="3" t="s">
        <v>92</v>
      </c>
      <c r="G180" s="3" t="s">
        <v>41</v>
      </c>
      <c r="H180" s="63" t="str">
        <f>Table1[[#This Row],[Tabela]]&amp;Table1[[#This Row],[Campo]]</f>
        <v>cd_imv_out_benscempbem</v>
      </c>
      <c r="I180" s="4" t="s">
        <v>477</v>
      </c>
      <c r="J180" s="60">
        <f>VLOOKUP(Table1[[#This Row],[Status]],Auxiliar!$B$16:$C$23,2,0)</f>
        <v>1</v>
      </c>
      <c r="K180" s="3" t="s">
        <v>1137</v>
      </c>
      <c r="L180" s="3" t="s">
        <v>1144</v>
      </c>
      <c r="M180" s="22" t="s">
        <v>1145</v>
      </c>
      <c r="N180" s="53">
        <v>45485</v>
      </c>
      <c r="O180" s="22">
        <f>INDEX(Auxiliar!$D$5:$F$13,MATCH(Table1[[#This Row],[Tipologia_Testes]],Auxiliar!$B$5:$B$13,0),MATCH(Table1[[#This Row],[Complexidade]],Auxiliar!$D$4:$F$4,0))</f>
        <v>2</v>
      </c>
      <c r="P180" s="3" t="s">
        <v>1177</v>
      </c>
      <c r="Q180" s="3" t="s">
        <v>1170</v>
      </c>
      <c r="R180" s="173">
        <v>45261</v>
      </c>
      <c r="S180" s="173"/>
      <c r="T180" s="173"/>
      <c r="U180" s="173"/>
      <c r="V180" s="173"/>
      <c r="W180" s="3">
        <f>VLOOKUP(Table1[[#This Row],[Status]],Auxiliar!$B$16:$D$23,3,0)*Table1[[#This Row],[Estimação (horas)]]</f>
        <v>2</v>
      </c>
      <c r="X180" s="197"/>
      <c r="Y180" s="194"/>
    </row>
    <row r="181" spans="2:27" ht="17.399999999999999" hidden="1" customHeight="1">
      <c r="B181" s="3" t="s">
        <v>28</v>
      </c>
      <c r="C181" s="3" t="s">
        <v>54</v>
      </c>
      <c r="D181" s="3" t="s">
        <v>93</v>
      </c>
      <c r="E181" s="3" t="s">
        <v>38</v>
      </c>
      <c r="F181" s="3" t="s">
        <v>92</v>
      </c>
      <c r="G181" s="3" t="s">
        <v>41</v>
      </c>
      <c r="H181" s="63" t="str">
        <f>Table1[[#This Row],[Tabela]]&amp;Table1[[#This Row],[Campo]]</f>
        <v>cd_imv_out_benscempbem</v>
      </c>
      <c r="I181" s="4" t="s">
        <v>477</v>
      </c>
      <c r="J181" s="60">
        <f>VLOOKUP(Table1[[#This Row],[Status]],Auxiliar!$B$16:$C$23,2,0)</f>
        <v>1</v>
      </c>
      <c r="K181" s="3" t="s">
        <v>1138</v>
      </c>
      <c r="L181" s="3" t="s">
        <v>1144</v>
      </c>
      <c r="M181" s="22" t="s">
        <v>1145</v>
      </c>
      <c r="N181" s="53">
        <v>45485</v>
      </c>
      <c r="O181" s="22">
        <f>INDEX(Auxiliar!$D$5:$F$13,MATCH(Table1[[#This Row],[Tipologia_Testes]],Auxiliar!$B$5:$B$13,0),MATCH(Table1[[#This Row],[Complexidade]],Auxiliar!$D$4:$F$4,0))</f>
        <v>2</v>
      </c>
      <c r="P181" s="3" t="s">
        <v>1177</v>
      </c>
      <c r="Q181" s="3" t="s">
        <v>1170</v>
      </c>
      <c r="R181" s="173">
        <v>45261</v>
      </c>
      <c r="S181" s="173"/>
      <c r="T181" s="173"/>
      <c r="U181" s="173"/>
      <c r="V181" s="173"/>
      <c r="W181" s="3">
        <f>VLOOKUP(Table1[[#This Row],[Status]],Auxiliar!$B$16:$D$23,3,0)*Table1[[#This Row],[Estimação (horas)]]</f>
        <v>2</v>
      </c>
      <c r="X181" s="197"/>
      <c r="Y181" s="194"/>
    </row>
    <row r="182" spans="2:27" ht="17.399999999999999" hidden="1" customHeight="1">
      <c r="B182" s="3" t="s">
        <v>28</v>
      </c>
      <c r="C182" s="3" t="s">
        <v>54</v>
      </c>
      <c r="D182" s="3" t="s">
        <v>93</v>
      </c>
      <c r="E182" s="3" t="s">
        <v>38</v>
      </c>
      <c r="F182" s="3" t="s">
        <v>92</v>
      </c>
      <c r="G182" s="3" t="s">
        <v>41</v>
      </c>
      <c r="H182" s="63" t="str">
        <f>Table1[[#This Row],[Tabela]]&amp;Table1[[#This Row],[Campo]]</f>
        <v>cd_imv_out_benscempbem</v>
      </c>
      <c r="I182" s="4" t="s">
        <v>477</v>
      </c>
      <c r="J182" s="60">
        <f>VLOOKUP(Table1[[#This Row],[Status]],Auxiliar!$B$16:$C$23,2,0)</f>
        <v>1</v>
      </c>
      <c r="K182" s="3" t="s">
        <v>1141</v>
      </c>
      <c r="L182" s="3" t="s">
        <v>1144</v>
      </c>
      <c r="M182" s="22" t="s">
        <v>1145</v>
      </c>
      <c r="N182" s="53">
        <v>45485</v>
      </c>
      <c r="O182" s="22">
        <f>INDEX(Auxiliar!$D$5:$F$13,MATCH(Table1[[#This Row],[Tipologia_Testes]],Auxiliar!$B$5:$B$13,0),MATCH(Table1[[#This Row],[Complexidade]],Auxiliar!$D$4:$F$4,0))</f>
        <v>0.1</v>
      </c>
      <c r="P182" s="3" t="s">
        <v>1177</v>
      </c>
      <c r="Q182" s="3" t="s">
        <v>1170</v>
      </c>
      <c r="R182" s="173">
        <v>45261</v>
      </c>
      <c r="S182" s="173"/>
      <c r="T182" s="173"/>
      <c r="U182" s="173"/>
      <c r="V182" s="173"/>
      <c r="W182" s="3">
        <f>VLOOKUP(Table1[[#This Row],[Status]],Auxiliar!$B$16:$D$23,3,0)*Table1[[#This Row],[Estimação (horas)]]</f>
        <v>0.1</v>
      </c>
      <c r="X182" s="197"/>
      <c r="Y182" s="194"/>
    </row>
    <row r="183" spans="2:27" ht="17.399999999999999" hidden="1" customHeight="1">
      <c r="B183" s="3" t="s">
        <v>28</v>
      </c>
      <c r="C183" s="3" t="s">
        <v>54</v>
      </c>
      <c r="D183" s="3" t="s">
        <v>93</v>
      </c>
      <c r="E183" s="3" t="s">
        <v>38</v>
      </c>
      <c r="F183" s="3" t="s">
        <v>92</v>
      </c>
      <c r="G183" s="3" t="s">
        <v>43</v>
      </c>
      <c r="H183" s="63" t="str">
        <f>Table1[[#This Row],[Tabela]]&amp;Table1[[#This Row],[Campo]]</f>
        <v>cd_imv_out_bensckbalbem</v>
      </c>
      <c r="I183" s="4" t="s">
        <v>477</v>
      </c>
      <c r="J183" s="60">
        <f>VLOOKUP(Table1[[#This Row],[Status]],Auxiliar!$B$16:$C$23,2,0)</f>
        <v>1</v>
      </c>
      <c r="K183" s="3" t="s">
        <v>1137</v>
      </c>
      <c r="L183" s="3" t="s">
        <v>1144</v>
      </c>
      <c r="M183" s="22" t="s">
        <v>1145</v>
      </c>
      <c r="N183" s="53">
        <v>45485</v>
      </c>
      <c r="O183" s="22">
        <f>INDEX(Auxiliar!$D$5:$F$13,MATCH(Table1[[#This Row],[Tipologia_Testes]],Auxiliar!$B$5:$B$13,0),MATCH(Table1[[#This Row],[Complexidade]],Auxiliar!$D$4:$F$4,0))</f>
        <v>2</v>
      </c>
      <c r="P183" s="3" t="s">
        <v>1177</v>
      </c>
      <c r="Q183" s="3" t="s">
        <v>1170</v>
      </c>
      <c r="R183" s="173">
        <v>45261</v>
      </c>
      <c r="S183" s="173"/>
      <c r="T183" s="173"/>
      <c r="U183" s="173"/>
      <c r="V183" s="173"/>
      <c r="W183" s="3">
        <f>VLOOKUP(Table1[[#This Row],[Status]],Auxiliar!$B$16:$D$23,3,0)*Table1[[#This Row],[Estimação (horas)]]</f>
        <v>2</v>
      </c>
      <c r="X183" s="197"/>
      <c r="Y183" s="194"/>
    </row>
    <row r="184" spans="2:27" ht="17.399999999999999" hidden="1" customHeight="1">
      <c r="B184" s="3" t="s">
        <v>28</v>
      </c>
      <c r="C184" s="3" t="s">
        <v>54</v>
      </c>
      <c r="D184" s="3" t="s">
        <v>93</v>
      </c>
      <c r="E184" s="3" t="s">
        <v>38</v>
      </c>
      <c r="F184" s="3" t="s">
        <v>92</v>
      </c>
      <c r="G184" s="3" t="s">
        <v>43</v>
      </c>
      <c r="H184" s="63" t="str">
        <f>Table1[[#This Row],[Tabela]]&amp;Table1[[#This Row],[Campo]]</f>
        <v>cd_imv_out_bensckbalbem</v>
      </c>
      <c r="I184" s="4" t="s">
        <v>477</v>
      </c>
      <c r="J184" s="60">
        <f>VLOOKUP(Table1[[#This Row],[Status]],Auxiliar!$B$16:$C$23,2,0)</f>
        <v>1</v>
      </c>
      <c r="K184" s="3" t="s">
        <v>1138</v>
      </c>
      <c r="L184" s="3" t="s">
        <v>1144</v>
      </c>
      <c r="M184" s="22" t="s">
        <v>1145</v>
      </c>
      <c r="N184" s="53">
        <v>45485</v>
      </c>
      <c r="O184" s="22">
        <f>INDEX(Auxiliar!$D$5:$F$13,MATCH(Table1[[#This Row],[Tipologia_Testes]],Auxiliar!$B$5:$B$13,0),MATCH(Table1[[#This Row],[Complexidade]],Auxiliar!$D$4:$F$4,0))</f>
        <v>2</v>
      </c>
      <c r="P184" s="3" t="s">
        <v>1177</v>
      </c>
      <c r="Q184" s="3" t="s">
        <v>1170</v>
      </c>
      <c r="R184" s="173">
        <v>45261</v>
      </c>
      <c r="S184" s="173"/>
      <c r="T184" s="173"/>
      <c r="U184" s="173"/>
      <c r="V184" s="173"/>
      <c r="W184" s="3">
        <f>VLOOKUP(Table1[[#This Row],[Status]],Auxiliar!$B$16:$D$23,3,0)*Table1[[#This Row],[Estimação (horas)]]</f>
        <v>2</v>
      </c>
      <c r="X184" s="197"/>
      <c r="Y184" s="199"/>
      <c r="Z184" s="27"/>
      <c r="AA184" s="27"/>
    </row>
    <row r="185" spans="2:27" ht="17.399999999999999" hidden="1" customHeight="1">
      <c r="B185" s="3" t="s">
        <v>28</v>
      </c>
      <c r="C185" s="3" t="s">
        <v>54</v>
      </c>
      <c r="D185" s="3" t="s">
        <v>93</v>
      </c>
      <c r="E185" s="3" t="s">
        <v>38</v>
      </c>
      <c r="F185" s="3" t="s">
        <v>92</v>
      </c>
      <c r="G185" s="3" t="s">
        <v>43</v>
      </c>
      <c r="H185" s="63" t="str">
        <f>Table1[[#This Row],[Tabela]]&amp;Table1[[#This Row],[Campo]]</f>
        <v>cd_imv_out_bensckbalbem</v>
      </c>
      <c r="I185" s="4" t="s">
        <v>477</v>
      </c>
      <c r="J185" s="60">
        <f>VLOOKUP(Table1[[#This Row],[Status]],Auxiliar!$B$16:$C$23,2,0)</f>
        <v>1</v>
      </c>
      <c r="K185" s="3" t="s">
        <v>1141</v>
      </c>
      <c r="L185" s="3" t="s">
        <v>1144</v>
      </c>
      <c r="M185" s="22" t="s">
        <v>1145</v>
      </c>
      <c r="N185" s="53">
        <v>45485</v>
      </c>
      <c r="O185" s="22">
        <f>INDEX(Auxiliar!$D$5:$F$13,MATCH(Table1[[#This Row],[Tipologia_Testes]],Auxiliar!$B$5:$B$13,0),MATCH(Table1[[#This Row],[Complexidade]],Auxiliar!$D$4:$F$4,0))</f>
        <v>0.1</v>
      </c>
      <c r="P185" s="3" t="s">
        <v>1177</v>
      </c>
      <c r="Q185" s="3" t="s">
        <v>1170</v>
      </c>
      <c r="R185" s="173">
        <v>45261</v>
      </c>
      <c r="S185" s="173"/>
      <c r="T185" s="173"/>
      <c r="U185" s="173"/>
      <c r="V185" s="173"/>
      <c r="W185" s="3">
        <f>VLOOKUP(Table1[[#This Row],[Status]],Auxiliar!$B$16:$D$23,3,0)*Table1[[#This Row],[Estimação (horas)]]</f>
        <v>0.1</v>
      </c>
      <c r="X185" s="197"/>
      <c r="Y185" s="194"/>
    </row>
    <row r="186" spans="2:27" ht="17.399999999999999" hidden="1" customHeight="1">
      <c r="B186" s="3" t="s">
        <v>28</v>
      </c>
      <c r="C186" s="3" t="s">
        <v>54</v>
      </c>
      <c r="D186" s="3" t="s">
        <v>93</v>
      </c>
      <c r="E186" s="3" t="s">
        <v>38</v>
      </c>
      <c r="F186" s="3" t="s">
        <v>92</v>
      </c>
      <c r="G186" s="3" t="s">
        <v>44</v>
      </c>
      <c r="H186" s="63" t="str">
        <f>Table1[[#This Row],[Tabela]]&amp;Table1[[#This Row],[Campo]]</f>
        <v>cd_imv_out_bensckctabem</v>
      </c>
      <c r="I186" s="4" t="s">
        <v>477</v>
      </c>
      <c r="J186" s="60">
        <f>VLOOKUP(Table1[[#This Row],[Status]],Auxiliar!$B$16:$C$23,2,0)</f>
        <v>1</v>
      </c>
      <c r="K186" s="3" t="s">
        <v>1137</v>
      </c>
      <c r="L186" s="3" t="s">
        <v>1144</v>
      </c>
      <c r="M186" s="22" t="s">
        <v>1145</v>
      </c>
      <c r="N186" s="53">
        <v>45485</v>
      </c>
      <c r="O186" s="22">
        <f>INDEX(Auxiliar!$D$5:$F$13,MATCH(Table1[[#This Row],[Tipologia_Testes]],Auxiliar!$B$5:$B$13,0),MATCH(Table1[[#This Row],[Complexidade]],Auxiliar!$D$4:$F$4,0))</f>
        <v>2</v>
      </c>
      <c r="P186" s="3" t="s">
        <v>1177</v>
      </c>
      <c r="Q186" s="3" t="s">
        <v>1170</v>
      </c>
      <c r="R186" s="173">
        <v>45261</v>
      </c>
      <c r="S186" s="173"/>
      <c r="T186" s="173"/>
      <c r="U186" s="173"/>
      <c r="V186" s="173"/>
      <c r="W186" s="3">
        <f>VLOOKUP(Table1[[#This Row],[Status]],Auxiliar!$B$16:$D$23,3,0)*Table1[[#This Row],[Estimação (horas)]]</f>
        <v>2</v>
      </c>
      <c r="X186" s="197"/>
      <c r="Y186" s="194"/>
    </row>
    <row r="187" spans="2:27" ht="17.399999999999999" hidden="1" customHeight="1">
      <c r="B187" s="3" t="s">
        <v>28</v>
      </c>
      <c r="C187" s="3" t="s">
        <v>54</v>
      </c>
      <c r="D187" s="3" t="s">
        <v>93</v>
      </c>
      <c r="E187" s="3" t="s">
        <v>38</v>
      </c>
      <c r="F187" s="3" t="s">
        <v>92</v>
      </c>
      <c r="G187" s="3" t="s">
        <v>44</v>
      </c>
      <c r="H187" s="63" t="str">
        <f>Table1[[#This Row],[Tabela]]&amp;Table1[[#This Row],[Campo]]</f>
        <v>cd_imv_out_bensckctabem</v>
      </c>
      <c r="I187" s="4" t="s">
        <v>477</v>
      </c>
      <c r="J187" s="60">
        <f>VLOOKUP(Table1[[#This Row],[Status]],Auxiliar!$B$16:$C$23,2,0)</f>
        <v>1</v>
      </c>
      <c r="K187" s="3" t="s">
        <v>1138</v>
      </c>
      <c r="L187" s="3" t="s">
        <v>1144</v>
      </c>
      <c r="M187" s="22" t="s">
        <v>1145</v>
      </c>
      <c r="N187" s="53">
        <v>45485</v>
      </c>
      <c r="O187" s="22">
        <f>INDEX(Auxiliar!$D$5:$F$13,MATCH(Table1[[#This Row],[Tipologia_Testes]],Auxiliar!$B$5:$B$13,0),MATCH(Table1[[#This Row],[Complexidade]],Auxiliar!$D$4:$F$4,0))</f>
        <v>2</v>
      </c>
      <c r="P187" s="3" t="s">
        <v>1177</v>
      </c>
      <c r="Q187" s="3" t="s">
        <v>1170</v>
      </c>
      <c r="R187" s="173">
        <v>45261</v>
      </c>
      <c r="S187" s="173"/>
      <c r="T187" s="173"/>
      <c r="U187" s="173"/>
      <c r="V187" s="173"/>
      <c r="W187" s="3">
        <f>VLOOKUP(Table1[[#This Row],[Status]],Auxiliar!$B$16:$D$23,3,0)*Table1[[#This Row],[Estimação (horas)]]</f>
        <v>2</v>
      </c>
      <c r="X187" s="197"/>
      <c r="Y187" s="194"/>
    </row>
    <row r="188" spans="2:27" ht="17.399999999999999" hidden="1" customHeight="1">
      <c r="B188" s="3" t="s">
        <v>28</v>
      </c>
      <c r="C188" s="3" t="s">
        <v>54</v>
      </c>
      <c r="D188" s="3" t="s">
        <v>93</v>
      </c>
      <c r="E188" s="3" t="s">
        <v>38</v>
      </c>
      <c r="F188" s="3" t="s">
        <v>92</v>
      </c>
      <c r="G188" s="3" t="s">
        <v>44</v>
      </c>
      <c r="H188" s="63" t="str">
        <f>Table1[[#This Row],[Tabela]]&amp;Table1[[#This Row],[Campo]]</f>
        <v>cd_imv_out_bensckctabem</v>
      </c>
      <c r="I188" s="4" t="s">
        <v>477</v>
      </c>
      <c r="J188" s="60">
        <f>VLOOKUP(Table1[[#This Row],[Status]],Auxiliar!$B$16:$C$23,2,0)</f>
        <v>1</v>
      </c>
      <c r="K188" s="3" t="s">
        <v>1141</v>
      </c>
      <c r="L188" s="3" t="s">
        <v>1144</v>
      </c>
      <c r="M188" s="22" t="s">
        <v>1145</v>
      </c>
      <c r="N188" s="53">
        <v>45485</v>
      </c>
      <c r="O188" s="22">
        <f>INDEX(Auxiliar!$D$5:$F$13,MATCH(Table1[[#This Row],[Tipologia_Testes]],Auxiliar!$B$5:$B$13,0),MATCH(Table1[[#This Row],[Complexidade]],Auxiliar!$D$4:$F$4,0))</f>
        <v>0.1</v>
      </c>
      <c r="P188" s="3" t="s">
        <v>1177</v>
      </c>
      <c r="Q188" s="3" t="s">
        <v>1170</v>
      </c>
      <c r="R188" s="173">
        <v>45261</v>
      </c>
      <c r="S188" s="173"/>
      <c r="T188" s="173"/>
      <c r="U188" s="173"/>
      <c r="V188" s="173"/>
      <c r="W188" s="3">
        <f>VLOOKUP(Table1[[#This Row],[Status]],Auxiliar!$B$16:$D$23,3,0)*Table1[[#This Row],[Estimação (horas)]]</f>
        <v>0.1</v>
      </c>
      <c r="X188" s="197"/>
      <c r="Y188" s="194"/>
    </row>
    <row r="189" spans="2:27" ht="17.399999999999999" hidden="1" customHeight="1">
      <c r="B189" s="3" t="s">
        <v>28</v>
      </c>
      <c r="C189" s="3" t="s">
        <v>54</v>
      </c>
      <c r="D189" s="3" t="s">
        <v>93</v>
      </c>
      <c r="E189" s="3" t="s">
        <v>38</v>
      </c>
      <c r="F189" s="3" t="s">
        <v>92</v>
      </c>
      <c r="G189" s="3" t="s">
        <v>45</v>
      </c>
      <c r="H189" s="63" t="str">
        <f>Table1[[#This Row],[Tabela]]&amp;Table1[[#This Row],[Campo]]</f>
        <v>cd_imv_out_bensckrefbem</v>
      </c>
      <c r="I189" s="4" t="s">
        <v>477</v>
      </c>
      <c r="J189" s="60">
        <f>VLOOKUP(Table1[[#This Row],[Status]],Auxiliar!$B$16:$C$23,2,0)</f>
        <v>1</v>
      </c>
      <c r="K189" s="3" t="s">
        <v>1137</v>
      </c>
      <c r="L189" s="3" t="s">
        <v>1144</v>
      </c>
      <c r="M189" s="22" t="s">
        <v>1145</v>
      </c>
      <c r="N189" s="53">
        <v>45485</v>
      </c>
      <c r="O189" s="22">
        <f>INDEX(Auxiliar!$D$5:$F$13,MATCH(Table1[[#This Row],[Tipologia_Testes]],Auxiliar!$B$5:$B$13,0),MATCH(Table1[[#This Row],[Complexidade]],Auxiliar!$D$4:$F$4,0))</f>
        <v>2</v>
      </c>
      <c r="P189" s="3" t="s">
        <v>1177</v>
      </c>
      <c r="Q189" s="3" t="s">
        <v>1170</v>
      </c>
      <c r="R189" s="173">
        <v>45261</v>
      </c>
      <c r="S189" s="173"/>
      <c r="T189" s="173"/>
      <c r="U189" s="173"/>
      <c r="V189" s="173"/>
      <c r="W189" s="3">
        <f>VLOOKUP(Table1[[#This Row],[Status]],Auxiliar!$B$16:$D$23,3,0)*Table1[[#This Row],[Estimação (horas)]]</f>
        <v>2</v>
      </c>
      <c r="X189" s="197"/>
      <c r="Y189" s="194"/>
    </row>
    <row r="190" spans="2:27" ht="17.399999999999999" hidden="1" customHeight="1">
      <c r="B190" s="3" t="s">
        <v>28</v>
      </c>
      <c r="C190" s="3" t="s">
        <v>54</v>
      </c>
      <c r="D190" s="3" t="s">
        <v>93</v>
      </c>
      <c r="E190" s="3" t="s">
        <v>38</v>
      </c>
      <c r="F190" s="3" t="s">
        <v>92</v>
      </c>
      <c r="G190" s="3" t="s">
        <v>45</v>
      </c>
      <c r="H190" s="63" t="str">
        <f>Table1[[#This Row],[Tabela]]&amp;Table1[[#This Row],[Campo]]</f>
        <v>cd_imv_out_bensckrefbem</v>
      </c>
      <c r="I190" s="4" t="s">
        <v>477</v>
      </c>
      <c r="J190" s="60">
        <f>VLOOKUP(Table1[[#This Row],[Status]],Auxiliar!$B$16:$C$23,2,0)</f>
        <v>1</v>
      </c>
      <c r="K190" s="3" t="s">
        <v>1138</v>
      </c>
      <c r="L190" s="3" t="s">
        <v>1144</v>
      </c>
      <c r="M190" s="22" t="s">
        <v>1145</v>
      </c>
      <c r="N190" s="53">
        <v>45485</v>
      </c>
      <c r="O190" s="22">
        <f>INDEX(Auxiliar!$D$5:$F$13,MATCH(Table1[[#This Row],[Tipologia_Testes]],Auxiliar!$B$5:$B$13,0),MATCH(Table1[[#This Row],[Complexidade]],Auxiliar!$D$4:$F$4,0))</f>
        <v>2</v>
      </c>
      <c r="P190" s="3" t="s">
        <v>1177</v>
      </c>
      <c r="Q190" s="3" t="s">
        <v>1170</v>
      </c>
      <c r="R190" s="173">
        <v>45261</v>
      </c>
      <c r="S190" s="173"/>
      <c r="T190" s="173"/>
      <c r="U190" s="173"/>
      <c r="V190" s="173"/>
      <c r="W190" s="3">
        <f>VLOOKUP(Table1[[#This Row],[Status]],Auxiliar!$B$16:$D$23,3,0)*Table1[[#This Row],[Estimação (horas)]]</f>
        <v>2</v>
      </c>
      <c r="X190" s="197"/>
      <c r="Y190" s="194"/>
    </row>
    <row r="191" spans="2:27" ht="17.399999999999999" hidden="1" customHeight="1">
      <c r="B191" s="3" t="s">
        <v>28</v>
      </c>
      <c r="C191" s="3" t="s">
        <v>54</v>
      </c>
      <c r="D191" s="3" t="s">
        <v>93</v>
      </c>
      <c r="E191" s="3" t="s">
        <v>38</v>
      </c>
      <c r="F191" s="3" t="s">
        <v>92</v>
      </c>
      <c r="G191" s="3" t="s">
        <v>45</v>
      </c>
      <c r="H191" s="63" t="str">
        <f>Table1[[#This Row],[Tabela]]&amp;Table1[[#This Row],[Campo]]</f>
        <v>cd_imv_out_bensckrefbem</v>
      </c>
      <c r="I191" s="4" t="s">
        <v>477</v>
      </c>
      <c r="J191" s="60">
        <f>VLOOKUP(Table1[[#This Row],[Status]],Auxiliar!$B$16:$C$23,2,0)</f>
        <v>1</v>
      </c>
      <c r="K191" s="3" t="s">
        <v>1141</v>
      </c>
      <c r="L191" s="3" t="s">
        <v>1144</v>
      </c>
      <c r="M191" s="22" t="s">
        <v>1145</v>
      </c>
      <c r="N191" s="53">
        <v>45485</v>
      </c>
      <c r="O191" s="22">
        <f>INDEX(Auxiliar!$D$5:$F$13,MATCH(Table1[[#This Row],[Tipologia_Testes]],Auxiliar!$B$5:$B$13,0),MATCH(Table1[[#This Row],[Complexidade]],Auxiliar!$D$4:$F$4,0))</f>
        <v>0.1</v>
      </c>
      <c r="P191" s="3" t="s">
        <v>1177</v>
      </c>
      <c r="Q191" s="3" t="s">
        <v>1170</v>
      </c>
      <c r="R191" s="173">
        <v>45261</v>
      </c>
      <c r="S191" s="173"/>
      <c r="T191" s="173"/>
      <c r="U191" s="173"/>
      <c r="V191" s="173"/>
      <c r="W191" s="3">
        <f>VLOOKUP(Table1[[#This Row],[Status]],Auxiliar!$B$16:$D$23,3,0)*Table1[[#This Row],[Estimação (horas)]]</f>
        <v>0.1</v>
      </c>
      <c r="X191" s="197"/>
      <c r="Y191" s="194"/>
    </row>
    <row r="192" spans="2:27" ht="17.399999999999999" hidden="1" customHeight="1">
      <c r="B192" s="3" t="s">
        <v>28</v>
      </c>
      <c r="C192" s="3" t="s">
        <v>54</v>
      </c>
      <c r="D192" s="3" t="s">
        <v>93</v>
      </c>
      <c r="E192" s="3" t="s">
        <v>38</v>
      </c>
      <c r="F192" s="3" t="s">
        <v>92</v>
      </c>
      <c r="G192" s="3" t="s">
        <v>96</v>
      </c>
      <c r="H192" s="63" t="str">
        <f>Table1[[#This Row],[Tabela]]&amp;Table1[[#This Row],[Campo]]</f>
        <v>cd_imv_out_benscod_art_matr</v>
      </c>
      <c r="I192" s="4" t="s">
        <v>477</v>
      </c>
      <c r="J192" s="60">
        <f>VLOOKUP(Table1[[#This Row],[Status]],Auxiliar!$B$16:$C$23,2,0)</f>
        <v>1</v>
      </c>
      <c r="K192" s="3" t="s">
        <v>1137</v>
      </c>
      <c r="L192" s="3" t="s">
        <v>1144</v>
      </c>
      <c r="M192" s="22" t="s">
        <v>1145</v>
      </c>
      <c r="N192" s="53">
        <v>45505</v>
      </c>
      <c r="O192" s="22">
        <f>INDEX(Auxiliar!$D$5:$F$13,MATCH(Table1[[#This Row],[Tipologia_Testes]],Auxiliar!$B$5:$B$13,0),MATCH(Table1[[#This Row],[Complexidade]],Auxiliar!$D$4:$F$4,0))</f>
        <v>2</v>
      </c>
      <c r="P192" s="3"/>
      <c r="Q192" s="3" t="s">
        <v>1170</v>
      </c>
      <c r="R192" s="173">
        <v>45261</v>
      </c>
      <c r="S192" s="173"/>
      <c r="T192" s="173"/>
      <c r="U192" s="173"/>
      <c r="V192" s="173"/>
      <c r="W192" s="3">
        <f>VLOOKUP(Table1[[#This Row],[Status]],Auxiliar!$B$16:$D$23,3,0)*Table1[[#This Row],[Estimação (horas)]]</f>
        <v>2</v>
      </c>
      <c r="X192" s="197"/>
      <c r="Y192" s="194"/>
    </row>
    <row r="193" spans="2:25" ht="17.399999999999999" hidden="1" customHeight="1">
      <c r="B193" s="3" t="s">
        <v>28</v>
      </c>
      <c r="C193" s="3" t="s">
        <v>54</v>
      </c>
      <c r="D193" s="3" t="s">
        <v>93</v>
      </c>
      <c r="E193" s="3" t="s">
        <v>38</v>
      </c>
      <c r="F193" s="3" t="s">
        <v>92</v>
      </c>
      <c r="G193" s="3" t="s">
        <v>96</v>
      </c>
      <c r="H193" s="63" t="str">
        <f>Table1[[#This Row],[Tabela]]&amp;Table1[[#This Row],[Campo]]</f>
        <v>cd_imv_out_benscod_art_matr</v>
      </c>
      <c r="I193" s="4" t="s">
        <v>477</v>
      </c>
      <c r="J193" s="60">
        <f>VLOOKUP(Table1[[#This Row],[Status]],Auxiliar!$B$16:$C$23,2,0)</f>
        <v>1</v>
      </c>
      <c r="K193" s="3" t="s">
        <v>1138</v>
      </c>
      <c r="L193" s="3" t="s">
        <v>1144</v>
      </c>
      <c r="M193" s="22" t="s">
        <v>1145</v>
      </c>
      <c r="N193" s="53">
        <v>45505</v>
      </c>
      <c r="O193" s="22">
        <f>INDEX(Auxiliar!$D$5:$F$13,MATCH(Table1[[#This Row],[Tipologia_Testes]],Auxiliar!$B$5:$B$13,0),MATCH(Table1[[#This Row],[Complexidade]],Auxiliar!$D$4:$F$4,0))</f>
        <v>2</v>
      </c>
      <c r="P193" s="3"/>
      <c r="Q193" s="3" t="s">
        <v>1170</v>
      </c>
      <c r="R193" s="173">
        <v>45261</v>
      </c>
      <c r="S193" s="173"/>
      <c r="T193" s="173"/>
      <c r="U193" s="173"/>
      <c r="V193" s="173"/>
      <c r="W193" s="3">
        <f>VLOOKUP(Table1[[#This Row],[Status]],Auxiliar!$B$16:$D$23,3,0)*Table1[[#This Row],[Estimação (horas)]]</f>
        <v>2</v>
      </c>
      <c r="X193" s="197"/>
      <c r="Y193" s="194"/>
    </row>
    <row r="194" spans="2:25" ht="17.399999999999999" hidden="1" customHeight="1">
      <c r="B194" s="3" t="s">
        <v>28</v>
      </c>
      <c r="C194" s="3" t="s">
        <v>54</v>
      </c>
      <c r="D194" s="3" t="s">
        <v>93</v>
      </c>
      <c r="E194" s="3" t="s">
        <v>38</v>
      </c>
      <c r="F194" s="3" t="s">
        <v>92</v>
      </c>
      <c r="G194" s="3" t="s">
        <v>96</v>
      </c>
      <c r="H194" s="63" t="str">
        <f>Table1[[#This Row],[Tabela]]&amp;Table1[[#This Row],[Campo]]</f>
        <v>cd_imv_out_benscod_art_matr</v>
      </c>
      <c r="I194" s="4" t="s">
        <v>477</v>
      </c>
      <c r="J194" s="60">
        <f>VLOOKUP(Table1[[#This Row],[Status]],Auxiliar!$B$16:$C$23,2,0)</f>
        <v>1</v>
      </c>
      <c r="K194" s="3" t="s">
        <v>1141</v>
      </c>
      <c r="L194" s="3" t="s">
        <v>1144</v>
      </c>
      <c r="M194" s="22" t="s">
        <v>1145</v>
      </c>
      <c r="N194" s="53">
        <v>45505</v>
      </c>
      <c r="O194" s="22">
        <f>INDEX(Auxiliar!$D$5:$F$13,MATCH(Table1[[#This Row],[Tipologia_Testes]],Auxiliar!$B$5:$B$13,0),MATCH(Table1[[#This Row],[Complexidade]],Auxiliar!$D$4:$F$4,0))</f>
        <v>0.1</v>
      </c>
      <c r="P194" s="3"/>
      <c r="Q194" s="3" t="s">
        <v>1170</v>
      </c>
      <c r="R194" s="173">
        <v>45261</v>
      </c>
      <c r="S194" s="173"/>
      <c r="T194" s="173"/>
      <c r="U194" s="173"/>
      <c r="V194" s="173"/>
      <c r="W194" s="3">
        <f>VLOOKUP(Table1[[#This Row],[Status]],Auxiliar!$B$16:$D$23,3,0)*Table1[[#This Row],[Estimação (horas)]]</f>
        <v>0.1</v>
      </c>
      <c r="X194" s="197"/>
      <c r="Y194" s="194"/>
    </row>
    <row r="195" spans="2:25" ht="17.399999999999999" hidden="1" customHeight="1">
      <c r="B195" s="3" t="s">
        <v>28</v>
      </c>
      <c r="C195" s="3" t="s">
        <v>54</v>
      </c>
      <c r="D195" s="3" t="s">
        <v>93</v>
      </c>
      <c r="E195" s="3" t="s">
        <v>38</v>
      </c>
      <c r="F195" s="3" t="s">
        <v>92</v>
      </c>
      <c r="G195" s="3" t="s">
        <v>97</v>
      </c>
      <c r="H195" s="63" t="str">
        <f>Table1[[#This Row],[Tabela]]&amp;Table1[[#This Row],[Campo]]</f>
        <v>cd_imv_out_benscod_avl</v>
      </c>
      <c r="I195" s="4" t="s">
        <v>477</v>
      </c>
      <c r="J195" s="60">
        <f>VLOOKUP(Table1[[#This Row],[Status]],Auxiliar!$B$16:$C$23,2,0)</f>
        <v>1</v>
      </c>
      <c r="K195" s="3" t="s">
        <v>1137</v>
      </c>
      <c r="L195" s="3" t="s">
        <v>1144</v>
      </c>
      <c r="M195" s="22" t="s">
        <v>1145</v>
      </c>
      <c r="N195" s="53">
        <v>45485</v>
      </c>
      <c r="O195" s="22">
        <f>INDEX(Auxiliar!$D$5:$F$13,MATCH(Table1[[#This Row],[Tipologia_Testes]],Auxiliar!$B$5:$B$13,0),MATCH(Table1[[#This Row],[Complexidade]],Auxiliar!$D$4:$F$4,0))</f>
        <v>2</v>
      </c>
      <c r="P195" s="3"/>
      <c r="Q195" s="3" t="s">
        <v>1170</v>
      </c>
      <c r="R195" s="173">
        <v>45261</v>
      </c>
      <c r="S195" s="173"/>
      <c r="T195" s="173"/>
      <c r="U195" s="173"/>
      <c r="V195" s="173"/>
      <c r="W195" s="3">
        <f>VLOOKUP(Table1[[#This Row],[Status]],Auxiliar!$B$16:$D$23,3,0)*Table1[[#This Row],[Estimação (horas)]]</f>
        <v>2</v>
      </c>
      <c r="X195" s="3"/>
    </row>
    <row r="196" spans="2:25" ht="17.399999999999999" hidden="1" customHeight="1">
      <c r="B196" s="3" t="s">
        <v>28</v>
      </c>
      <c r="C196" s="3" t="s">
        <v>54</v>
      </c>
      <c r="D196" s="3" t="s">
        <v>93</v>
      </c>
      <c r="E196" s="3" t="s">
        <v>38</v>
      </c>
      <c r="F196" s="3" t="s">
        <v>92</v>
      </c>
      <c r="G196" s="3" t="s">
        <v>97</v>
      </c>
      <c r="H196" s="63" t="str">
        <f>Table1[[#This Row],[Tabela]]&amp;Table1[[#This Row],[Campo]]</f>
        <v>cd_imv_out_benscod_avl</v>
      </c>
      <c r="I196" s="4" t="s">
        <v>477</v>
      </c>
      <c r="J196" s="60">
        <f>VLOOKUP(Table1[[#This Row],[Status]],Auxiliar!$B$16:$C$23,2,0)</f>
        <v>1</v>
      </c>
      <c r="K196" s="3" t="s">
        <v>1138</v>
      </c>
      <c r="L196" s="3" t="s">
        <v>1144</v>
      </c>
      <c r="M196" s="22" t="s">
        <v>1145</v>
      </c>
      <c r="N196" s="53">
        <v>45485</v>
      </c>
      <c r="O196" s="22">
        <f>INDEX(Auxiliar!$D$5:$F$13,MATCH(Table1[[#This Row],[Tipologia_Testes]],Auxiliar!$B$5:$B$13,0),MATCH(Table1[[#This Row],[Complexidade]],Auxiliar!$D$4:$F$4,0))</f>
        <v>2</v>
      </c>
      <c r="P196" s="3"/>
      <c r="Q196" s="3" t="s">
        <v>1170</v>
      </c>
      <c r="R196" s="173">
        <v>45261</v>
      </c>
      <c r="S196" s="173"/>
      <c r="T196" s="173"/>
      <c r="U196" s="173"/>
      <c r="V196" s="173"/>
      <c r="W196" s="3">
        <f>VLOOKUP(Table1[[#This Row],[Status]],Auxiliar!$B$16:$D$23,3,0)*Table1[[#This Row],[Estimação (horas)]]</f>
        <v>2</v>
      </c>
      <c r="X196" s="3"/>
    </row>
    <row r="197" spans="2:25" ht="17.399999999999999" hidden="1" customHeight="1">
      <c r="B197" s="3" t="s">
        <v>28</v>
      </c>
      <c r="C197" s="3" t="s">
        <v>54</v>
      </c>
      <c r="D197" s="3" t="s">
        <v>93</v>
      </c>
      <c r="E197" s="3" t="s">
        <v>38</v>
      </c>
      <c r="F197" s="3" t="s">
        <v>92</v>
      </c>
      <c r="G197" s="3" t="s">
        <v>97</v>
      </c>
      <c r="H197" s="63" t="str">
        <f>Table1[[#This Row],[Tabela]]&amp;Table1[[#This Row],[Campo]]</f>
        <v>cd_imv_out_benscod_avl</v>
      </c>
      <c r="I197" s="4" t="s">
        <v>477</v>
      </c>
      <c r="J197" s="60">
        <f>VLOOKUP(Table1[[#This Row],[Status]],Auxiliar!$B$16:$C$23,2,0)</f>
        <v>1</v>
      </c>
      <c r="K197" s="3" t="s">
        <v>1141</v>
      </c>
      <c r="L197" s="3" t="s">
        <v>1144</v>
      </c>
      <c r="M197" s="22" t="s">
        <v>1145</v>
      </c>
      <c r="N197" s="53">
        <v>45485</v>
      </c>
      <c r="O197" s="22">
        <f>INDEX(Auxiliar!$D$5:$F$13,MATCH(Table1[[#This Row],[Tipologia_Testes]],Auxiliar!$B$5:$B$13,0),MATCH(Table1[[#This Row],[Complexidade]],Auxiliar!$D$4:$F$4,0))</f>
        <v>0.1</v>
      </c>
      <c r="P197" s="3"/>
      <c r="Q197" s="3" t="s">
        <v>1170</v>
      </c>
      <c r="R197" s="173">
        <v>45261</v>
      </c>
      <c r="S197" s="173"/>
      <c r="T197" s="173"/>
      <c r="U197" s="173"/>
      <c r="V197" s="173"/>
      <c r="W197" s="3">
        <f>VLOOKUP(Table1[[#This Row],[Status]],Auxiliar!$B$16:$D$23,3,0)*Table1[[#This Row],[Estimação (horas)]]</f>
        <v>0.1</v>
      </c>
      <c r="X197" s="3"/>
    </row>
    <row r="198" spans="2:25" ht="34.799999999999997" hidden="1" customHeight="1">
      <c r="B198" s="3" t="s">
        <v>28</v>
      </c>
      <c r="C198" s="3" t="s">
        <v>54</v>
      </c>
      <c r="D198" s="3" t="s">
        <v>93</v>
      </c>
      <c r="E198" s="3" t="s">
        <v>38</v>
      </c>
      <c r="F198" s="3" t="s">
        <v>92</v>
      </c>
      <c r="G198" s="3" t="s">
        <v>98</v>
      </c>
      <c r="H198" s="63" t="str">
        <f>Table1[[#This Row],[Tabela]]&amp;Table1[[#This Row],[Campo]]</f>
        <v>cd_imv_out_benscod_bem</v>
      </c>
      <c r="I198" s="3" t="s">
        <v>476</v>
      </c>
      <c r="J198" s="45">
        <f>VLOOKUP(Table1[[#This Row],[Status]],Auxiliar!$B$16:$C$23,2,0)</f>
        <v>0</v>
      </c>
      <c r="K198" s="3" t="s">
        <v>1137</v>
      </c>
      <c r="L198" s="3" t="s">
        <v>1171</v>
      </c>
      <c r="M198" s="22" t="s">
        <v>1155</v>
      </c>
      <c r="N198" s="53">
        <v>45485</v>
      </c>
      <c r="O198" s="22">
        <f>INDEX(Auxiliar!$D$5:$F$13,MATCH(Table1[[#This Row],[Tipologia_Testes]],Auxiliar!$B$5:$B$13,0),MATCH(Table1[[#This Row],[Complexidade]],Auxiliar!$D$4:$F$4,0))</f>
        <v>4</v>
      </c>
      <c r="P198" s="24" t="s">
        <v>1173</v>
      </c>
      <c r="Q198" s="3" t="s">
        <v>1170</v>
      </c>
      <c r="R198" s="173">
        <v>45425</v>
      </c>
      <c r="S198" s="173"/>
      <c r="T198" s="173"/>
      <c r="U198" s="173"/>
      <c r="V198" s="173"/>
      <c r="W198" s="3">
        <f>VLOOKUP(Table1[[#This Row],[Status]],Auxiliar!$B$16:$D$23,3,0)*Table1[[#This Row],[Estimação (horas)]]</f>
        <v>0</v>
      </c>
      <c r="X198" s="3"/>
    </row>
    <row r="199" spans="2:25" ht="17.399999999999999" hidden="1" customHeight="1">
      <c r="B199" s="3" t="s">
        <v>28</v>
      </c>
      <c r="C199" s="3" t="s">
        <v>54</v>
      </c>
      <c r="D199" s="3" t="s">
        <v>93</v>
      </c>
      <c r="E199" s="3" t="s">
        <v>38</v>
      </c>
      <c r="F199" s="3" t="s">
        <v>92</v>
      </c>
      <c r="G199" s="3" t="s">
        <v>99</v>
      </c>
      <c r="H199" s="63" t="str">
        <f>Table1[[#This Row],[Tabela]]&amp;Table1[[#This Row],[Campo]]</f>
        <v>cd_imv_out_benscod_disconf</v>
      </c>
      <c r="I199" s="4" t="s">
        <v>477</v>
      </c>
      <c r="J199" s="60">
        <f>VLOOKUP(Table1[[#This Row],[Status]],Auxiliar!$B$16:$C$23,2,0)</f>
        <v>1</v>
      </c>
      <c r="K199" s="3" t="s">
        <v>1137</v>
      </c>
      <c r="L199" s="3" t="s">
        <v>1144</v>
      </c>
      <c r="M199" s="22" t="s">
        <v>1145</v>
      </c>
      <c r="N199" s="53">
        <v>45505</v>
      </c>
      <c r="O199" s="22">
        <f>INDEX(Auxiliar!$D$5:$F$13,MATCH(Table1[[#This Row],[Tipologia_Testes]],Auxiliar!$B$5:$B$13,0),MATCH(Table1[[#This Row],[Complexidade]],Auxiliar!$D$4:$F$4,0))</f>
        <v>2</v>
      </c>
      <c r="P199" s="3"/>
      <c r="Q199" s="3" t="s">
        <v>1170</v>
      </c>
      <c r="R199" s="173">
        <v>45261</v>
      </c>
      <c r="S199" s="173"/>
      <c r="T199" s="173"/>
      <c r="U199" s="173"/>
      <c r="V199" s="173"/>
      <c r="W199" s="3">
        <f>VLOOKUP(Table1[[#This Row],[Status]],Auxiliar!$B$16:$D$23,3,0)*Table1[[#This Row],[Estimação (horas)]]</f>
        <v>2</v>
      </c>
      <c r="X199" s="3"/>
    </row>
    <row r="200" spans="2:25" ht="17.399999999999999" hidden="1" customHeight="1">
      <c r="B200" s="3" t="s">
        <v>28</v>
      </c>
      <c r="C200" s="3" t="s">
        <v>54</v>
      </c>
      <c r="D200" s="3" t="s">
        <v>93</v>
      </c>
      <c r="E200" s="3" t="s">
        <v>38</v>
      </c>
      <c r="F200" s="3" t="s">
        <v>92</v>
      </c>
      <c r="G200" s="3" t="s">
        <v>99</v>
      </c>
      <c r="H200" s="63" t="str">
        <f>Table1[[#This Row],[Tabela]]&amp;Table1[[#This Row],[Campo]]</f>
        <v>cd_imv_out_benscod_disconf</v>
      </c>
      <c r="I200" s="4" t="s">
        <v>477</v>
      </c>
      <c r="J200" s="60">
        <f>VLOOKUP(Table1[[#This Row],[Status]],Auxiliar!$B$16:$C$23,2,0)</f>
        <v>1</v>
      </c>
      <c r="K200" s="3" t="s">
        <v>1138</v>
      </c>
      <c r="L200" s="3" t="s">
        <v>1144</v>
      </c>
      <c r="M200" s="22" t="s">
        <v>1145</v>
      </c>
      <c r="N200" s="53">
        <v>45505</v>
      </c>
      <c r="O200" s="22">
        <f>INDEX(Auxiliar!$D$5:$F$13,MATCH(Table1[[#This Row],[Tipologia_Testes]],Auxiliar!$B$5:$B$13,0),MATCH(Table1[[#This Row],[Complexidade]],Auxiliar!$D$4:$F$4,0))</f>
        <v>2</v>
      </c>
      <c r="P200" s="3"/>
      <c r="Q200" s="3" t="s">
        <v>1170</v>
      </c>
      <c r="R200" s="173">
        <v>45261</v>
      </c>
      <c r="S200" s="173"/>
      <c r="T200" s="173"/>
      <c r="U200" s="173"/>
      <c r="V200" s="173"/>
      <c r="W200" s="3">
        <f>VLOOKUP(Table1[[#This Row],[Status]],Auxiliar!$B$16:$D$23,3,0)*Table1[[#This Row],[Estimação (horas)]]</f>
        <v>2</v>
      </c>
      <c r="X200" s="3"/>
    </row>
    <row r="201" spans="2:25" ht="17.399999999999999" hidden="1" customHeight="1">
      <c r="B201" s="3" t="s">
        <v>28</v>
      </c>
      <c r="C201" s="3" t="s">
        <v>54</v>
      </c>
      <c r="D201" s="3" t="s">
        <v>93</v>
      </c>
      <c r="E201" s="3" t="s">
        <v>38</v>
      </c>
      <c r="F201" s="3" t="s">
        <v>92</v>
      </c>
      <c r="G201" s="3" t="s">
        <v>99</v>
      </c>
      <c r="H201" s="63" t="str">
        <f>Table1[[#This Row],[Tabela]]&amp;Table1[[#This Row],[Campo]]</f>
        <v>cd_imv_out_benscod_disconf</v>
      </c>
      <c r="I201" s="4" t="s">
        <v>477</v>
      </c>
      <c r="J201" s="60">
        <f>VLOOKUP(Table1[[#This Row],[Status]],Auxiliar!$B$16:$C$23,2,0)</f>
        <v>1</v>
      </c>
      <c r="K201" s="3" t="s">
        <v>1141</v>
      </c>
      <c r="L201" s="3" t="s">
        <v>1144</v>
      </c>
      <c r="M201" s="22" t="s">
        <v>1145</v>
      </c>
      <c r="N201" s="53">
        <v>45505</v>
      </c>
      <c r="O201" s="22">
        <f>INDEX(Auxiliar!$D$5:$F$13,MATCH(Table1[[#This Row],[Tipologia_Testes]],Auxiliar!$B$5:$B$13,0),MATCH(Table1[[#This Row],[Complexidade]],Auxiliar!$D$4:$F$4,0))</f>
        <v>0.1</v>
      </c>
      <c r="P201" s="3"/>
      <c r="Q201" s="3" t="s">
        <v>1170</v>
      </c>
      <c r="R201" s="173">
        <v>45261</v>
      </c>
      <c r="S201" s="173"/>
      <c r="T201" s="173"/>
      <c r="U201" s="173"/>
      <c r="V201" s="173"/>
      <c r="W201" s="3">
        <f>VLOOKUP(Table1[[#This Row],[Status]],Auxiliar!$B$16:$D$23,3,0)*Table1[[#This Row],[Estimação (horas)]]</f>
        <v>0.1</v>
      </c>
      <c r="X201" s="3"/>
    </row>
    <row r="202" spans="2:25" ht="17.399999999999999" hidden="1" customHeight="1">
      <c r="B202" s="3" t="s">
        <v>28</v>
      </c>
      <c r="C202" s="3" t="s">
        <v>54</v>
      </c>
      <c r="D202" s="3" t="s">
        <v>93</v>
      </c>
      <c r="E202" s="3" t="s">
        <v>38</v>
      </c>
      <c r="F202" s="3" t="s">
        <v>92</v>
      </c>
      <c r="G202" s="3" t="s">
        <v>100</v>
      </c>
      <c r="H202" s="63" t="str">
        <f>Table1[[#This Row],[Tabela]]&amp;Table1[[#This Row],[Campo]]</f>
        <v>cd_imv_out_benscod_fin_bem</v>
      </c>
      <c r="I202" s="4" t="s">
        <v>477</v>
      </c>
      <c r="J202" s="60">
        <f>VLOOKUP(Table1[[#This Row],[Status]],Auxiliar!$B$16:$C$23,2,0)</f>
        <v>1</v>
      </c>
      <c r="K202" s="3" t="s">
        <v>1137</v>
      </c>
      <c r="L202" s="3" t="s">
        <v>1144</v>
      </c>
      <c r="M202" s="22" t="s">
        <v>1145</v>
      </c>
      <c r="N202" s="53">
        <v>45505</v>
      </c>
      <c r="O202" s="22">
        <f>INDEX(Auxiliar!$D$5:$F$13,MATCH(Table1[[#This Row],[Tipologia_Testes]],Auxiliar!$B$5:$B$13,0),MATCH(Table1[[#This Row],[Complexidade]],Auxiliar!$D$4:$F$4,0))</f>
        <v>2</v>
      </c>
      <c r="P202" s="3"/>
      <c r="Q202" s="3" t="s">
        <v>1170</v>
      </c>
      <c r="R202" s="173">
        <v>45261</v>
      </c>
      <c r="S202" s="173"/>
      <c r="T202" s="173"/>
      <c r="U202" s="173"/>
      <c r="V202" s="173"/>
      <c r="W202" s="3">
        <f>VLOOKUP(Table1[[#This Row],[Status]],Auxiliar!$B$16:$D$23,3,0)*Table1[[#This Row],[Estimação (horas)]]</f>
        <v>2</v>
      </c>
      <c r="X202" s="3"/>
    </row>
    <row r="203" spans="2:25" ht="17.399999999999999" hidden="1" customHeight="1">
      <c r="B203" s="3" t="s">
        <v>28</v>
      </c>
      <c r="C203" s="3" t="s">
        <v>54</v>
      </c>
      <c r="D203" s="3" t="s">
        <v>93</v>
      </c>
      <c r="E203" s="3" t="s">
        <v>38</v>
      </c>
      <c r="F203" s="3" t="s">
        <v>92</v>
      </c>
      <c r="G203" s="3" t="s">
        <v>100</v>
      </c>
      <c r="H203" s="63" t="str">
        <f>Table1[[#This Row],[Tabela]]&amp;Table1[[#This Row],[Campo]]</f>
        <v>cd_imv_out_benscod_fin_bem</v>
      </c>
      <c r="I203" s="4" t="s">
        <v>477</v>
      </c>
      <c r="J203" s="60">
        <f>VLOOKUP(Table1[[#This Row],[Status]],Auxiliar!$B$16:$C$23,2,0)</f>
        <v>1</v>
      </c>
      <c r="K203" s="3" t="s">
        <v>1138</v>
      </c>
      <c r="L203" s="3" t="s">
        <v>1144</v>
      </c>
      <c r="M203" s="22" t="s">
        <v>1145</v>
      </c>
      <c r="N203" s="53">
        <v>45505</v>
      </c>
      <c r="O203" s="22">
        <f>INDEX(Auxiliar!$D$5:$F$13,MATCH(Table1[[#This Row],[Tipologia_Testes]],Auxiliar!$B$5:$B$13,0),MATCH(Table1[[#This Row],[Complexidade]],Auxiliar!$D$4:$F$4,0))</f>
        <v>2</v>
      </c>
      <c r="P203" s="3"/>
      <c r="Q203" s="3" t="s">
        <v>1170</v>
      </c>
      <c r="R203" s="173">
        <v>45261</v>
      </c>
      <c r="S203" s="173"/>
      <c r="T203" s="173"/>
      <c r="U203" s="173"/>
      <c r="V203" s="173"/>
      <c r="W203" s="3">
        <f>VLOOKUP(Table1[[#This Row],[Status]],Auxiliar!$B$16:$D$23,3,0)*Table1[[#This Row],[Estimação (horas)]]</f>
        <v>2</v>
      </c>
      <c r="X203" s="3"/>
    </row>
    <row r="204" spans="2:25" ht="17.399999999999999" hidden="1" customHeight="1">
      <c r="B204" s="3" t="s">
        <v>28</v>
      </c>
      <c r="C204" s="3" t="s">
        <v>54</v>
      </c>
      <c r="D204" s="3" t="s">
        <v>93</v>
      </c>
      <c r="E204" s="3" t="s">
        <v>38</v>
      </c>
      <c r="F204" s="3" t="s">
        <v>92</v>
      </c>
      <c r="G204" s="3" t="s">
        <v>100</v>
      </c>
      <c r="H204" s="63" t="str">
        <f>Table1[[#This Row],[Tabela]]&amp;Table1[[#This Row],[Campo]]</f>
        <v>cd_imv_out_benscod_fin_bem</v>
      </c>
      <c r="I204" s="4" t="s">
        <v>477</v>
      </c>
      <c r="J204" s="60">
        <f>VLOOKUP(Table1[[#This Row],[Status]],Auxiliar!$B$16:$C$23,2,0)</f>
        <v>1</v>
      </c>
      <c r="K204" s="3" t="s">
        <v>1141</v>
      </c>
      <c r="L204" s="3" t="s">
        <v>1144</v>
      </c>
      <c r="M204" s="22" t="s">
        <v>1145</v>
      </c>
      <c r="N204" s="53">
        <v>45505</v>
      </c>
      <c r="O204" s="22">
        <f>INDEX(Auxiliar!$D$5:$F$13,MATCH(Table1[[#This Row],[Tipologia_Testes]],Auxiliar!$B$5:$B$13,0),MATCH(Table1[[#This Row],[Complexidade]],Auxiliar!$D$4:$F$4,0))</f>
        <v>0.1</v>
      </c>
      <c r="P204" s="3"/>
      <c r="Q204" s="3" t="s">
        <v>1170</v>
      </c>
      <c r="R204" s="173">
        <v>45261</v>
      </c>
      <c r="S204" s="173"/>
      <c r="T204" s="173"/>
      <c r="U204" s="173"/>
      <c r="V204" s="173"/>
      <c r="W204" s="3">
        <f>VLOOKUP(Table1[[#This Row],[Status]],Auxiliar!$B$16:$D$23,3,0)*Table1[[#This Row],[Estimação (horas)]]</f>
        <v>0.1</v>
      </c>
      <c r="X204" s="3"/>
    </row>
    <row r="205" spans="2:25" ht="17.399999999999999" hidden="1" customHeight="1">
      <c r="B205" s="3" t="s">
        <v>28</v>
      </c>
      <c r="C205" s="3" t="s">
        <v>54</v>
      </c>
      <c r="D205" s="3" t="s">
        <v>93</v>
      </c>
      <c r="E205" s="3" t="s">
        <v>38</v>
      </c>
      <c r="F205" s="3" t="s">
        <v>92</v>
      </c>
      <c r="G205" s="3" t="s">
        <v>101</v>
      </c>
      <c r="H205" s="63" t="str">
        <f>Table1[[#This Row],[Tabela]]&amp;Table1[[#This Row],[Campo]]</f>
        <v>cd_imv_out_benscod_idd_pred</v>
      </c>
      <c r="I205" s="3" t="s">
        <v>477</v>
      </c>
      <c r="J205" s="45">
        <f>VLOOKUP(Table1[[#This Row],[Status]],Auxiliar!$B$16:$C$23,2,0)</f>
        <v>1</v>
      </c>
      <c r="K205" s="3" t="s">
        <v>1137</v>
      </c>
      <c r="L205" s="3" t="s">
        <v>1144</v>
      </c>
      <c r="M205" s="22" t="s">
        <v>1145</v>
      </c>
      <c r="N205" s="53">
        <v>45490</v>
      </c>
      <c r="O205" s="22">
        <f>INDEX(Auxiliar!$D$5:$F$13,MATCH(Table1[[#This Row],[Tipologia_Testes]],Auxiliar!$B$5:$B$13,0),MATCH(Table1[[#This Row],[Complexidade]],Auxiliar!$D$4:$F$4,0))</f>
        <v>2</v>
      </c>
      <c r="P205" s="3"/>
      <c r="Q205" s="3" t="s">
        <v>1170</v>
      </c>
      <c r="R205" s="173">
        <v>45261</v>
      </c>
      <c r="S205" s="173"/>
      <c r="T205" s="173"/>
      <c r="U205" s="173"/>
      <c r="V205" s="173"/>
      <c r="W205" s="3">
        <f>VLOOKUP(Table1[[#This Row],[Status]],Auxiliar!$B$16:$D$23,3,0)*Table1[[#This Row],[Estimação (horas)]]</f>
        <v>2</v>
      </c>
      <c r="X205" s="3"/>
    </row>
    <row r="206" spans="2:25" ht="17.399999999999999" hidden="1" customHeight="1">
      <c r="B206" s="3" t="s">
        <v>28</v>
      </c>
      <c r="C206" s="3" t="s">
        <v>54</v>
      </c>
      <c r="D206" s="3" t="s">
        <v>93</v>
      </c>
      <c r="E206" s="3" t="s">
        <v>38</v>
      </c>
      <c r="F206" s="3" t="s">
        <v>92</v>
      </c>
      <c r="G206" s="3" t="s">
        <v>101</v>
      </c>
      <c r="H206" s="63" t="str">
        <f>Table1[[#This Row],[Tabela]]&amp;Table1[[#This Row],[Campo]]</f>
        <v>cd_imv_out_benscod_idd_pred</v>
      </c>
      <c r="I206" s="3" t="s">
        <v>477</v>
      </c>
      <c r="J206" s="45">
        <f>VLOOKUP(Table1[[#This Row],[Status]],Auxiliar!$B$16:$C$23,2,0)</f>
        <v>1</v>
      </c>
      <c r="K206" s="3" t="s">
        <v>1138</v>
      </c>
      <c r="L206" s="3" t="s">
        <v>1144</v>
      </c>
      <c r="M206" s="22" t="s">
        <v>1145</v>
      </c>
      <c r="N206" s="53">
        <v>45490</v>
      </c>
      <c r="O206" s="22">
        <f>INDEX(Auxiliar!$D$5:$F$13,MATCH(Table1[[#This Row],[Tipologia_Testes]],Auxiliar!$B$5:$B$13,0),MATCH(Table1[[#This Row],[Complexidade]],Auxiliar!$D$4:$F$4,0))</f>
        <v>2</v>
      </c>
      <c r="P206" s="3"/>
      <c r="Q206" s="3" t="s">
        <v>1170</v>
      </c>
      <c r="R206" s="173">
        <v>45261</v>
      </c>
      <c r="S206" s="173"/>
      <c r="T206" s="173"/>
      <c r="U206" s="173"/>
      <c r="V206" s="173"/>
      <c r="W206" s="3">
        <f>VLOOKUP(Table1[[#This Row],[Status]],Auxiliar!$B$16:$D$23,3,0)*Table1[[#This Row],[Estimação (horas)]]</f>
        <v>2</v>
      </c>
      <c r="X206" s="3"/>
    </row>
    <row r="207" spans="2:25" ht="17.399999999999999" hidden="1" customHeight="1">
      <c r="B207" s="3" t="s">
        <v>28</v>
      </c>
      <c r="C207" s="3" t="s">
        <v>54</v>
      </c>
      <c r="D207" s="3" t="s">
        <v>93</v>
      </c>
      <c r="E207" s="3" t="s">
        <v>38</v>
      </c>
      <c r="F207" s="3" t="s">
        <v>92</v>
      </c>
      <c r="G207" s="3" t="s">
        <v>101</v>
      </c>
      <c r="H207" s="63" t="str">
        <f>Table1[[#This Row],[Tabela]]&amp;Table1[[#This Row],[Campo]]</f>
        <v>cd_imv_out_benscod_idd_pred</v>
      </c>
      <c r="I207" s="3" t="s">
        <v>477</v>
      </c>
      <c r="J207" s="45">
        <f>VLOOKUP(Table1[[#This Row],[Status]],Auxiliar!$B$16:$C$23,2,0)</f>
        <v>1</v>
      </c>
      <c r="K207" s="3" t="s">
        <v>1141</v>
      </c>
      <c r="L207" s="3" t="s">
        <v>1144</v>
      </c>
      <c r="M207" s="22" t="s">
        <v>1145</v>
      </c>
      <c r="N207" s="53">
        <v>45490</v>
      </c>
      <c r="O207" s="22">
        <f>INDEX(Auxiliar!$D$5:$F$13,MATCH(Table1[[#This Row],[Tipologia_Testes]],Auxiliar!$B$5:$B$13,0),MATCH(Table1[[#This Row],[Complexidade]],Auxiliar!$D$4:$F$4,0))</f>
        <v>0.1</v>
      </c>
      <c r="P207" s="3"/>
      <c r="Q207" s="3" t="s">
        <v>1170</v>
      </c>
      <c r="R207" s="173">
        <v>45261</v>
      </c>
      <c r="S207" s="173"/>
      <c r="T207" s="173"/>
      <c r="U207" s="173"/>
      <c r="V207" s="173"/>
      <c r="W207" s="3">
        <f>VLOOKUP(Table1[[#This Row],[Status]],Auxiliar!$B$16:$D$23,3,0)*Table1[[#This Row],[Estimação (horas)]]</f>
        <v>0.1</v>
      </c>
      <c r="X207" s="3"/>
    </row>
    <row r="208" spans="2:25" ht="17.399999999999999" hidden="1" customHeight="1">
      <c r="B208" s="3" t="s">
        <v>28</v>
      </c>
      <c r="C208" s="3" t="s">
        <v>54</v>
      </c>
      <c r="D208" s="3" t="s">
        <v>93</v>
      </c>
      <c r="E208" s="3" t="s">
        <v>38</v>
      </c>
      <c r="F208" s="3" t="s">
        <v>92</v>
      </c>
      <c r="G208" s="3" t="s">
        <v>102</v>
      </c>
      <c r="H208" s="63" t="str">
        <f>Table1[[#This Row],[Tabela]]&amp;Table1[[#This Row],[Campo]]</f>
        <v>cd_imv_out_benscod_morada</v>
      </c>
      <c r="I208" s="3" t="s">
        <v>477</v>
      </c>
      <c r="J208" s="45">
        <f>VLOOKUP(Table1[[#This Row],[Status]],Auxiliar!$B$16:$C$23,2,0)</f>
        <v>1</v>
      </c>
      <c r="K208" s="3" t="s">
        <v>1137</v>
      </c>
      <c r="L208" s="3" t="s">
        <v>1144</v>
      </c>
      <c r="M208" s="22" t="s">
        <v>1145</v>
      </c>
      <c r="N208" s="53">
        <v>45485</v>
      </c>
      <c r="O208" s="22">
        <f>INDEX(Auxiliar!$D$5:$F$13,MATCH(Table1[[#This Row],[Tipologia_Testes]],Auxiliar!$B$5:$B$13,0),MATCH(Table1[[#This Row],[Complexidade]],Auxiliar!$D$4:$F$4,0))</f>
        <v>2</v>
      </c>
      <c r="P208" s="3"/>
      <c r="Q208" s="3" t="s">
        <v>1170</v>
      </c>
      <c r="R208" s="173">
        <v>45261</v>
      </c>
      <c r="S208" s="173"/>
      <c r="T208" s="173"/>
      <c r="U208" s="173"/>
      <c r="V208" s="173"/>
      <c r="W208" s="3">
        <f>VLOOKUP(Table1[[#This Row],[Status]],Auxiliar!$B$16:$D$23,3,0)*Table1[[#This Row],[Estimação (horas)]]</f>
        <v>2</v>
      </c>
      <c r="X208" s="3"/>
    </row>
    <row r="209" spans="2:24" ht="17.399999999999999" hidden="1" customHeight="1">
      <c r="B209" s="3" t="s">
        <v>28</v>
      </c>
      <c r="C209" s="3" t="s">
        <v>54</v>
      </c>
      <c r="D209" s="3" t="s">
        <v>93</v>
      </c>
      <c r="E209" s="3" t="s">
        <v>38</v>
      </c>
      <c r="F209" s="3" t="s">
        <v>92</v>
      </c>
      <c r="G209" s="3" t="s">
        <v>102</v>
      </c>
      <c r="H209" s="63" t="str">
        <f>Table1[[#This Row],[Tabela]]&amp;Table1[[#This Row],[Campo]]</f>
        <v>cd_imv_out_benscod_morada</v>
      </c>
      <c r="I209" s="3" t="s">
        <v>477</v>
      </c>
      <c r="J209" s="45">
        <f>VLOOKUP(Table1[[#This Row],[Status]],Auxiliar!$B$16:$C$23,2,0)</f>
        <v>1</v>
      </c>
      <c r="K209" s="3" t="s">
        <v>1138</v>
      </c>
      <c r="L209" s="3" t="s">
        <v>1144</v>
      </c>
      <c r="M209" s="22" t="s">
        <v>1145</v>
      </c>
      <c r="N209" s="53">
        <v>45485</v>
      </c>
      <c r="O209" s="22">
        <f>INDEX(Auxiliar!$D$5:$F$13,MATCH(Table1[[#This Row],[Tipologia_Testes]],Auxiliar!$B$5:$B$13,0),MATCH(Table1[[#This Row],[Complexidade]],Auxiliar!$D$4:$F$4,0))</f>
        <v>2</v>
      </c>
      <c r="P209" s="3"/>
      <c r="Q209" s="3" t="s">
        <v>1170</v>
      </c>
      <c r="R209" s="173">
        <v>45261</v>
      </c>
      <c r="S209" s="173"/>
      <c r="T209" s="173"/>
      <c r="U209" s="173"/>
      <c r="V209" s="173"/>
      <c r="W209" s="3">
        <f>VLOOKUP(Table1[[#This Row],[Status]],Auxiliar!$B$16:$D$23,3,0)*Table1[[#This Row],[Estimação (horas)]]</f>
        <v>2</v>
      </c>
      <c r="X209" s="3"/>
    </row>
    <row r="210" spans="2:24" ht="17.399999999999999" hidden="1" customHeight="1">
      <c r="B210" s="3" t="s">
        <v>28</v>
      </c>
      <c r="C210" s="3" t="s">
        <v>54</v>
      </c>
      <c r="D210" s="3" t="s">
        <v>93</v>
      </c>
      <c r="E210" s="3" t="s">
        <v>38</v>
      </c>
      <c r="F210" s="3" t="s">
        <v>92</v>
      </c>
      <c r="G210" s="3" t="s">
        <v>102</v>
      </c>
      <c r="H210" s="63" t="str">
        <f>Table1[[#This Row],[Tabela]]&amp;Table1[[#This Row],[Campo]]</f>
        <v>cd_imv_out_benscod_morada</v>
      </c>
      <c r="I210" s="3" t="s">
        <v>477</v>
      </c>
      <c r="J210" s="45">
        <f>VLOOKUP(Table1[[#This Row],[Status]],Auxiliar!$B$16:$C$23,2,0)</f>
        <v>1</v>
      </c>
      <c r="K210" s="3" t="s">
        <v>1141</v>
      </c>
      <c r="L210" s="3" t="s">
        <v>1144</v>
      </c>
      <c r="M210" s="22" t="s">
        <v>1145</v>
      </c>
      <c r="N210" s="53">
        <v>45485</v>
      </c>
      <c r="O210" s="22">
        <f>INDEX(Auxiliar!$D$5:$F$13,MATCH(Table1[[#This Row],[Tipologia_Testes]],Auxiliar!$B$5:$B$13,0),MATCH(Table1[[#This Row],[Complexidade]],Auxiliar!$D$4:$F$4,0))</f>
        <v>0.1</v>
      </c>
      <c r="P210" s="3"/>
      <c r="Q210" s="3" t="s">
        <v>1170</v>
      </c>
      <c r="R210" s="173">
        <v>45261</v>
      </c>
      <c r="S210" s="173"/>
      <c r="T210" s="173"/>
      <c r="U210" s="173"/>
      <c r="V210" s="173"/>
      <c r="W210" s="3">
        <f>VLOOKUP(Table1[[#This Row],[Status]],Auxiliar!$B$16:$D$23,3,0)*Table1[[#This Row],[Estimação (horas)]]</f>
        <v>0.1</v>
      </c>
      <c r="X210" s="3"/>
    </row>
    <row r="211" spans="2:24" ht="17.399999999999999" hidden="1" customHeight="1">
      <c r="B211" s="3" t="s">
        <v>28</v>
      </c>
      <c r="C211" s="3" t="s">
        <v>54</v>
      </c>
      <c r="D211" s="3" t="s">
        <v>93</v>
      </c>
      <c r="E211" s="3" t="s">
        <v>38</v>
      </c>
      <c r="F211" s="3" t="s">
        <v>92</v>
      </c>
      <c r="G211" s="3" t="s">
        <v>103</v>
      </c>
      <c r="H211" s="63" t="str">
        <f>Table1[[#This Row],[Tabela]]&amp;Table1[[#This Row],[Campo]]</f>
        <v>cd_imv_out_benscod_pais</v>
      </c>
      <c r="I211" s="3" t="s">
        <v>477</v>
      </c>
      <c r="J211" s="45">
        <f>VLOOKUP(Table1[[#This Row],[Status]],Auxiliar!$B$16:$C$23,2,0)</f>
        <v>1</v>
      </c>
      <c r="K211" s="3" t="s">
        <v>1137</v>
      </c>
      <c r="L211" s="3" t="s">
        <v>1144</v>
      </c>
      <c r="M211" s="22" t="s">
        <v>1145</v>
      </c>
      <c r="N211" s="53">
        <v>45485</v>
      </c>
      <c r="O211" s="22">
        <f>INDEX(Auxiliar!$D$5:$F$13,MATCH(Table1[[#This Row],[Tipologia_Testes]],Auxiliar!$B$5:$B$13,0),MATCH(Table1[[#This Row],[Complexidade]],Auxiliar!$D$4:$F$4,0))</f>
        <v>2</v>
      </c>
      <c r="P211" s="3"/>
      <c r="Q211" s="3" t="s">
        <v>1170</v>
      </c>
      <c r="R211" s="173">
        <v>45261</v>
      </c>
      <c r="S211" s="173"/>
      <c r="T211" s="173"/>
      <c r="U211" s="173"/>
      <c r="V211" s="173"/>
      <c r="W211" s="3">
        <f>VLOOKUP(Table1[[#This Row],[Status]],Auxiliar!$B$16:$D$23,3,0)*Table1[[#This Row],[Estimação (horas)]]</f>
        <v>2</v>
      </c>
      <c r="X211" s="3"/>
    </row>
    <row r="212" spans="2:24" ht="17.399999999999999" hidden="1" customHeight="1">
      <c r="B212" s="3" t="s">
        <v>28</v>
      </c>
      <c r="C212" s="3" t="s">
        <v>54</v>
      </c>
      <c r="D212" s="3" t="s">
        <v>93</v>
      </c>
      <c r="E212" s="3" t="s">
        <v>38</v>
      </c>
      <c r="F212" s="3" t="s">
        <v>92</v>
      </c>
      <c r="G212" s="3" t="s">
        <v>103</v>
      </c>
      <c r="H212" s="63" t="str">
        <f>Table1[[#This Row],[Tabela]]&amp;Table1[[#This Row],[Campo]]</f>
        <v>cd_imv_out_benscod_pais</v>
      </c>
      <c r="I212" s="3" t="s">
        <v>477</v>
      </c>
      <c r="J212" s="45">
        <f>VLOOKUP(Table1[[#This Row],[Status]],Auxiliar!$B$16:$C$23,2,0)</f>
        <v>1</v>
      </c>
      <c r="K212" s="3" t="s">
        <v>1138</v>
      </c>
      <c r="L212" s="3" t="s">
        <v>1144</v>
      </c>
      <c r="M212" s="22" t="s">
        <v>1145</v>
      </c>
      <c r="N212" s="53">
        <v>45485</v>
      </c>
      <c r="O212" s="22">
        <f>INDEX(Auxiliar!$D$5:$F$13,MATCH(Table1[[#This Row],[Tipologia_Testes]],Auxiliar!$B$5:$B$13,0),MATCH(Table1[[#This Row],[Complexidade]],Auxiliar!$D$4:$F$4,0))</f>
        <v>2</v>
      </c>
      <c r="P212" s="3"/>
      <c r="Q212" s="3" t="s">
        <v>1170</v>
      </c>
      <c r="R212" s="173">
        <v>45261</v>
      </c>
      <c r="S212" s="173"/>
      <c r="T212" s="173"/>
      <c r="U212" s="173"/>
      <c r="V212" s="173"/>
      <c r="W212" s="3">
        <f>VLOOKUP(Table1[[#This Row],[Status]],Auxiliar!$B$16:$D$23,3,0)*Table1[[#This Row],[Estimação (horas)]]</f>
        <v>2</v>
      </c>
      <c r="X212" s="3"/>
    </row>
    <row r="213" spans="2:24" ht="17.399999999999999" hidden="1" customHeight="1">
      <c r="B213" s="3" t="s">
        <v>28</v>
      </c>
      <c r="C213" s="3" t="s">
        <v>54</v>
      </c>
      <c r="D213" s="3" t="s">
        <v>93</v>
      </c>
      <c r="E213" s="3" t="s">
        <v>38</v>
      </c>
      <c r="F213" s="3" t="s">
        <v>92</v>
      </c>
      <c r="G213" s="3" t="s">
        <v>103</v>
      </c>
      <c r="H213" s="63" t="str">
        <f>Table1[[#This Row],[Tabela]]&amp;Table1[[#This Row],[Campo]]</f>
        <v>cd_imv_out_benscod_pais</v>
      </c>
      <c r="I213" s="3" t="s">
        <v>477</v>
      </c>
      <c r="J213" s="45">
        <f>VLOOKUP(Table1[[#This Row],[Status]],Auxiliar!$B$16:$C$23,2,0)</f>
        <v>1</v>
      </c>
      <c r="K213" s="3" t="s">
        <v>1141</v>
      </c>
      <c r="L213" s="3" t="s">
        <v>1144</v>
      </c>
      <c r="M213" s="22" t="s">
        <v>1145</v>
      </c>
      <c r="N213" s="53">
        <v>45485</v>
      </c>
      <c r="O213" s="22">
        <f>INDEX(Auxiliar!$D$5:$F$13,MATCH(Table1[[#This Row],[Tipologia_Testes]],Auxiliar!$B$5:$B$13,0),MATCH(Table1[[#This Row],[Complexidade]],Auxiliar!$D$4:$F$4,0))</f>
        <v>0.1</v>
      </c>
      <c r="P213" s="3"/>
      <c r="Q213" s="3" t="s">
        <v>1170</v>
      </c>
      <c r="R213" s="173">
        <v>45261</v>
      </c>
      <c r="S213" s="173"/>
      <c r="T213" s="173"/>
      <c r="U213" s="173"/>
      <c r="V213" s="173"/>
      <c r="W213" s="3">
        <f>VLOOKUP(Table1[[#This Row],[Status]],Auxiliar!$B$16:$D$23,3,0)*Table1[[#This Row],[Estimação (horas)]]</f>
        <v>0.1</v>
      </c>
      <c r="X213" s="3"/>
    </row>
    <row r="214" spans="2:24" ht="17.399999999999999" hidden="1" customHeight="1">
      <c r="B214" s="3" t="s">
        <v>28</v>
      </c>
      <c r="C214" s="3" t="s">
        <v>54</v>
      </c>
      <c r="D214" s="3" t="s">
        <v>93</v>
      </c>
      <c r="E214" s="3" t="s">
        <v>38</v>
      </c>
      <c r="F214" s="3" t="s">
        <v>92</v>
      </c>
      <c r="G214" s="3" t="s">
        <v>104</v>
      </c>
      <c r="H214" s="63" t="str">
        <f>Table1[[#This Row],[Tabela]]&amp;Table1[[#This Row],[Campo]]</f>
        <v>cd_imv_out_benscod_post</v>
      </c>
      <c r="I214" s="4" t="s">
        <v>477</v>
      </c>
      <c r="J214" s="60">
        <f>VLOOKUP(Table1[[#This Row],[Status]],Auxiliar!$B$16:$C$23,2,0)</f>
        <v>1</v>
      </c>
      <c r="K214" s="3" t="s">
        <v>1137</v>
      </c>
      <c r="L214" s="3" t="s">
        <v>1144</v>
      </c>
      <c r="M214" s="22" t="s">
        <v>1145</v>
      </c>
      <c r="N214" s="53">
        <v>45505</v>
      </c>
      <c r="O214" s="22">
        <f>INDEX(Auxiliar!$D$5:$F$13,MATCH(Table1[[#This Row],[Tipologia_Testes]],Auxiliar!$B$5:$B$13,0),MATCH(Table1[[#This Row],[Complexidade]],Auxiliar!$D$4:$F$4,0))</f>
        <v>2</v>
      </c>
      <c r="P214" s="3"/>
      <c r="Q214" s="3" t="s">
        <v>1170</v>
      </c>
      <c r="R214" s="173">
        <v>45261</v>
      </c>
      <c r="S214" s="173"/>
      <c r="T214" s="173"/>
      <c r="U214" s="173"/>
      <c r="V214" s="173"/>
      <c r="W214" s="3">
        <f>VLOOKUP(Table1[[#This Row],[Status]],Auxiliar!$B$16:$D$23,3,0)*Table1[[#This Row],[Estimação (horas)]]</f>
        <v>2</v>
      </c>
      <c r="X214" s="3"/>
    </row>
    <row r="215" spans="2:24" ht="17.399999999999999" hidden="1" customHeight="1">
      <c r="B215" s="3" t="s">
        <v>28</v>
      </c>
      <c r="C215" s="3" t="s">
        <v>54</v>
      </c>
      <c r="D215" s="3" t="s">
        <v>93</v>
      </c>
      <c r="E215" s="3" t="s">
        <v>38</v>
      </c>
      <c r="F215" s="3" t="s">
        <v>92</v>
      </c>
      <c r="G215" s="3" t="s">
        <v>104</v>
      </c>
      <c r="H215" s="63" t="str">
        <f>Table1[[#This Row],[Tabela]]&amp;Table1[[#This Row],[Campo]]</f>
        <v>cd_imv_out_benscod_post</v>
      </c>
      <c r="I215" s="4" t="s">
        <v>477</v>
      </c>
      <c r="J215" s="60">
        <f>VLOOKUP(Table1[[#This Row],[Status]],Auxiliar!$B$16:$C$23,2,0)</f>
        <v>1</v>
      </c>
      <c r="K215" s="3" t="s">
        <v>1138</v>
      </c>
      <c r="L215" s="3" t="s">
        <v>1144</v>
      </c>
      <c r="M215" s="22" t="s">
        <v>1145</v>
      </c>
      <c r="N215" s="53">
        <v>45505</v>
      </c>
      <c r="O215" s="22">
        <f>INDEX(Auxiliar!$D$5:$F$13,MATCH(Table1[[#This Row],[Tipologia_Testes]],Auxiliar!$B$5:$B$13,0),MATCH(Table1[[#This Row],[Complexidade]],Auxiliar!$D$4:$F$4,0))</f>
        <v>2</v>
      </c>
      <c r="P215" s="3"/>
      <c r="Q215" s="3" t="s">
        <v>1170</v>
      </c>
      <c r="R215" s="173">
        <v>45261</v>
      </c>
      <c r="S215" s="173"/>
      <c r="T215" s="173"/>
      <c r="U215" s="173"/>
      <c r="V215" s="173"/>
      <c r="W215" s="3">
        <f>VLOOKUP(Table1[[#This Row],[Status]],Auxiliar!$B$16:$D$23,3,0)*Table1[[#This Row],[Estimação (horas)]]</f>
        <v>2</v>
      </c>
      <c r="X215" s="3"/>
    </row>
    <row r="216" spans="2:24" ht="17.399999999999999" hidden="1" customHeight="1">
      <c r="B216" s="3" t="s">
        <v>28</v>
      </c>
      <c r="C216" s="3" t="s">
        <v>54</v>
      </c>
      <c r="D216" s="3" t="s">
        <v>93</v>
      </c>
      <c r="E216" s="3" t="s">
        <v>38</v>
      </c>
      <c r="F216" s="3" t="s">
        <v>92</v>
      </c>
      <c r="G216" s="3" t="s">
        <v>104</v>
      </c>
      <c r="H216" s="63" t="str">
        <f>Table1[[#This Row],[Tabela]]&amp;Table1[[#This Row],[Campo]]</f>
        <v>cd_imv_out_benscod_post</v>
      </c>
      <c r="I216" s="4" t="s">
        <v>477</v>
      </c>
      <c r="J216" s="60">
        <f>VLOOKUP(Table1[[#This Row],[Status]],Auxiliar!$B$16:$C$23,2,0)</f>
        <v>1</v>
      </c>
      <c r="K216" s="3" t="s">
        <v>1141</v>
      </c>
      <c r="L216" s="3" t="s">
        <v>1144</v>
      </c>
      <c r="M216" s="22" t="s">
        <v>1145</v>
      </c>
      <c r="N216" s="53">
        <v>45505</v>
      </c>
      <c r="O216" s="22">
        <f>INDEX(Auxiliar!$D$5:$F$13,MATCH(Table1[[#This Row],[Tipologia_Testes]],Auxiliar!$B$5:$B$13,0),MATCH(Table1[[#This Row],[Complexidade]],Auxiliar!$D$4:$F$4,0))</f>
        <v>0.1</v>
      </c>
      <c r="P216" s="3"/>
      <c r="Q216" s="3" t="s">
        <v>1170</v>
      </c>
      <c r="R216" s="173">
        <v>45261</v>
      </c>
      <c r="S216" s="173"/>
      <c r="T216" s="173"/>
      <c r="U216" s="173"/>
      <c r="V216" s="173"/>
      <c r="W216" s="3">
        <f>VLOOKUP(Table1[[#This Row],[Status]],Auxiliar!$B$16:$D$23,3,0)*Table1[[#This Row],[Estimação (horas)]]</f>
        <v>0.1</v>
      </c>
      <c r="X216" s="3"/>
    </row>
    <row r="217" spans="2:24" ht="17.399999999999999" hidden="1" customHeight="1">
      <c r="B217" s="3" t="s">
        <v>28</v>
      </c>
      <c r="C217" s="3" t="s">
        <v>54</v>
      </c>
      <c r="D217" s="3" t="s">
        <v>93</v>
      </c>
      <c r="E217" s="3" t="s">
        <v>38</v>
      </c>
      <c r="F217" s="3" t="s">
        <v>92</v>
      </c>
      <c r="G217" s="3" t="s">
        <v>105</v>
      </c>
      <c r="H217" s="63" t="str">
        <f>Table1[[#This Row],[Tabela]]&amp;Table1[[#This Row],[Campo]]</f>
        <v>cd_imv_out_benscod_tp_bem</v>
      </c>
      <c r="I217" s="4" t="s">
        <v>477</v>
      </c>
      <c r="J217" s="60">
        <f>VLOOKUP(Table1[[#This Row],[Status]],Auxiliar!$B$16:$C$23,2,0)</f>
        <v>1</v>
      </c>
      <c r="K217" s="3" t="s">
        <v>1137</v>
      </c>
      <c r="L217" s="3" t="s">
        <v>1144</v>
      </c>
      <c r="M217" s="22" t="s">
        <v>1145</v>
      </c>
      <c r="N217" s="53">
        <v>45505</v>
      </c>
      <c r="O217" s="22">
        <f>INDEX(Auxiliar!$D$5:$F$13,MATCH(Table1[[#This Row],[Tipologia_Testes]],Auxiliar!$B$5:$B$13,0),MATCH(Table1[[#This Row],[Complexidade]],Auxiliar!$D$4:$F$4,0))</f>
        <v>2</v>
      </c>
      <c r="P217" s="3"/>
      <c r="Q217" s="3" t="s">
        <v>1170</v>
      </c>
      <c r="R217" s="173">
        <v>45261</v>
      </c>
      <c r="S217" s="173"/>
      <c r="T217" s="173"/>
      <c r="U217" s="173"/>
      <c r="V217" s="173"/>
      <c r="W217" s="3">
        <f>VLOOKUP(Table1[[#This Row],[Status]],Auxiliar!$B$16:$D$23,3,0)*Table1[[#This Row],[Estimação (horas)]]</f>
        <v>2</v>
      </c>
      <c r="X217" s="3"/>
    </row>
    <row r="218" spans="2:24" ht="17.399999999999999" hidden="1" customHeight="1">
      <c r="B218" s="3" t="s">
        <v>28</v>
      </c>
      <c r="C218" s="3" t="s">
        <v>54</v>
      </c>
      <c r="D218" s="3" t="s">
        <v>93</v>
      </c>
      <c r="E218" s="3" t="s">
        <v>38</v>
      </c>
      <c r="F218" s="3" t="s">
        <v>92</v>
      </c>
      <c r="G218" s="3" t="s">
        <v>105</v>
      </c>
      <c r="H218" s="63" t="str">
        <f>Table1[[#This Row],[Tabela]]&amp;Table1[[#This Row],[Campo]]</f>
        <v>cd_imv_out_benscod_tp_bem</v>
      </c>
      <c r="I218" s="4" t="s">
        <v>477</v>
      </c>
      <c r="J218" s="60">
        <f>VLOOKUP(Table1[[#This Row],[Status]],Auxiliar!$B$16:$C$23,2,0)</f>
        <v>1</v>
      </c>
      <c r="K218" s="3" t="s">
        <v>1138</v>
      </c>
      <c r="L218" s="3" t="s">
        <v>1144</v>
      </c>
      <c r="M218" s="22" t="s">
        <v>1145</v>
      </c>
      <c r="N218" s="53">
        <v>45505</v>
      </c>
      <c r="O218" s="22">
        <f>INDEX(Auxiliar!$D$5:$F$13,MATCH(Table1[[#This Row],[Tipologia_Testes]],Auxiliar!$B$5:$B$13,0),MATCH(Table1[[#This Row],[Complexidade]],Auxiliar!$D$4:$F$4,0))</f>
        <v>2</v>
      </c>
      <c r="P218" s="3"/>
      <c r="Q218" s="3" t="s">
        <v>1170</v>
      </c>
      <c r="R218" s="173">
        <v>45261</v>
      </c>
      <c r="S218" s="173"/>
      <c r="T218" s="173"/>
      <c r="U218" s="173"/>
      <c r="V218" s="173"/>
      <c r="W218" s="3">
        <f>VLOOKUP(Table1[[#This Row],[Status]],Auxiliar!$B$16:$D$23,3,0)*Table1[[#This Row],[Estimação (horas)]]</f>
        <v>2</v>
      </c>
      <c r="X218" s="3"/>
    </row>
    <row r="219" spans="2:24" ht="17.399999999999999" hidden="1" customHeight="1">
      <c r="B219" s="3" t="s">
        <v>28</v>
      </c>
      <c r="C219" s="3" t="s">
        <v>54</v>
      </c>
      <c r="D219" s="3" t="s">
        <v>93</v>
      </c>
      <c r="E219" s="3" t="s">
        <v>38</v>
      </c>
      <c r="F219" s="3" t="s">
        <v>92</v>
      </c>
      <c r="G219" s="3" t="s">
        <v>105</v>
      </c>
      <c r="H219" s="63" t="str">
        <f>Table1[[#This Row],[Tabela]]&amp;Table1[[#This Row],[Campo]]</f>
        <v>cd_imv_out_benscod_tp_bem</v>
      </c>
      <c r="I219" s="4" t="s">
        <v>477</v>
      </c>
      <c r="J219" s="60">
        <f>VLOOKUP(Table1[[#This Row],[Status]],Auxiliar!$B$16:$C$23,2,0)</f>
        <v>1</v>
      </c>
      <c r="K219" s="3" t="s">
        <v>1141</v>
      </c>
      <c r="L219" s="3" t="s">
        <v>1144</v>
      </c>
      <c r="M219" s="22" t="s">
        <v>1145</v>
      </c>
      <c r="N219" s="53">
        <v>45505</v>
      </c>
      <c r="O219" s="22">
        <f>INDEX(Auxiliar!$D$5:$F$13,MATCH(Table1[[#This Row],[Tipologia_Testes]],Auxiliar!$B$5:$B$13,0),MATCH(Table1[[#This Row],[Complexidade]],Auxiliar!$D$4:$F$4,0))</f>
        <v>0.1</v>
      </c>
      <c r="P219" s="3"/>
      <c r="Q219" s="3" t="s">
        <v>1170</v>
      </c>
      <c r="R219" s="173">
        <v>45261</v>
      </c>
      <c r="S219" s="173"/>
      <c r="T219" s="173"/>
      <c r="U219" s="173"/>
      <c r="V219" s="173"/>
      <c r="W219" s="3">
        <f>VLOOKUP(Table1[[#This Row],[Status]],Auxiliar!$B$16:$D$23,3,0)*Table1[[#This Row],[Estimação (horas)]]</f>
        <v>0.1</v>
      </c>
      <c r="X219" s="3"/>
    </row>
    <row r="220" spans="2:24" ht="17.399999999999999" hidden="1" customHeight="1">
      <c r="B220" s="3" t="s">
        <v>28</v>
      </c>
      <c r="C220" s="3" t="s">
        <v>54</v>
      </c>
      <c r="D220" s="3" t="s">
        <v>93</v>
      </c>
      <c r="E220" s="3" t="s">
        <v>38</v>
      </c>
      <c r="F220" s="3" t="s">
        <v>92</v>
      </c>
      <c r="G220" s="3" t="s">
        <v>106</v>
      </c>
      <c r="H220" s="63" t="str">
        <f>Table1[[#This Row],[Tabela]]&amp;Table1[[#This Row],[Campo]]</f>
        <v>cd_imv_out_bensdata_avl</v>
      </c>
      <c r="I220" s="4" t="s">
        <v>477</v>
      </c>
      <c r="J220" s="60">
        <f>VLOOKUP(Table1[[#This Row],[Status]],Auxiliar!$B$16:$C$23,2,0)</f>
        <v>1</v>
      </c>
      <c r="K220" s="3" t="s">
        <v>1137</v>
      </c>
      <c r="L220" s="3" t="s">
        <v>1144</v>
      </c>
      <c r="M220" s="22" t="s">
        <v>1145</v>
      </c>
      <c r="N220" s="53">
        <v>45485</v>
      </c>
      <c r="O220" s="22">
        <f>INDEX(Auxiliar!$D$5:$F$13,MATCH(Table1[[#This Row],[Tipologia_Testes]],Auxiliar!$B$5:$B$13,0),MATCH(Table1[[#This Row],[Complexidade]],Auxiliar!$D$4:$F$4,0))</f>
        <v>2</v>
      </c>
      <c r="P220" s="3"/>
      <c r="Q220" s="3" t="s">
        <v>1170</v>
      </c>
      <c r="R220" s="173">
        <v>45261</v>
      </c>
      <c r="S220" s="173"/>
      <c r="T220" s="173"/>
      <c r="U220" s="173"/>
      <c r="V220" s="173"/>
      <c r="W220" s="3">
        <f>VLOOKUP(Table1[[#This Row],[Status]],Auxiliar!$B$16:$D$23,3,0)*Table1[[#This Row],[Estimação (horas)]]</f>
        <v>2</v>
      </c>
      <c r="X220" s="3"/>
    </row>
    <row r="221" spans="2:24" ht="17.399999999999999" hidden="1" customHeight="1">
      <c r="B221" s="3" t="s">
        <v>28</v>
      </c>
      <c r="C221" s="3" t="s">
        <v>54</v>
      </c>
      <c r="D221" s="3" t="s">
        <v>93</v>
      </c>
      <c r="E221" s="3" t="s">
        <v>38</v>
      </c>
      <c r="F221" s="3" t="s">
        <v>92</v>
      </c>
      <c r="G221" s="3" t="s">
        <v>106</v>
      </c>
      <c r="H221" s="63" t="str">
        <f>Table1[[#This Row],[Tabela]]&amp;Table1[[#This Row],[Campo]]</f>
        <v>cd_imv_out_bensdata_avl</v>
      </c>
      <c r="I221" s="4" t="s">
        <v>477</v>
      </c>
      <c r="J221" s="60">
        <f>VLOOKUP(Table1[[#This Row],[Status]],Auxiliar!$B$16:$C$23,2,0)</f>
        <v>1</v>
      </c>
      <c r="K221" s="3" t="s">
        <v>1138</v>
      </c>
      <c r="L221" s="3" t="s">
        <v>1144</v>
      </c>
      <c r="M221" s="22" t="s">
        <v>1145</v>
      </c>
      <c r="N221" s="53">
        <v>45485</v>
      </c>
      <c r="O221" s="22">
        <f>INDEX(Auxiliar!$D$5:$F$13,MATCH(Table1[[#This Row],[Tipologia_Testes]],Auxiliar!$B$5:$B$13,0),MATCH(Table1[[#This Row],[Complexidade]],Auxiliar!$D$4:$F$4,0))</f>
        <v>2</v>
      </c>
      <c r="P221" s="3"/>
      <c r="Q221" s="3" t="s">
        <v>1170</v>
      </c>
      <c r="R221" s="173">
        <v>45261</v>
      </c>
      <c r="S221" s="173"/>
      <c r="T221" s="173"/>
      <c r="U221" s="173"/>
      <c r="V221" s="173"/>
      <c r="W221" s="3">
        <f>VLOOKUP(Table1[[#This Row],[Status]],Auxiliar!$B$16:$D$23,3,0)*Table1[[#This Row],[Estimação (horas)]]</f>
        <v>2</v>
      </c>
      <c r="X221" s="3"/>
    </row>
    <row r="222" spans="2:24" ht="17.399999999999999" hidden="1" customHeight="1">
      <c r="B222" s="3" t="s">
        <v>28</v>
      </c>
      <c r="C222" s="3" t="s">
        <v>54</v>
      </c>
      <c r="D222" s="3" t="s">
        <v>93</v>
      </c>
      <c r="E222" s="3" t="s">
        <v>38</v>
      </c>
      <c r="F222" s="3" t="s">
        <v>92</v>
      </c>
      <c r="G222" s="3" t="s">
        <v>106</v>
      </c>
      <c r="H222" s="63" t="str">
        <f>Table1[[#This Row],[Tabela]]&amp;Table1[[#This Row],[Campo]]</f>
        <v>cd_imv_out_bensdata_avl</v>
      </c>
      <c r="I222" s="4" t="s">
        <v>477</v>
      </c>
      <c r="J222" s="60">
        <f>VLOOKUP(Table1[[#This Row],[Status]],Auxiliar!$B$16:$C$23,2,0)</f>
        <v>1</v>
      </c>
      <c r="K222" s="3" t="s">
        <v>1141</v>
      </c>
      <c r="L222" s="3" t="s">
        <v>1144</v>
      </c>
      <c r="M222" s="22" t="s">
        <v>1145</v>
      </c>
      <c r="N222" s="53">
        <v>45485</v>
      </c>
      <c r="O222" s="22">
        <f>INDEX(Auxiliar!$D$5:$F$13,MATCH(Table1[[#This Row],[Tipologia_Testes]],Auxiliar!$B$5:$B$13,0),MATCH(Table1[[#This Row],[Complexidade]],Auxiliar!$D$4:$F$4,0))</f>
        <v>0.1</v>
      </c>
      <c r="P222" s="3"/>
      <c r="Q222" s="3" t="s">
        <v>1170</v>
      </c>
      <c r="R222" s="173">
        <v>45261</v>
      </c>
      <c r="S222" s="173"/>
      <c r="T222" s="173"/>
      <c r="U222" s="173"/>
      <c r="V222" s="173"/>
      <c r="W222" s="3">
        <f>VLOOKUP(Table1[[#This Row],[Status]],Auxiliar!$B$16:$D$23,3,0)*Table1[[#This Row],[Estimação (horas)]]</f>
        <v>0.1</v>
      </c>
      <c r="X222" s="3"/>
    </row>
    <row r="223" spans="2:24" ht="17.399999999999999" hidden="1" customHeight="1">
      <c r="B223" s="3" t="s">
        <v>28</v>
      </c>
      <c r="C223" s="3" t="s">
        <v>54</v>
      </c>
      <c r="D223" s="3" t="s">
        <v>93</v>
      </c>
      <c r="E223" s="3" t="s">
        <v>38</v>
      </c>
      <c r="F223" s="3" t="s">
        <v>92</v>
      </c>
      <c r="G223" s="3" t="s">
        <v>107</v>
      </c>
      <c r="H223" s="63" t="str">
        <f>Table1[[#This Row],[Tabela]]&amp;Table1[[#This Row],[Campo]]</f>
        <v>cd_imv_out_bensdata_lic_util</v>
      </c>
      <c r="I223" s="4" t="s">
        <v>477</v>
      </c>
      <c r="J223" s="45">
        <f>VLOOKUP(Table1[[#This Row],[Status]],Auxiliar!$B$16:$C$23,2,0)</f>
        <v>1</v>
      </c>
      <c r="K223" s="3" t="s">
        <v>1137</v>
      </c>
      <c r="L223" s="3" t="s">
        <v>1144</v>
      </c>
      <c r="M223" s="22" t="s">
        <v>1145</v>
      </c>
      <c r="N223" s="53">
        <v>45490</v>
      </c>
      <c r="O223" s="22">
        <f>INDEX(Auxiliar!$D$5:$F$13,MATCH(Table1[[#This Row],[Tipologia_Testes]],Auxiliar!$B$5:$B$13,0),MATCH(Table1[[#This Row],[Complexidade]],Auxiliar!$D$4:$F$4,0))</f>
        <v>2</v>
      </c>
      <c r="P223" s="3"/>
      <c r="Q223" s="3" t="s">
        <v>1170</v>
      </c>
      <c r="R223" s="173">
        <v>45261</v>
      </c>
      <c r="S223" s="173"/>
      <c r="T223" s="173"/>
      <c r="U223" s="173"/>
      <c r="V223" s="173"/>
      <c r="W223" s="3">
        <f>VLOOKUP(Table1[[#This Row],[Status]],Auxiliar!$B$16:$D$23,3,0)*Table1[[#This Row],[Estimação (horas)]]</f>
        <v>2</v>
      </c>
      <c r="X223" s="3"/>
    </row>
    <row r="224" spans="2:24" ht="17.399999999999999" hidden="1" customHeight="1">
      <c r="B224" s="3" t="s">
        <v>28</v>
      </c>
      <c r="C224" s="3" t="s">
        <v>54</v>
      </c>
      <c r="D224" s="3" t="s">
        <v>93</v>
      </c>
      <c r="E224" s="3" t="s">
        <v>38</v>
      </c>
      <c r="F224" s="3" t="s">
        <v>92</v>
      </c>
      <c r="G224" s="3" t="s">
        <v>107</v>
      </c>
      <c r="H224" s="63" t="str">
        <f>Table1[[#This Row],[Tabela]]&amp;Table1[[#This Row],[Campo]]</f>
        <v>cd_imv_out_bensdata_lic_util</v>
      </c>
      <c r="I224" s="4" t="s">
        <v>477</v>
      </c>
      <c r="J224" s="45">
        <f>VLOOKUP(Table1[[#This Row],[Status]],Auxiliar!$B$16:$C$23,2,0)</f>
        <v>1</v>
      </c>
      <c r="K224" s="3" t="s">
        <v>1138</v>
      </c>
      <c r="L224" s="3" t="s">
        <v>1144</v>
      </c>
      <c r="M224" s="22" t="s">
        <v>1145</v>
      </c>
      <c r="N224" s="53">
        <v>45490</v>
      </c>
      <c r="O224" s="22">
        <f>INDEX(Auxiliar!$D$5:$F$13,MATCH(Table1[[#This Row],[Tipologia_Testes]],Auxiliar!$B$5:$B$13,0),MATCH(Table1[[#This Row],[Complexidade]],Auxiliar!$D$4:$F$4,0))</f>
        <v>2</v>
      </c>
      <c r="P224" s="3"/>
      <c r="Q224" s="3" t="s">
        <v>1170</v>
      </c>
      <c r="R224" s="173">
        <v>45261</v>
      </c>
      <c r="S224" s="173"/>
      <c r="T224" s="173"/>
      <c r="U224" s="173"/>
      <c r="V224" s="173"/>
      <c r="W224" s="3">
        <f>VLOOKUP(Table1[[#This Row],[Status]],Auxiliar!$B$16:$D$23,3,0)*Table1[[#This Row],[Estimação (horas)]]</f>
        <v>2</v>
      </c>
      <c r="X224" s="3"/>
    </row>
    <row r="225" spans="2:24" ht="17.399999999999999" hidden="1" customHeight="1">
      <c r="B225" s="3" t="s">
        <v>28</v>
      </c>
      <c r="C225" s="3" t="s">
        <v>54</v>
      </c>
      <c r="D225" s="3" t="s">
        <v>93</v>
      </c>
      <c r="E225" s="3" t="s">
        <v>38</v>
      </c>
      <c r="F225" s="3" t="s">
        <v>92</v>
      </c>
      <c r="G225" s="3" t="s">
        <v>107</v>
      </c>
      <c r="H225" s="63" t="str">
        <f>Table1[[#This Row],[Tabela]]&amp;Table1[[#This Row],[Campo]]</f>
        <v>cd_imv_out_bensdata_lic_util</v>
      </c>
      <c r="I225" s="4" t="s">
        <v>477</v>
      </c>
      <c r="J225" s="45">
        <f>VLOOKUP(Table1[[#This Row],[Status]],Auxiliar!$B$16:$C$23,2,0)</f>
        <v>1</v>
      </c>
      <c r="K225" s="3" t="s">
        <v>1141</v>
      </c>
      <c r="L225" s="3" t="s">
        <v>1144</v>
      </c>
      <c r="M225" s="22" t="s">
        <v>1145</v>
      </c>
      <c r="N225" s="53">
        <v>45490</v>
      </c>
      <c r="O225" s="22">
        <f>INDEX(Auxiliar!$D$5:$F$13,MATCH(Table1[[#This Row],[Tipologia_Testes]],Auxiliar!$B$5:$B$13,0),MATCH(Table1[[#This Row],[Complexidade]],Auxiliar!$D$4:$F$4,0))</f>
        <v>0.1</v>
      </c>
      <c r="P225" s="3"/>
      <c r="Q225" s="3" t="s">
        <v>1170</v>
      </c>
      <c r="R225" s="173">
        <v>45261</v>
      </c>
      <c r="S225" s="173"/>
      <c r="T225" s="173"/>
      <c r="U225" s="173"/>
      <c r="V225" s="173"/>
      <c r="W225" s="3">
        <f>VLOOKUP(Table1[[#This Row],[Status]],Auxiliar!$B$16:$D$23,3,0)*Table1[[#This Row],[Estimação (horas)]]</f>
        <v>0.1</v>
      </c>
      <c r="X225" s="3"/>
    </row>
    <row r="226" spans="2:24" ht="17.399999999999999" hidden="1" customHeight="1">
      <c r="B226" s="3" t="s">
        <v>28</v>
      </c>
      <c r="C226" s="3" t="s">
        <v>54</v>
      </c>
      <c r="D226" s="3" t="s">
        <v>93</v>
      </c>
      <c r="E226" s="3" t="s">
        <v>38</v>
      </c>
      <c r="F226" s="3" t="s">
        <v>92</v>
      </c>
      <c r="G226" s="3" t="s">
        <v>108</v>
      </c>
      <c r="H226" s="63" t="str">
        <f>Table1[[#This Row],[Tabela]]&amp;Table1[[#This Row],[Campo]]</f>
        <v>cd_imv_out_bensficha</v>
      </c>
      <c r="I226" s="4" t="s">
        <v>477</v>
      </c>
      <c r="J226" s="60">
        <f>VLOOKUP(Table1[[#This Row],[Status]],Auxiliar!$B$16:$C$23,2,0)</f>
        <v>1</v>
      </c>
      <c r="K226" s="3" t="s">
        <v>1137</v>
      </c>
      <c r="L226" s="3" t="s">
        <v>1144</v>
      </c>
      <c r="M226" s="22" t="s">
        <v>1145</v>
      </c>
      <c r="N226" s="53">
        <v>45485</v>
      </c>
      <c r="O226" s="22">
        <f>INDEX(Auxiliar!$D$5:$F$13,MATCH(Table1[[#This Row],[Tipologia_Testes]],Auxiliar!$B$5:$B$13,0),MATCH(Table1[[#This Row],[Complexidade]],Auxiliar!$D$4:$F$4,0))</f>
        <v>2</v>
      </c>
      <c r="P226" s="3"/>
      <c r="Q226" s="3" t="s">
        <v>1170</v>
      </c>
      <c r="R226" s="173">
        <v>45261</v>
      </c>
      <c r="S226" s="173"/>
      <c r="T226" s="173"/>
      <c r="U226" s="173"/>
      <c r="V226" s="173"/>
      <c r="W226" s="3">
        <f>VLOOKUP(Table1[[#This Row],[Status]],Auxiliar!$B$16:$D$23,3,0)*Table1[[#This Row],[Estimação (horas)]]</f>
        <v>2</v>
      </c>
      <c r="X226" s="3"/>
    </row>
    <row r="227" spans="2:24" ht="17.399999999999999" hidden="1" customHeight="1">
      <c r="B227" s="3" t="s">
        <v>28</v>
      </c>
      <c r="C227" s="3" t="s">
        <v>54</v>
      </c>
      <c r="D227" s="3" t="s">
        <v>93</v>
      </c>
      <c r="E227" s="3" t="s">
        <v>38</v>
      </c>
      <c r="F227" s="3" t="s">
        <v>92</v>
      </c>
      <c r="G227" s="3" t="s">
        <v>108</v>
      </c>
      <c r="H227" s="63" t="str">
        <f>Table1[[#This Row],[Tabela]]&amp;Table1[[#This Row],[Campo]]</f>
        <v>cd_imv_out_bensficha</v>
      </c>
      <c r="I227" s="4" t="s">
        <v>477</v>
      </c>
      <c r="J227" s="60">
        <f>VLOOKUP(Table1[[#This Row],[Status]],Auxiliar!$B$16:$C$23,2,0)</f>
        <v>1</v>
      </c>
      <c r="K227" s="3" t="s">
        <v>1138</v>
      </c>
      <c r="L227" s="3" t="s">
        <v>1144</v>
      </c>
      <c r="M227" s="22" t="s">
        <v>1145</v>
      </c>
      <c r="N227" s="53">
        <v>45485</v>
      </c>
      <c r="O227" s="22">
        <f>INDEX(Auxiliar!$D$5:$F$13,MATCH(Table1[[#This Row],[Tipologia_Testes]],Auxiliar!$B$5:$B$13,0),MATCH(Table1[[#This Row],[Complexidade]],Auxiliar!$D$4:$F$4,0))</f>
        <v>2</v>
      </c>
      <c r="P227" s="3"/>
      <c r="Q227" s="3" t="s">
        <v>1170</v>
      </c>
      <c r="R227" s="173">
        <v>45261</v>
      </c>
      <c r="S227" s="173"/>
      <c r="T227" s="173"/>
      <c r="U227" s="173"/>
      <c r="V227" s="173"/>
      <c r="W227" s="3">
        <f>VLOOKUP(Table1[[#This Row],[Status]],Auxiliar!$B$16:$D$23,3,0)*Table1[[#This Row],[Estimação (horas)]]</f>
        <v>2</v>
      </c>
      <c r="X227" s="3"/>
    </row>
    <row r="228" spans="2:24" ht="17.399999999999999" hidden="1" customHeight="1">
      <c r="B228" s="3" t="s">
        <v>28</v>
      </c>
      <c r="C228" s="3" t="s">
        <v>54</v>
      </c>
      <c r="D228" s="3" t="s">
        <v>93</v>
      </c>
      <c r="E228" s="3" t="s">
        <v>38</v>
      </c>
      <c r="F228" s="3" t="s">
        <v>92</v>
      </c>
      <c r="G228" s="3" t="s">
        <v>108</v>
      </c>
      <c r="H228" s="63" t="str">
        <f>Table1[[#This Row],[Tabela]]&amp;Table1[[#This Row],[Campo]]</f>
        <v>cd_imv_out_bensficha</v>
      </c>
      <c r="I228" s="4" t="s">
        <v>477</v>
      </c>
      <c r="J228" s="60">
        <f>VLOOKUP(Table1[[#This Row],[Status]],Auxiliar!$B$16:$C$23,2,0)</f>
        <v>1</v>
      </c>
      <c r="K228" s="3" t="s">
        <v>1141</v>
      </c>
      <c r="L228" s="3" t="s">
        <v>1144</v>
      </c>
      <c r="M228" s="22" t="s">
        <v>1145</v>
      </c>
      <c r="N228" s="53">
        <v>45485</v>
      </c>
      <c r="O228" s="22">
        <f>INDEX(Auxiliar!$D$5:$F$13,MATCH(Table1[[#This Row],[Tipologia_Testes]],Auxiliar!$B$5:$B$13,0),MATCH(Table1[[#This Row],[Complexidade]],Auxiliar!$D$4:$F$4,0))</f>
        <v>0.1</v>
      </c>
      <c r="P228" s="3"/>
      <c r="Q228" s="3" t="s">
        <v>1170</v>
      </c>
      <c r="R228" s="173">
        <v>45261</v>
      </c>
      <c r="S228" s="173"/>
      <c r="T228" s="173"/>
      <c r="U228" s="173"/>
      <c r="V228" s="173"/>
      <c r="W228" s="3">
        <f>VLOOKUP(Table1[[#This Row],[Status]],Auxiliar!$B$16:$D$23,3,0)*Table1[[#This Row],[Estimação (horas)]]</f>
        <v>0.1</v>
      </c>
      <c r="X228" s="3"/>
    </row>
    <row r="229" spans="2:24" ht="17.399999999999999" hidden="1" customHeight="1">
      <c r="B229" s="3" t="s">
        <v>28</v>
      </c>
      <c r="C229" s="3" t="s">
        <v>54</v>
      </c>
      <c r="D229" s="3" t="s">
        <v>93</v>
      </c>
      <c r="E229" s="3" t="s">
        <v>38</v>
      </c>
      <c r="F229" s="3" t="s">
        <v>92</v>
      </c>
      <c r="G229" s="3" t="s">
        <v>109</v>
      </c>
      <c r="H229" s="63" t="str">
        <f>Table1[[#This Row],[Tabela]]&amp;Table1[[#This Row],[Campo]]</f>
        <v>cd_imv_out_bensid_frac</v>
      </c>
      <c r="I229" s="4" t="s">
        <v>477</v>
      </c>
      <c r="J229" s="45">
        <f>VLOOKUP(Table1[[#This Row],[Status]],Auxiliar!$B$16:$C$23,2,0)</f>
        <v>1</v>
      </c>
      <c r="K229" s="3" t="s">
        <v>1137</v>
      </c>
      <c r="L229" s="3" t="s">
        <v>1144</v>
      </c>
      <c r="M229" s="22" t="s">
        <v>1145</v>
      </c>
      <c r="N229" s="53">
        <v>45490</v>
      </c>
      <c r="O229" s="22">
        <f>INDEX(Auxiliar!$D$5:$F$13,MATCH(Table1[[#This Row],[Tipologia_Testes]],Auxiliar!$B$5:$B$13,0),MATCH(Table1[[#This Row],[Complexidade]],Auxiliar!$D$4:$F$4,0))</f>
        <v>2</v>
      </c>
      <c r="P229" s="3"/>
      <c r="Q229" s="3" t="s">
        <v>1170</v>
      </c>
      <c r="R229" s="173">
        <v>45261</v>
      </c>
      <c r="S229" s="173"/>
      <c r="T229" s="173"/>
      <c r="U229" s="173"/>
      <c r="V229" s="173"/>
      <c r="W229" s="3">
        <f>VLOOKUP(Table1[[#This Row],[Status]],Auxiliar!$B$16:$D$23,3,0)*Table1[[#This Row],[Estimação (horas)]]</f>
        <v>2</v>
      </c>
      <c r="X229" s="3"/>
    </row>
    <row r="230" spans="2:24" ht="17.399999999999999" hidden="1" customHeight="1">
      <c r="B230" s="3" t="s">
        <v>28</v>
      </c>
      <c r="C230" s="3" t="s">
        <v>54</v>
      </c>
      <c r="D230" s="3" t="s">
        <v>93</v>
      </c>
      <c r="E230" s="3" t="s">
        <v>38</v>
      </c>
      <c r="F230" s="3" t="s">
        <v>92</v>
      </c>
      <c r="G230" s="3" t="s">
        <v>109</v>
      </c>
      <c r="H230" s="63" t="str">
        <f>Table1[[#This Row],[Tabela]]&amp;Table1[[#This Row],[Campo]]</f>
        <v>cd_imv_out_bensid_frac</v>
      </c>
      <c r="I230" s="4" t="s">
        <v>477</v>
      </c>
      <c r="J230" s="45">
        <f>VLOOKUP(Table1[[#This Row],[Status]],Auxiliar!$B$16:$C$23,2,0)</f>
        <v>1</v>
      </c>
      <c r="K230" s="3" t="s">
        <v>1138</v>
      </c>
      <c r="L230" s="3" t="s">
        <v>1144</v>
      </c>
      <c r="M230" s="22" t="s">
        <v>1145</v>
      </c>
      <c r="N230" s="53">
        <v>45490</v>
      </c>
      <c r="O230" s="22">
        <f>INDEX(Auxiliar!$D$5:$F$13,MATCH(Table1[[#This Row],[Tipologia_Testes]],Auxiliar!$B$5:$B$13,0),MATCH(Table1[[#This Row],[Complexidade]],Auxiliar!$D$4:$F$4,0))</f>
        <v>2</v>
      </c>
      <c r="P230" s="3"/>
      <c r="Q230" s="3" t="s">
        <v>1170</v>
      </c>
      <c r="R230" s="173">
        <v>45261</v>
      </c>
      <c r="S230" s="173"/>
      <c r="T230" s="173"/>
      <c r="U230" s="173"/>
      <c r="V230" s="173"/>
      <c r="W230" s="3">
        <f>VLOOKUP(Table1[[#This Row],[Status]],Auxiliar!$B$16:$D$23,3,0)*Table1[[#This Row],[Estimação (horas)]]</f>
        <v>2</v>
      </c>
      <c r="X230" s="3"/>
    </row>
    <row r="231" spans="2:24" ht="17.399999999999999" hidden="1" customHeight="1">
      <c r="B231" s="3" t="s">
        <v>28</v>
      </c>
      <c r="C231" s="3" t="s">
        <v>54</v>
      </c>
      <c r="D231" s="3" t="s">
        <v>93</v>
      </c>
      <c r="E231" s="3" t="s">
        <v>38</v>
      </c>
      <c r="F231" s="3" t="s">
        <v>92</v>
      </c>
      <c r="G231" s="3" t="s">
        <v>109</v>
      </c>
      <c r="H231" s="63" t="str">
        <f>Table1[[#This Row],[Tabela]]&amp;Table1[[#This Row],[Campo]]</f>
        <v>cd_imv_out_bensid_frac</v>
      </c>
      <c r="I231" s="4" t="s">
        <v>477</v>
      </c>
      <c r="J231" s="45">
        <f>VLOOKUP(Table1[[#This Row],[Status]],Auxiliar!$B$16:$C$23,2,0)</f>
        <v>1</v>
      </c>
      <c r="K231" s="3" t="s">
        <v>1141</v>
      </c>
      <c r="L231" s="3" t="s">
        <v>1144</v>
      </c>
      <c r="M231" s="22" t="s">
        <v>1145</v>
      </c>
      <c r="N231" s="53">
        <v>45490</v>
      </c>
      <c r="O231" s="22">
        <f>INDEX(Auxiliar!$D$5:$F$13,MATCH(Table1[[#This Row],[Tipologia_Testes]],Auxiliar!$B$5:$B$13,0),MATCH(Table1[[#This Row],[Complexidade]],Auxiliar!$D$4:$F$4,0))</f>
        <v>0.1</v>
      </c>
      <c r="P231" s="3"/>
      <c r="Q231" s="3" t="s">
        <v>1170</v>
      </c>
      <c r="R231" s="173">
        <v>45261</v>
      </c>
      <c r="S231" s="173"/>
      <c r="T231" s="173"/>
      <c r="U231" s="173"/>
      <c r="V231" s="173"/>
      <c r="W231" s="3">
        <f>VLOOKUP(Table1[[#This Row],[Status]],Auxiliar!$B$16:$D$23,3,0)*Table1[[#This Row],[Estimação (horas)]]</f>
        <v>0.1</v>
      </c>
      <c r="X231" s="3"/>
    </row>
    <row r="232" spans="2:24" ht="17.399999999999999" hidden="1" customHeight="1">
      <c r="B232" s="3" t="s">
        <v>28</v>
      </c>
      <c r="C232" s="3" t="s">
        <v>54</v>
      </c>
      <c r="D232" s="3" t="s">
        <v>93</v>
      </c>
      <c r="E232" s="3" t="s">
        <v>38</v>
      </c>
      <c r="F232" s="3" t="s">
        <v>92</v>
      </c>
      <c r="G232" s="3" t="s">
        <v>110</v>
      </c>
      <c r="H232" s="63" t="str">
        <f>Table1[[#This Row],[Tabela]]&amp;Table1[[#This Row],[Campo]]</f>
        <v>cd_imv_out_benslocalid</v>
      </c>
      <c r="I232" s="4" t="s">
        <v>477</v>
      </c>
      <c r="J232" s="45">
        <f>VLOOKUP(Table1[[#This Row],[Status]],Auxiliar!$B$16:$C$23,2,0)</f>
        <v>1</v>
      </c>
      <c r="K232" s="3" t="s">
        <v>1137</v>
      </c>
      <c r="L232" s="3" t="s">
        <v>1144</v>
      </c>
      <c r="M232" s="22" t="s">
        <v>1145</v>
      </c>
      <c r="N232" s="53">
        <v>45490</v>
      </c>
      <c r="O232" s="22">
        <f>INDEX(Auxiliar!$D$5:$F$13,MATCH(Table1[[#This Row],[Tipologia_Testes]],Auxiliar!$B$5:$B$13,0),MATCH(Table1[[#This Row],[Complexidade]],Auxiliar!$D$4:$F$4,0))</f>
        <v>2</v>
      </c>
      <c r="P232" s="3"/>
      <c r="Q232" s="3" t="s">
        <v>1170</v>
      </c>
      <c r="R232" s="173">
        <v>45261</v>
      </c>
      <c r="S232" s="173"/>
      <c r="T232" s="173"/>
      <c r="U232" s="173"/>
      <c r="V232" s="173"/>
      <c r="W232" s="3">
        <f>VLOOKUP(Table1[[#This Row],[Status]],Auxiliar!$B$16:$D$23,3,0)*Table1[[#This Row],[Estimação (horas)]]</f>
        <v>2</v>
      </c>
      <c r="X232" s="3"/>
    </row>
    <row r="233" spans="2:24" ht="17.399999999999999" hidden="1" customHeight="1">
      <c r="B233" s="3" t="s">
        <v>28</v>
      </c>
      <c r="C233" s="3" t="s">
        <v>54</v>
      </c>
      <c r="D233" s="3" t="s">
        <v>93</v>
      </c>
      <c r="E233" s="3" t="s">
        <v>38</v>
      </c>
      <c r="F233" s="3" t="s">
        <v>92</v>
      </c>
      <c r="G233" s="3" t="s">
        <v>110</v>
      </c>
      <c r="H233" s="63" t="str">
        <f>Table1[[#This Row],[Tabela]]&amp;Table1[[#This Row],[Campo]]</f>
        <v>cd_imv_out_benslocalid</v>
      </c>
      <c r="I233" s="4" t="s">
        <v>477</v>
      </c>
      <c r="J233" s="45">
        <f>VLOOKUP(Table1[[#This Row],[Status]],Auxiliar!$B$16:$C$23,2,0)</f>
        <v>1</v>
      </c>
      <c r="K233" s="3" t="s">
        <v>1138</v>
      </c>
      <c r="L233" s="3" t="s">
        <v>1144</v>
      </c>
      <c r="M233" s="22" t="s">
        <v>1145</v>
      </c>
      <c r="N233" s="53">
        <v>45490</v>
      </c>
      <c r="O233" s="22">
        <f>INDEX(Auxiliar!$D$5:$F$13,MATCH(Table1[[#This Row],[Tipologia_Testes]],Auxiliar!$B$5:$B$13,0),MATCH(Table1[[#This Row],[Complexidade]],Auxiliar!$D$4:$F$4,0))</f>
        <v>2</v>
      </c>
      <c r="P233" s="3"/>
      <c r="Q233" s="3" t="s">
        <v>1170</v>
      </c>
      <c r="R233" s="173">
        <v>45261</v>
      </c>
      <c r="S233" s="173"/>
      <c r="T233" s="173"/>
      <c r="U233" s="173"/>
      <c r="V233" s="173"/>
      <c r="W233" s="3">
        <f>VLOOKUP(Table1[[#This Row],[Status]],Auxiliar!$B$16:$D$23,3,0)*Table1[[#This Row],[Estimação (horas)]]</f>
        <v>2</v>
      </c>
      <c r="X233" s="3"/>
    </row>
    <row r="234" spans="2:24" ht="17.399999999999999" hidden="1" customHeight="1">
      <c r="B234" s="3" t="s">
        <v>28</v>
      </c>
      <c r="C234" s="3" t="s">
        <v>54</v>
      </c>
      <c r="D234" s="3" t="s">
        <v>93</v>
      </c>
      <c r="E234" s="3" t="s">
        <v>38</v>
      </c>
      <c r="F234" s="3" t="s">
        <v>92</v>
      </c>
      <c r="G234" s="3" t="s">
        <v>110</v>
      </c>
      <c r="H234" s="63" t="str">
        <f>Table1[[#This Row],[Tabela]]&amp;Table1[[#This Row],[Campo]]</f>
        <v>cd_imv_out_benslocalid</v>
      </c>
      <c r="I234" s="4" t="s">
        <v>477</v>
      </c>
      <c r="J234" s="45">
        <f>VLOOKUP(Table1[[#This Row],[Status]],Auxiliar!$B$16:$C$23,2,0)</f>
        <v>1</v>
      </c>
      <c r="K234" s="3" t="s">
        <v>1141</v>
      </c>
      <c r="L234" s="3" t="s">
        <v>1144</v>
      </c>
      <c r="M234" s="22" t="s">
        <v>1145</v>
      </c>
      <c r="N234" s="53">
        <v>45490</v>
      </c>
      <c r="O234" s="22">
        <f>INDEX(Auxiliar!$D$5:$F$13,MATCH(Table1[[#This Row],[Tipologia_Testes]],Auxiliar!$B$5:$B$13,0),MATCH(Table1[[#This Row],[Complexidade]],Auxiliar!$D$4:$F$4,0))</f>
        <v>0.1</v>
      </c>
      <c r="P234" s="3"/>
      <c r="Q234" s="3" t="s">
        <v>1170</v>
      </c>
      <c r="R234" s="173">
        <v>45261</v>
      </c>
      <c r="S234" s="173"/>
      <c r="T234" s="173"/>
      <c r="U234" s="173"/>
      <c r="V234" s="173"/>
      <c r="W234" s="3">
        <f>VLOOKUP(Table1[[#This Row],[Status]],Auxiliar!$B$16:$D$23,3,0)*Table1[[#This Row],[Estimação (horas)]]</f>
        <v>0.1</v>
      </c>
      <c r="X234" s="3"/>
    </row>
    <row r="235" spans="2:24" ht="17.399999999999999" hidden="1" customHeight="1">
      <c r="B235" s="3" t="s">
        <v>28</v>
      </c>
      <c r="C235" s="3" t="s">
        <v>54</v>
      </c>
      <c r="D235" s="3" t="s">
        <v>93</v>
      </c>
      <c r="E235" s="3" t="s">
        <v>38</v>
      </c>
      <c r="F235" s="3" t="s">
        <v>92</v>
      </c>
      <c r="G235" s="3" t="s">
        <v>111</v>
      </c>
      <c r="H235" s="63" t="str">
        <f>Table1[[#This Row],[Tabela]]&amp;Table1[[#This Row],[Campo]]</f>
        <v>cd_imv_out_benslote</v>
      </c>
      <c r="I235" s="4" t="s">
        <v>477</v>
      </c>
      <c r="J235" s="45">
        <f>VLOOKUP(Table1[[#This Row],[Status]],Auxiliar!$B$16:$C$23,2,0)</f>
        <v>1</v>
      </c>
      <c r="K235" s="3" t="s">
        <v>1137</v>
      </c>
      <c r="L235" s="3" t="s">
        <v>1144</v>
      </c>
      <c r="M235" s="22" t="s">
        <v>1145</v>
      </c>
      <c r="N235" s="53">
        <v>45490</v>
      </c>
      <c r="O235" s="22">
        <f>INDEX(Auxiliar!$D$5:$F$13,MATCH(Table1[[#This Row],[Tipologia_Testes]],Auxiliar!$B$5:$B$13,0),MATCH(Table1[[#This Row],[Complexidade]],Auxiliar!$D$4:$F$4,0))</f>
        <v>2</v>
      </c>
      <c r="P235" s="3"/>
      <c r="Q235" s="3" t="s">
        <v>1170</v>
      </c>
      <c r="R235" s="173">
        <v>45261</v>
      </c>
      <c r="S235" s="173"/>
      <c r="T235" s="173"/>
      <c r="U235" s="173"/>
      <c r="V235" s="173"/>
      <c r="W235" s="3">
        <f>VLOOKUP(Table1[[#This Row],[Status]],Auxiliar!$B$16:$D$23,3,0)*Table1[[#This Row],[Estimação (horas)]]</f>
        <v>2</v>
      </c>
      <c r="X235" s="3"/>
    </row>
    <row r="236" spans="2:24" ht="17.399999999999999" hidden="1" customHeight="1">
      <c r="B236" s="3" t="s">
        <v>28</v>
      </c>
      <c r="C236" s="3" t="s">
        <v>54</v>
      </c>
      <c r="D236" s="3" t="s">
        <v>93</v>
      </c>
      <c r="E236" s="3" t="s">
        <v>38</v>
      </c>
      <c r="F236" s="3" t="s">
        <v>92</v>
      </c>
      <c r="G236" s="3" t="s">
        <v>111</v>
      </c>
      <c r="H236" s="63" t="str">
        <f>Table1[[#This Row],[Tabela]]&amp;Table1[[#This Row],[Campo]]</f>
        <v>cd_imv_out_benslote</v>
      </c>
      <c r="I236" s="4" t="s">
        <v>477</v>
      </c>
      <c r="J236" s="45">
        <f>VLOOKUP(Table1[[#This Row],[Status]],Auxiliar!$B$16:$C$23,2,0)</f>
        <v>1</v>
      </c>
      <c r="K236" s="3" t="s">
        <v>1138</v>
      </c>
      <c r="L236" s="3" t="s">
        <v>1144</v>
      </c>
      <c r="M236" s="22" t="s">
        <v>1145</v>
      </c>
      <c r="N236" s="53">
        <v>45490</v>
      </c>
      <c r="O236" s="22">
        <f>INDEX(Auxiliar!$D$5:$F$13,MATCH(Table1[[#This Row],[Tipologia_Testes]],Auxiliar!$B$5:$B$13,0),MATCH(Table1[[#This Row],[Complexidade]],Auxiliar!$D$4:$F$4,0))</f>
        <v>2</v>
      </c>
      <c r="P236" s="3"/>
      <c r="Q236" s="3" t="s">
        <v>1170</v>
      </c>
      <c r="R236" s="173">
        <v>45261</v>
      </c>
      <c r="S236" s="173"/>
      <c r="T236" s="173"/>
      <c r="U236" s="173"/>
      <c r="V236" s="173"/>
      <c r="W236" s="3">
        <f>VLOOKUP(Table1[[#This Row],[Status]],Auxiliar!$B$16:$D$23,3,0)*Table1[[#This Row],[Estimação (horas)]]</f>
        <v>2</v>
      </c>
      <c r="X236" s="3"/>
    </row>
    <row r="237" spans="2:24" ht="17.399999999999999" hidden="1" customHeight="1">
      <c r="B237" s="3" t="s">
        <v>28</v>
      </c>
      <c r="C237" s="3" t="s">
        <v>54</v>
      </c>
      <c r="D237" s="3" t="s">
        <v>93</v>
      </c>
      <c r="E237" s="3" t="s">
        <v>38</v>
      </c>
      <c r="F237" s="3" t="s">
        <v>92</v>
      </c>
      <c r="G237" s="3" t="s">
        <v>111</v>
      </c>
      <c r="H237" s="63" t="str">
        <f>Table1[[#This Row],[Tabela]]&amp;Table1[[#This Row],[Campo]]</f>
        <v>cd_imv_out_benslote</v>
      </c>
      <c r="I237" s="4" t="s">
        <v>477</v>
      </c>
      <c r="J237" s="45">
        <f>VLOOKUP(Table1[[#This Row],[Status]],Auxiliar!$B$16:$C$23,2,0)</f>
        <v>1</v>
      </c>
      <c r="K237" s="3" t="s">
        <v>1141</v>
      </c>
      <c r="L237" s="3" t="s">
        <v>1144</v>
      </c>
      <c r="M237" s="22" t="s">
        <v>1145</v>
      </c>
      <c r="N237" s="53">
        <v>45490</v>
      </c>
      <c r="O237" s="22">
        <f>INDEX(Auxiliar!$D$5:$F$13,MATCH(Table1[[#This Row],[Tipologia_Testes]],Auxiliar!$B$5:$B$13,0),MATCH(Table1[[#This Row],[Complexidade]],Auxiliar!$D$4:$F$4,0))</f>
        <v>0.1</v>
      </c>
      <c r="P237" s="3"/>
      <c r="Q237" s="3" t="s">
        <v>1170</v>
      </c>
      <c r="R237" s="173">
        <v>45261</v>
      </c>
      <c r="S237" s="173"/>
      <c r="T237" s="173"/>
      <c r="U237" s="173"/>
      <c r="V237" s="173"/>
      <c r="W237" s="3">
        <f>VLOOKUP(Table1[[#This Row],[Status]],Auxiliar!$B$16:$D$23,3,0)*Table1[[#This Row],[Estimação (horas)]]</f>
        <v>0.1</v>
      </c>
      <c r="X237" s="3"/>
    </row>
    <row r="238" spans="2:24" ht="17.399999999999999" hidden="1" customHeight="1">
      <c r="B238" s="3" t="s">
        <v>28</v>
      </c>
      <c r="C238" s="3" t="s">
        <v>54</v>
      </c>
      <c r="D238" s="3" t="s">
        <v>93</v>
      </c>
      <c r="E238" s="3" t="s">
        <v>38</v>
      </c>
      <c r="F238" s="3" t="s">
        <v>92</v>
      </c>
      <c r="G238" s="3" t="s">
        <v>112</v>
      </c>
      <c r="H238" s="63" t="str">
        <f>Table1[[#This Row],[Tabela]]&amp;Table1[[#This Row],[Campo]]</f>
        <v>cd_imv_out_bensmontante_avl</v>
      </c>
      <c r="I238" s="4" t="s">
        <v>477</v>
      </c>
      <c r="J238" s="60">
        <f>VLOOKUP(Table1[[#This Row],[Status]],Auxiliar!$B$16:$C$23,2,0)</f>
        <v>1</v>
      </c>
      <c r="K238" s="3" t="s">
        <v>1137</v>
      </c>
      <c r="L238" s="3" t="s">
        <v>1144</v>
      </c>
      <c r="M238" s="22" t="s">
        <v>1145</v>
      </c>
      <c r="N238" s="53">
        <v>45485</v>
      </c>
      <c r="O238" s="22">
        <f>INDEX(Auxiliar!$D$5:$F$13,MATCH(Table1[[#This Row],[Tipologia_Testes]],Auxiliar!$B$5:$B$13,0),MATCH(Table1[[#This Row],[Complexidade]],Auxiliar!$D$4:$F$4,0))</f>
        <v>2</v>
      </c>
      <c r="P238" s="3"/>
      <c r="Q238" s="3" t="s">
        <v>1170</v>
      </c>
      <c r="R238" s="173">
        <v>45261</v>
      </c>
      <c r="S238" s="173"/>
      <c r="T238" s="173"/>
      <c r="U238" s="173"/>
      <c r="V238" s="173"/>
      <c r="W238" s="3">
        <f>VLOOKUP(Table1[[#This Row],[Status]],Auxiliar!$B$16:$D$23,3,0)*Table1[[#This Row],[Estimação (horas)]]</f>
        <v>2</v>
      </c>
      <c r="X238" s="3"/>
    </row>
    <row r="239" spans="2:24" ht="17.399999999999999" hidden="1" customHeight="1">
      <c r="B239" s="3" t="s">
        <v>28</v>
      </c>
      <c r="C239" s="3" t="s">
        <v>54</v>
      </c>
      <c r="D239" s="3" t="s">
        <v>93</v>
      </c>
      <c r="E239" s="3" t="s">
        <v>38</v>
      </c>
      <c r="F239" s="3" t="s">
        <v>92</v>
      </c>
      <c r="G239" s="3" t="s">
        <v>112</v>
      </c>
      <c r="H239" s="63" t="str">
        <f>Table1[[#This Row],[Tabela]]&amp;Table1[[#This Row],[Campo]]</f>
        <v>cd_imv_out_bensmontante_avl</v>
      </c>
      <c r="I239" s="4" t="s">
        <v>477</v>
      </c>
      <c r="J239" s="60">
        <f>VLOOKUP(Table1[[#This Row],[Status]],Auxiliar!$B$16:$C$23,2,0)</f>
        <v>1</v>
      </c>
      <c r="K239" s="3" t="s">
        <v>1138</v>
      </c>
      <c r="L239" s="3" t="s">
        <v>1144</v>
      </c>
      <c r="M239" s="22" t="s">
        <v>1145</v>
      </c>
      <c r="N239" s="53">
        <v>45485</v>
      </c>
      <c r="O239" s="22">
        <f>INDEX(Auxiliar!$D$5:$F$13,MATCH(Table1[[#This Row],[Tipologia_Testes]],Auxiliar!$B$5:$B$13,0),MATCH(Table1[[#This Row],[Complexidade]],Auxiliar!$D$4:$F$4,0))</f>
        <v>2</v>
      </c>
      <c r="P239" s="3"/>
      <c r="Q239" s="3" t="s">
        <v>1170</v>
      </c>
      <c r="R239" s="173">
        <v>45261</v>
      </c>
      <c r="S239" s="173"/>
      <c r="T239" s="173"/>
      <c r="U239" s="173"/>
      <c r="V239" s="173"/>
      <c r="W239" s="3">
        <f>VLOOKUP(Table1[[#This Row],[Status]],Auxiliar!$B$16:$D$23,3,0)*Table1[[#This Row],[Estimação (horas)]]</f>
        <v>2</v>
      </c>
      <c r="X239" s="3"/>
    </row>
    <row r="240" spans="2:24" ht="17.399999999999999" hidden="1" customHeight="1">
      <c r="B240" s="3" t="s">
        <v>28</v>
      </c>
      <c r="C240" s="3" t="s">
        <v>54</v>
      </c>
      <c r="D240" s="3" t="s">
        <v>93</v>
      </c>
      <c r="E240" s="3" t="s">
        <v>38</v>
      </c>
      <c r="F240" s="3" t="s">
        <v>92</v>
      </c>
      <c r="G240" s="3" t="s">
        <v>112</v>
      </c>
      <c r="H240" s="63" t="str">
        <f>Table1[[#This Row],[Tabela]]&amp;Table1[[#This Row],[Campo]]</f>
        <v>cd_imv_out_bensmontante_avl</v>
      </c>
      <c r="I240" s="4" t="s">
        <v>477</v>
      </c>
      <c r="J240" s="60">
        <f>VLOOKUP(Table1[[#This Row],[Status]],Auxiliar!$B$16:$C$23,2,0)</f>
        <v>1</v>
      </c>
      <c r="K240" s="3" t="s">
        <v>1141</v>
      </c>
      <c r="L240" s="3" t="s">
        <v>1144</v>
      </c>
      <c r="M240" s="22" t="s">
        <v>1145</v>
      </c>
      <c r="N240" s="53">
        <v>45485</v>
      </c>
      <c r="O240" s="22">
        <f>INDEX(Auxiliar!$D$5:$F$13,MATCH(Table1[[#This Row],[Tipologia_Testes]],Auxiliar!$B$5:$B$13,0),MATCH(Table1[[#This Row],[Complexidade]],Auxiliar!$D$4:$F$4,0))</f>
        <v>0.1</v>
      </c>
      <c r="P240" s="3"/>
      <c r="Q240" s="3" t="s">
        <v>1170</v>
      </c>
      <c r="R240" s="173">
        <v>45261</v>
      </c>
      <c r="S240" s="173"/>
      <c r="T240" s="173"/>
      <c r="U240" s="173"/>
      <c r="V240" s="173"/>
      <c r="W240" s="3">
        <f>VLOOKUP(Table1[[#This Row],[Status]],Auxiliar!$B$16:$D$23,3,0)*Table1[[#This Row],[Estimação (horas)]]</f>
        <v>0.1</v>
      </c>
      <c r="X240" s="3"/>
    </row>
    <row r="241" spans="2:24" ht="17.399999999999999" hidden="1" customHeight="1">
      <c r="B241" s="3" t="s">
        <v>28</v>
      </c>
      <c r="C241" s="3" t="s">
        <v>54</v>
      </c>
      <c r="D241" s="3" t="s">
        <v>93</v>
      </c>
      <c r="E241" s="3" t="s">
        <v>38</v>
      </c>
      <c r="F241" s="3" t="s">
        <v>92</v>
      </c>
      <c r="G241" s="3" t="s">
        <v>113</v>
      </c>
      <c r="H241" s="63" t="str">
        <f>Table1[[#This Row],[Tabela]]&amp;Table1[[#This Row],[Campo]]</f>
        <v>cd_imv_out_bensmontante_avl_dist</v>
      </c>
      <c r="I241" s="4" t="s">
        <v>477</v>
      </c>
      <c r="J241" s="60">
        <f>VLOOKUP(Table1[[#This Row],[Status]],Auxiliar!$B$16:$C$23,2,0)</f>
        <v>1</v>
      </c>
      <c r="K241" s="3" t="s">
        <v>1137</v>
      </c>
      <c r="L241" s="3" t="s">
        <v>1144</v>
      </c>
      <c r="M241" s="22" t="s">
        <v>1145</v>
      </c>
      <c r="N241" s="53">
        <v>45485</v>
      </c>
      <c r="O241" s="22">
        <f>INDEX(Auxiliar!$D$5:$F$13,MATCH(Table1[[#This Row],[Tipologia_Testes]],Auxiliar!$B$5:$B$13,0),MATCH(Table1[[#This Row],[Complexidade]],Auxiliar!$D$4:$F$4,0))</f>
        <v>2</v>
      </c>
      <c r="P241" s="3"/>
      <c r="Q241" s="3" t="s">
        <v>1170</v>
      </c>
      <c r="R241" s="173">
        <v>45261</v>
      </c>
      <c r="S241" s="173"/>
      <c r="T241" s="173"/>
      <c r="U241" s="173"/>
      <c r="V241" s="173"/>
      <c r="W241" s="3">
        <f>VLOOKUP(Table1[[#This Row],[Status]],Auxiliar!$B$16:$D$23,3,0)*Table1[[#This Row],[Estimação (horas)]]</f>
        <v>2</v>
      </c>
      <c r="X241" s="3"/>
    </row>
    <row r="242" spans="2:24" ht="17.399999999999999" hidden="1" customHeight="1">
      <c r="B242" s="3" t="s">
        <v>28</v>
      </c>
      <c r="C242" s="3" t="s">
        <v>54</v>
      </c>
      <c r="D242" s="3" t="s">
        <v>93</v>
      </c>
      <c r="E242" s="3" t="s">
        <v>38</v>
      </c>
      <c r="F242" s="3" t="s">
        <v>92</v>
      </c>
      <c r="G242" s="3" t="s">
        <v>113</v>
      </c>
      <c r="H242" s="63" t="str">
        <f>Table1[[#This Row],[Tabela]]&amp;Table1[[#This Row],[Campo]]</f>
        <v>cd_imv_out_bensmontante_avl_dist</v>
      </c>
      <c r="I242" s="4" t="s">
        <v>477</v>
      </c>
      <c r="J242" s="60">
        <f>VLOOKUP(Table1[[#This Row],[Status]],Auxiliar!$B$16:$C$23,2,0)</f>
        <v>1</v>
      </c>
      <c r="K242" s="3" t="s">
        <v>1138</v>
      </c>
      <c r="L242" s="3" t="s">
        <v>1144</v>
      </c>
      <c r="M242" s="22" t="s">
        <v>1145</v>
      </c>
      <c r="N242" s="53">
        <v>45485</v>
      </c>
      <c r="O242" s="22">
        <f>INDEX(Auxiliar!$D$5:$F$13,MATCH(Table1[[#This Row],[Tipologia_Testes]],Auxiliar!$B$5:$B$13,0),MATCH(Table1[[#This Row],[Complexidade]],Auxiliar!$D$4:$F$4,0))</f>
        <v>2</v>
      </c>
      <c r="P242" s="3"/>
      <c r="Q242" s="3" t="s">
        <v>1170</v>
      </c>
      <c r="R242" s="173">
        <v>45261</v>
      </c>
      <c r="S242" s="173"/>
      <c r="T242" s="173"/>
      <c r="U242" s="173"/>
      <c r="V242" s="173"/>
      <c r="W242" s="3">
        <f>VLOOKUP(Table1[[#This Row],[Status]],Auxiliar!$B$16:$D$23,3,0)*Table1[[#This Row],[Estimação (horas)]]</f>
        <v>2</v>
      </c>
      <c r="X242" s="3"/>
    </row>
    <row r="243" spans="2:24" ht="17.399999999999999" hidden="1" customHeight="1">
      <c r="B243" s="3" t="s">
        <v>28</v>
      </c>
      <c r="C243" s="3" t="s">
        <v>54</v>
      </c>
      <c r="D243" s="3" t="s">
        <v>93</v>
      </c>
      <c r="E243" s="3" t="s">
        <v>38</v>
      </c>
      <c r="F243" s="3" t="s">
        <v>92</v>
      </c>
      <c r="G243" s="3" t="s">
        <v>113</v>
      </c>
      <c r="H243" s="63" t="str">
        <f>Table1[[#This Row],[Tabela]]&amp;Table1[[#This Row],[Campo]]</f>
        <v>cd_imv_out_bensmontante_avl_dist</v>
      </c>
      <c r="I243" s="4" t="s">
        <v>477</v>
      </c>
      <c r="J243" s="60">
        <f>VLOOKUP(Table1[[#This Row],[Status]],Auxiliar!$B$16:$C$23,2,0)</f>
        <v>1</v>
      </c>
      <c r="K243" s="3" t="s">
        <v>1141</v>
      </c>
      <c r="L243" s="3" t="s">
        <v>1144</v>
      </c>
      <c r="M243" s="22" t="s">
        <v>1145</v>
      </c>
      <c r="N243" s="53">
        <v>45485</v>
      </c>
      <c r="O243" s="22">
        <f>INDEX(Auxiliar!$D$5:$F$13,MATCH(Table1[[#This Row],[Tipologia_Testes]],Auxiliar!$B$5:$B$13,0),MATCH(Table1[[#This Row],[Complexidade]],Auxiliar!$D$4:$F$4,0))</f>
        <v>0.1</v>
      </c>
      <c r="P243" s="3"/>
      <c r="Q243" s="3" t="s">
        <v>1170</v>
      </c>
      <c r="R243" s="173">
        <v>45261</v>
      </c>
      <c r="S243" s="173"/>
      <c r="T243" s="173"/>
      <c r="U243" s="173"/>
      <c r="V243" s="173"/>
      <c r="W243" s="3">
        <f>VLOOKUP(Table1[[#This Row],[Status]],Auxiliar!$B$16:$D$23,3,0)*Table1[[#This Row],[Estimação (horas)]]</f>
        <v>0.1</v>
      </c>
      <c r="X243" s="3"/>
    </row>
    <row r="244" spans="2:24" ht="17.399999999999999" hidden="1" customHeight="1">
      <c r="B244" s="3" t="s">
        <v>28</v>
      </c>
      <c r="C244" s="3" t="s">
        <v>54</v>
      </c>
      <c r="D244" s="3" t="s">
        <v>93</v>
      </c>
      <c r="E244" s="3" t="s">
        <v>38</v>
      </c>
      <c r="F244" s="3" t="s">
        <v>92</v>
      </c>
      <c r="G244" s="3" t="s">
        <v>114</v>
      </c>
      <c r="H244" s="63" t="str">
        <f>Table1[[#This Row],[Tabela]]&amp;Table1[[#This Row],[Campo]]</f>
        <v>cd_imv_out_bensmontante_vnd_rap</v>
      </c>
      <c r="I244" s="4" t="s">
        <v>477</v>
      </c>
      <c r="J244" s="60">
        <f>VLOOKUP(Table1[[#This Row],[Status]],Auxiliar!$B$16:$C$23,2,0)</f>
        <v>1</v>
      </c>
      <c r="K244" s="3" t="s">
        <v>1137</v>
      </c>
      <c r="L244" s="3" t="s">
        <v>1144</v>
      </c>
      <c r="M244" s="22" t="s">
        <v>1145</v>
      </c>
      <c r="N244" s="53">
        <v>45485</v>
      </c>
      <c r="O244" s="22">
        <f>INDEX(Auxiliar!$D$5:$F$13,MATCH(Table1[[#This Row],[Tipologia_Testes]],Auxiliar!$B$5:$B$13,0),MATCH(Table1[[#This Row],[Complexidade]],Auxiliar!$D$4:$F$4,0))</f>
        <v>2</v>
      </c>
      <c r="P244" s="3"/>
      <c r="Q244" s="3" t="s">
        <v>1170</v>
      </c>
      <c r="R244" s="173">
        <v>45261</v>
      </c>
      <c r="S244" s="173"/>
      <c r="T244" s="173"/>
      <c r="U244" s="173"/>
      <c r="V244" s="173"/>
      <c r="W244" s="3">
        <f>VLOOKUP(Table1[[#This Row],[Status]],Auxiliar!$B$16:$D$23,3,0)*Table1[[#This Row],[Estimação (horas)]]</f>
        <v>2</v>
      </c>
      <c r="X244" s="3"/>
    </row>
    <row r="245" spans="2:24" ht="17.399999999999999" hidden="1" customHeight="1">
      <c r="B245" s="3" t="s">
        <v>28</v>
      </c>
      <c r="C245" s="3" t="s">
        <v>54</v>
      </c>
      <c r="D245" s="3" t="s">
        <v>93</v>
      </c>
      <c r="E245" s="3" t="s">
        <v>38</v>
      </c>
      <c r="F245" s="3" t="s">
        <v>92</v>
      </c>
      <c r="G245" s="3" t="s">
        <v>114</v>
      </c>
      <c r="H245" s="63" t="str">
        <f>Table1[[#This Row],[Tabela]]&amp;Table1[[#This Row],[Campo]]</f>
        <v>cd_imv_out_bensmontante_vnd_rap</v>
      </c>
      <c r="I245" s="4" t="s">
        <v>477</v>
      </c>
      <c r="J245" s="60">
        <f>VLOOKUP(Table1[[#This Row],[Status]],Auxiliar!$B$16:$C$23,2,0)</f>
        <v>1</v>
      </c>
      <c r="K245" s="3" t="s">
        <v>1138</v>
      </c>
      <c r="L245" s="3" t="s">
        <v>1144</v>
      </c>
      <c r="M245" s="22" t="s">
        <v>1145</v>
      </c>
      <c r="N245" s="53">
        <v>45485</v>
      </c>
      <c r="O245" s="22">
        <f>INDEX(Auxiliar!$D$5:$F$13,MATCH(Table1[[#This Row],[Tipologia_Testes]],Auxiliar!$B$5:$B$13,0),MATCH(Table1[[#This Row],[Complexidade]],Auxiliar!$D$4:$F$4,0))</f>
        <v>2</v>
      </c>
      <c r="P245" s="3"/>
      <c r="Q245" s="3" t="s">
        <v>1170</v>
      </c>
      <c r="R245" s="173">
        <v>45261</v>
      </c>
      <c r="S245" s="173"/>
      <c r="T245" s="173"/>
      <c r="U245" s="173"/>
      <c r="V245" s="173"/>
      <c r="W245" s="3">
        <f>VLOOKUP(Table1[[#This Row],[Status]],Auxiliar!$B$16:$D$23,3,0)*Table1[[#This Row],[Estimação (horas)]]</f>
        <v>2</v>
      </c>
      <c r="X245" s="3"/>
    </row>
    <row r="246" spans="2:24" ht="17.399999999999999" hidden="1" customHeight="1">
      <c r="B246" s="3" t="s">
        <v>28</v>
      </c>
      <c r="C246" s="3" t="s">
        <v>54</v>
      </c>
      <c r="D246" s="3" t="s">
        <v>93</v>
      </c>
      <c r="E246" s="3" t="s">
        <v>38</v>
      </c>
      <c r="F246" s="3" t="s">
        <v>92</v>
      </c>
      <c r="G246" s="3" t="s">
        <v>114</v>
      </c>
      <c r="H246" s="63" t="str">
        <f>Table1[[#This Row],[Tabela]]&amp;Table1[[#This Row],[Campo]]</f>
        <v>cd_imv_out_bensmontante_vnd_rap</v>
      </c>
      <c r="I246" s="4" t="s">
        <v>477</v>
      </c>
      <c r="J246" s="60">
        <f>VLOOKUP(Table1[[#This Row],[Status]],Auxiliar!$B$16:$C$23,2,0)</f>
        <v>1</v>
      </c>
      <c r="K246" s="3" t="s">
        <v>1141</v>
      </c>
      <c r="L246" s="3" t="s">
        <v>1144</v>
      </c>
      <c r="M246" s="22" t="s">
        <v>1145</v>
      </c>
      <c r="N246" s="53">
        <v>45485</v>
      </c>
      <c r="O246" s="22">
        <f>INDEX(Auxiliar!$D$5:$F$13,MATCH(Table1[[#This Row],[Tipologia_Testes]],Auxiliar!$B$5:$B$13,0),MATCH(Table1[[#This Row],[Complexidade]],Auxiliar!$D$4:$F$4,0))</f>
        <v>0.1</v>
      </c>
      <c r="P246" s="3"/>
      <c r="Q246" s="3" t="s">
        <v>1170</v>
      </c>
      <c r="R246" s="173">
        <v>45261</v>
      </c>
      <c r="S246" s="173"/>
      <c r="T246" s="173"/>
      <c r="U246" s="173"/>
      <c r="V246" s="173"/>
      <c r="W246" s="3">
        <f>VLOOKUP(Table1[[#This Row],[Status]],Auxiliar!$B$16:$D$23,3,0)*Table1[[#This Row],[Estimação (horas)]]</f>
        <v>0.1</v>
      </c>
      <c r="X246" s="3"/>
    </row>
    <row r="247" spans="2:24" ht="17.399999999999999" hidden="1" customHeight="1">
      <c r="B247" s="3" t="s">
        <v>28</v>
      </c>
      <c r="C247" s="3" t="s">
        <v>54</v>
      </c>
      <c r="D247" s="3" t="s">
        <v>93</v>
      </c>
      <c r="E247" s="3" t="s">
        <v>38</v>
      </c>
      <c r="F247" s="3" t="s">
        <v>92</v>
      </c>
      <c r="G247" s="3" t="s">
        <v>115</v>
      </c>
      <c r="H247" s="63" t="str">
        <f>Table1[[#This Row],[Tabela]]&amp;Table1[[#This Row],[Campo]]</f>
        <v>cd_imv_out_bensmorada</v>
      </c>
      <c r="I247" s="4" t="s">
        <v>477</v>
      </c>
      <c r="J247" s="60">
        <f>VLOOKUP(Table1[[#This Row],[Status]],Auxiliar!$B$16:$C$23,2,0)</f>
        <v>1</v>
      </c>
      <c r="K247" s="3" t="s">
        <v>1137</v>
      </c>
      <c r="L247" s="3" t="s">
        <v>1144</v>
      </c>
      <c r="M247" s="22" t="s">
        <v>1145</v>
      </c>
      <c r="N247" s="53">
        <v>45485</v>
      </c>
      <c r="O247" s="22">
        <f>INDEX(Auxiliar!$D$5:$F$13,MATCH(Table1[[#This Row],[Tipologia_Testes]],Auxiliar!$B$5:$B$13,0),MATCH(Table1[[#This Row],[Complexidade]],Auxiliar!$D$4:$F$4,0))</f>
        <v>2</v>
      </c>
      <c r="P247" s="3"/>
      <c r="Q247" s="3" t="s">
        <v>1170</v>
      </c>
      <c r="R247" s="173">
        <v>45261</v>
      </c>
      <c r="S247" s="173"/>
      <c r="T247" s="173"/>
      <c r="U247" s="173"/>
      <c r="V247" s="173"/>
      <c r="W247" s="3">
        <f>VLOOKUP(Table1[[#This Row],[Status]],Auxiliar!$B$16:$D$23,3,0)*Table1[[#This Row],[Estimação (horas)]]</f>
        <v>2</v>
      </c>
      <c r="X247" s="3"/>
    </row>
    <row r="248" spans="2:24" ht="17.399999999999999" hidden="1" customHeight="1">
      <c r="B248" s="3" t="s">
        <v>28</v>
      </c>
      <c r="C248" s="3" t="s">
        <v>54</v>
      </c>
      <c r="D248" s="3" t="s">
        <v>93</v>
      </c>
      <c r="E248" s="3" t="s">
        <v>38</v>
      </c>
      <c r="F248" s="3" t="s">
        <v>92</v>
      </c>
      <c r="G248" s="3" t="s">
        <v>115</v>
      </c>
      <c r="H248" s="63" t="str">
        <f>Table1[[#This Row],[Tabela]]&amp;Table1[[#This Row],[Campo]]</f>
        <v>cd_imv_out_bensmorada</v>
      </c>
      <c r="I248" s="4" t="s">
        <v>477</v>
      </c>
      <c r="J248" s="60">
        <f>VLOOKUP(Table1[[#This Row],[Status]],Auxiliar!$B$16:$C$23,2,0)</f>
        <v>1</v>
      </c>
      <c r="K248" s="3" t="s">
        <v>1138</v>
      </c>
      <c r="L248" s="3" t="s">
        <v>1144</v>
      </c>
      <c r="M248" s="22" t="s">
        <v>1145</v>
      </c>
      <c r="N248" s="53">
        <v>45485</v>
      </c>
      <c r="O248" s="22">
        <f>INDEX(Auxiliar!$D$5:$F$13,MATCH(Table1[[#This Row],[Tipologia_Testes]],Auxiliar!$B$5:$B$13,0),MATCH(Table1[[#This Row],[Complexidade]],Auxiliar!$D$4:$F$4,0))</f>
        <v>2</v>
      </c>
      <c r="P248" s="3"/>
      <c r="Q248" s="3" t="s">
        <v>1170</v>
      </c>
      <c r="R248" s="173">
        <v>45261</v>
      </c>
      <c r="S248" s="173"/>
      <c r="T248" s="173"/>
      <c r="U248" s="173"/>
      <c r="V248" s="173"/>
      <c r="W248" s="3">
        <f>VLOOKUP(Table1[[#This Row],[Status]],Auxiliar!$B$16:$D$23,3,0)*Table1[[#This Row],[Estimação (horas)]]</f>
        <v>2</v>
      </c>
      <c r="X248" s="3"/>
    </row>
    <row r="249" spans="2:24" ht="17.399999999999999" hidden="1" customHeight="1">
      <c r="B249" s="3" t="s">
        <v>28</v>
      </c>
      <c r="C249" s="3" t="s">
        <v>54</v>
      </c>
      <c r="D249" s="3" t="s">
        <v>93</v>
      </c>
      <c r="E249" s="3" t="s">
        <v>38</v>
      </c>
      <c r="F249" s="3" t="s">
        <v>92</v>
      </c>
      <c r="G249" s="3" t="s">
        <v>115</v>
      </c>
      <c r="H249" s="63" t="str">
        <f>Table1[[#This Row],[Tabela]]&amp;Table1[[#This Row],[Campo]]</f>
        <v>cd_imv_out_bensmorada</v>
      </c>
      <c r="I249" s="4" t="s">
        <v>477</v>
      </c>
      <c r="J249" s="60">
        <f>VLOOKUP(Table1[[#This Row],[Status]],Auxiliar!$B$16:$C$23,2,0)</f>
        <v>1</v>
      </c>
      <c r="K249" s="3" t="s">
        <v>1141</v>
      </c>
      <c r="L249" s="3" t="s">
        <v>1144</v>
      </c>
      <c r="M249" s="22" t="s">
        <v>1145</v>
      </c>
      <c r="N249" s="53">
        <v>45485</v>
      </c>
      <c r="O249" s="22">
        <f>INDEX(Auxiliar!$D$5:$F$13,MATCH(Table1[[#This Row],[Tipologia_Testes]],Auxiliar!$B$5:$B$13,0),MATCH(Table1[[#This Row],[Complexidade]],Auxiliar!$D$4:$F$4,0))</f>
        <v>0.1</v>
      </c>
      <c r="P249" s="3"/>
      <c r="Q249" s="3" t="s">
        <v>1170</v>
      </c>
      <c r="R249" s="173">
        <v>45261</v>
      </c>
      <c r="S249" s="173"/>
      <c r="T249" s="173"/>
      <c r="U249" s="173"/>
      <c r="V249" s="173"/>
      <c r="W249" s="3">
        <f>VLOOKUP(Table1[[#This Row],[Status]],Auxiliar!$B$16:$D$23,3,0)*Table1[[#This Row],[Estimação (horas)]]</f>
        <v>0.1</v>
      </c>
      <c r="X249" s="3"/>
    </row>
    <row r="250" spans="2:24" ht="17.399999999999999" hidden="1" customHeight="1">
      <c r="B250" s="3" t="s">
        <v>28</v>
      </c>
      <c r="C250" s="3" t="s">
        <v>54</v>
      </c>
      <c r="D250" s="3" t="s">
        <v>93</v>
      </c>
      <c r="E250" s="3" t="s">
        <v>38</v>
      </c>
      <c r="F250" s="3" t="s">
        <v>92</v>
      </c>
      <c r="G250" s="3" t="s">
        <v>116</v>
      </c>
      <c r="H250" s="63" t="str">
        <f>Table1[[#This Row],[Tabela]]&amp;Table1[[#This Row],[Campo]]</f>
        <v>cd_imv_out_bensnum</v>
      </c>
      <c r="I250" s="4" t="s">
        <v>477</v>
      </c>
      <c r="J250" s="45">
        <f>VLOOKUP(Table1[[#This Row],[Status]],Auxiliar!$B$16:$C$23,2,0)</f>
        <v>1</v>
      </c>
      <c r="K250" s="3" t="s">
        <v>1137</v>
      </c>
      <c r="L250" s="3" t="s">
        <v>1144</v>
      </c>
      <c r="M250" s="22" t="s">
        <v>1145</v>
      </c>
      <c r="N250" s="53">
        <v>45490</v>
      </c>
      <c r="O250" s="22">
        <f>INDEX(Auxiliar!$D$5:$F$13,MATCH(Table1[[#This Row],[Tipologia_Testes]],Auxiliar!$B$5:$B$13,0),MATCH(Table1[[#This Row],[Complexidade]],Auxiliar!$D$4:$F$4,0))</f>
        <v>2</v>
      </c>
      <c r="P250" s="3"/>
      <c r="Q250" s="3" t="s">
        <v>1170</v>
      </c>
      <c r="R250" s="173">
        <v>45261</v>
      </c>
      <c r="S250" s="173"/>
      <c r="T250" s="173"/>
      <c r="U250" s="173"/>
      <c r="V250" s="173"/>
      <c r="W250" s="3">
        <f>VLOOKUP(Table1[[#This Row],[Status]],Auxiliar!$B$16:$D$23,3,0)*Table1[[#This Row],[Estimação (horas)]]</f>
        <v>2</v>
      </c>
      <c r="X250" s="3"/>
    </row>
    <row r="251" spans="2:24" ht="17.399999999999999" hidden="1" customHeight="1">
      <c r="B251" s="3" t="s">
        <v>28</v>
      </c>
      <c r="C251" s="3" t="s">
        <v>54</v>
      </c>
      <c r="D251" s="3" t="s">
        <v>93</v>
      </c>
      <c r="E251" s="3" t="s">
        <v>38</v>
      </c>
      <c r="F251" s="3" t="s">
        <v>92</v>
      </c>
      <c r="G251" s="3" t="s">
        <v>116</v>
      </c>
      <c r="H251" s="63" t="str">
        <f>Table1[[#This Row],[Tabela]]&amp;Table1[[#This Row],[Campo]]</f>
        <v>cd_imv_out_bensnum</v>
      </c>
      <c r="I251" s="4" t="s">
        <v>477</v>
      </c>
      <c r="J251" s="45">
        <f>VLOOKUP(Table1[[#This Row],[Status]],Auxiliar!$B$16:$C$23,2,0)</f>
        <v>1</v>
      </c>
      <c r="K251" s="3" t="s">
        <v>1138</v>
      </c>
      <c r="L251" s="3" t="s">
        <v>1144</v>
      </c>
      <c r="M251" s="22" t="s">
        <v>1145</v>
      </c>
      <c r="N251" s="53">
        <v>45490</v>
      </c>
      <c r="O251" s="22">
        <f>INDEX(Auxiliar!$D$5:$F$13,MATCH(Table1[[#This Row],[Tipologia_Testes]],Auxiliar!$B$5:$B$13,0),MATCH(Table1[[#This Row],[Complexidade]],Auxiliar!$D$4:$F$4,0))</f>
        <v>2</v>
      </c>
      <c r="P251" s="3"/>
      <c r="Q251" s="3" t="s">
        <v>1170</v>
      </c>
      <c r="R251" s="173">
        <v>45261</v>
      </c>
      <c r="S251" s="173"/>
      <c r="T251" s="173"/>
      <c r="U251" s="173"/>
      <c r="V251" s="173"/>
      <c r="W251" s="3">
        <f>VLOOKUP(Table1[[#This Row],[Status]],Auxiliar!$B$16:$D$23,3,0)*Table1[[#This Row],[Estimação (horas)]]</f>
        <v>2</v>
      </c>
      <c r="X251" s="3"/>
    </row>
    <row r="252" spans="2:24" ht="17.399999999999999" hidden="1" customHeight="1">
      <c r="B252" s="3" t="s">
        <v>28</v>
      </c>
      <c r="C252" s="3" t="s">
        <v>54</v>
      </c>
      <c r="D252" s="3" t="s">
        <v>93</v>
      </c>
      <c r="E252" s="3" t="s">
        <v>38</v>
      </c>
      <c r="F252" s="3" t="s">
        <v>92</v>
      </c>
      <c r="G252" s="3" t="s">
        <v>116</v>
      </c>
      <c r="H252" s="63" t="str">
        <f>Table1[[#This Row],[Tabela]]&amp;Table1[[#This Row],[Campo]]</f>
        <v>cd_imv_out_bensnum</v>
      </c>
      <c r="I252" s="4" t="s">
        <v>477</v>
      </c>
      <c r="J252" s="45">
        <f>VLOOKUP(Table1[[#This Row],[Status]],Auxiliar!$B$16:$C$23,2,0)</f>
        <v>1</v>
      </c>
      <c r="K252" s="3" t="s">
        <v>1141</v>
      </c>
      <c r="L252" s="3" t="s">
        <v>1144</v>
      </c>
      <c r="M252" s="22" t="s">
        <v>1145</v>
      </c>
      <c r="N252" s="53">
        <v>45490</v>
      </c>
      <c r="O252" s="22">
        <f>INDEX(Auxiliar!$D$5:$F$13,MATCH(Table1[[#This Row],[Tipologia_Testes]],Auxiliar!$B$5:$B$13,0),MATCH(Table1[[#This Row],[Complexidade]],Auxiliar!$D$4:$F$4,0))</f>
        <v>0.1</v>
      </c>
      <c r="P252" s="3"/>
      <c r="Q252" s="3" t="s">
        <v>1170</v>
      </c>
      <c r="R252" s="173">
        <v>45261</v>
      </c>
      <c r="S252" s="173"/>
      <c r="T252" s="173"/>
      <c r="U252" s="173"/>
      <c r="V252" s="173"/>
      <c r="W252" s="3">
        <f>VLOOKUP(Table1[[#This Row],[Status]],Auxiliar!$B$16:$D$23,3,0)*Table1[[#This Row],[Estimação (horas)]]</f>
        <v>0.1</v>
      </c>
      <c r="X252" s="3"/>
    </row>
    <row r="253" spans="2:24" ht="17.399999999999999" hidden="1" customHeight="1">
      <c r="B253" s="3" t="s">
        <v>28</v>
      </c>
      <c r="C253" s="3" t="s">
        <v>54</v>
      </c>
      <c r="D253" s="3" t="s">
        <v>93</v>
      </c>
      <c r="E253" s="3" t="s">
        <v>38</v>
      </c>
      <c r="F253" s="3" t="s">
        <v>92</v>
      </c>
      <c r="G253" s="3" t="s">
        <v>72</v>
      </c>
      <c r="H253" s="63" t="str">
        <f>Table1[[#This Row],[Tabela]]&amp;Table1[[#This Row],[Campo]]</f>
        <v>cd_imv_out_bensorigem</v>
      </c>
      <c r="I253" s="3" t="s">
        <v>476</v>
      </c>
      <c r="J253" s="60">
        <f>VLOOKUP(Table1[[#This Row],[Status]],Auxiliar!$B$16:$C$23,2,0)</f>
        <v>0</v>
      </c>
      <c r="K253" s="3" t="s">
        <v>1137</v>
      </c>
      <c r="L253" s="3" t="s">
        <v>1144</v>
      </c>
      <c r="M253" s="22" t="s">
        <v>1145</v>
      </c>
      <c r="N253" s="53">
        <v>45512</v>
      </c>
      <c r="O253" s="22">
        <f>INDEX(Auxiliar!$D$5:$F$13,MATCH(Table1[[#This Row],[Tipologia_Testes]],Auxiliar!$B$5:$B$13,0),MATCH(Table1[[#This Row],[Complexidade]],Auxiliar!$D$4:$F$4,0))</f>
        <v>2</v>
      </c>
      <c r="P253" s="3"/>
      <c r="Q253" s="3" t="s">
        <v>1170</v>
      </c>
      <c r="R253" s="173">
        <v>45261</v>
      </c>
      <c r="S253" s="173"/>
      <c r="T253" s="173"/>
      <c r="U253" s="173"/>
      <c r="V253" s="173"/>
      <c r="W253" s="3">
        <f>VLOOKUP(Table1[[#This Row],[Status]],Auxiliar!$B$16:$D$23,3,0)*Table1[[#This Row],[Estimação (horas)]]</f>
        <v>0</v>
      </c>
      <c r="X253" s="3"/>
    </row>
    <row r="254" spans="2:24" ht="17.399999999999999" hidden="1" customHeight="1">
      <c r="B254" s="3" t="s">
        <v>28</v>
      </c>
      <c r="C254" s="3" t="s">
        <v>54</v>
      </c>
      <c r="D254" s="3" t="s">
        <v>93</v>
      </c>
      <c r="E254" s="3" t="s">
        <v>38</v>
      </c>
      <c r="F254" s="3" t="s">
        <v>92</v>
      </c>
      <c r="G254" s="3" t="s">
        <v>72</v>
      </c>
      <c r="H254" s="63" t="str">
        <f>Table1[[#This Row],[Tabela]]&amp;Table1[[#This Row],[Campo]]</f>
        <v>cd_imv_out_bensorigem</v>
      </c>
      <c r="I254" s="3" t="s">
        <v>476</v>
      </c>
      <c r="J254" s="60">
        <f>VLOOKUP(Table1[[#This Row],[Status]],Auxiliar!$B$16:$C$23,2,0)</f>
        <v>0</v>
      </c>
      <c r="K254" s="3" t="s">
        <v>1138</v>
      </c>
      <c r="L254" s="3" t="s">
        <v>1144</v>
      </c>
      <c r="M254" s="22" t="s">
        <v>1145</v>
      </c>
      <c r="N254" s="53">
        <v>45512</v>
      </c>
      <c r="O254" s="22">
        <f>INDEX(Auxiliar!$D$5:$F$13,MATCH(Table1[[#This Row],[Tipologia_Testes]],Auxiliar!$B$5:$B$13,0),MATCH(Table1[[#This Row],[Complexidade]],Auxiliar!$D$4:$F$4,0))</f>
        <v>2</v>
      </c>
      <c r="P254" s="3"/>
      <c r="Q254" s="3" t="s">
        <v>1170</v>
      </c>
      <c r="R254" s="173">
        <v>45261</v>
      </c>
      <c r="S254" s="173"/>
      <c r="T254" s="173"/>
      <c r="U254" s="173"/>
      <c r="V254" s="173"/>
      <c r="W254" s="3">
        <f>VLOOKUP(Table1[[#This Row],[Status]],Auxiliar!$B$16:$D$23,3,0)*Table1[[#This Row],[Estimação (horas)]]</f>
        <v>0</v>
      </c>
      <c r="X254" s="3"/>
    </row>
    <row r="255" spans="2:24" ht="17.399999999999999" hidden="1" customHeight="1">
      <c r="B255" s="3" t="s">
        <v>28</v>
      </c>
      <c r="C255" s="3" t="s">
        <v>54</v>
      </c>
      <c r="D255" s="3" t="s">
        <v>93</v>
      </c>
      <c r="E255" s="3" t="s">
        <v>38</v>
      </c>
      <c r="F255" s="3" t="s">
        <v>92</v>
      </c>
      <c r="G255" s="3" t="s">
        <v>72</v>
      </c>
      <c r="H255" s="63" t="str">
        <f>Table1[[#This Row],[Tabela]]&amp;Table1[[#This Row],[Campo]]</f>
        <v>cd_imv_out_bensorigem</v>
      </c>
      <c r="I255" s="3" t="s">
        <v>476</v>
      </c>
      <c r="J255" s="60">
        <f>VLOOKUP(Table1[[#This Row],[Status]],Auxiliar!$B$16:$C$23,2,0)</f>
        <v>0</v>
      </c>
      <c r="K255" s="3" t="s">
        <v>1141</v>
      </c>
      <c r="L255" s="3" t="s">
        <v>1144</v>
      </c>
      <c r="M255" s="22" t="s">
        <v>1145</v>
      </c>
      <c r="N255" s="53">
        <v>45512</v>
      </c>
      <c r="O255" s="22">
        <f>INDEX(Auxiliar!$D$5:$F$13,MATCH(Table1[[#This Row],[Tipologia_Testes]],Auxiliar!$B$5:$B$13,0),MATCH(Table1[[#This Row],[Complexidade]],Auxiliar!$D$4:$F$4,0))</f>
        <v>0.1</v>
      </c>
      <c r="P255" s="3"/>
      <c r="Q255" s="3" t="s">
        <v>1170</v>
      </c>
      <c r="R255" s="173">
        <v>45261</v>
      </c>
      <c r="S255" s="173"/>
      <c r="T255" s="173"/>
      <c r="U255" s="173"/>
      <c r="V255" s="173"/>
      <c r="W255" s="3">
        <f>VLOOKUP(Table1[[#This Row],[Status]],Auxiliar!$B$16:$D$23,3,0)*Table1[[#This Row],[Estimação (horas)]]</f>
        <v>0</v>
      </c>
      <c r="X255" s="3"/>
    </row>
    <row r="256" spans="2:24" ht="17.399999999999999" hidden="1" customHeight="1">
      <c r="B256" s="3" t="s">
        <v>28</v>
      </c>
      <c r="C256" s="3" t="s">
        <v>54</v>
      </c>
      <c r="D256" s="3" t="s">
        <v>93</v>
      </c>
      <c r="E256" s="3" t="s">
        <v>38</v>
      </c>
      <c r="F256" s="3" t="s">
        <v>92</v>
      </c>
      <c r="G256" s="3" t="s">
        <v>117</v>
      </c>
      <c r="H256" s="63" t="str">
        <f>Table1[[#This Row],[Tabela]]&amp;Table1[[#This Row],[Campo]]</f>
        <v>cd_imv_out_bensperc_obra</v>
      </c>
      <c r="I256" s="134" t="s">
        <v>477</v>
      </c>
      <c r="J256" s="45">
        <f>VLOOKUP(Table1[[#This Row],[Status]],Auxiliar!$B$16:$C$23,2,0)</f>
        <v>1</v>
      </c>
      <c r="K256" s="3" t="s">
        <v>1137</v>
      </c>
      <c r="L256" s="3" t="s">
        <v>1135</v>
      </c>
      <c r="M256" s="22" t="s">
        <v>1155</v>
      </c>
      <c r="N256" s="53">
        <v>45505</v>
      </c>
      <c r="O256" s="22">
        <f>INDEX(Auxiliar!$D$5:$F$13,MATCH(Table1[[#This Row],[Tipologia_Testes]],Auxiliar!$B$5:$B$13,0),MATCH(Table1[[#This Row],[Complexidade]],Auxiliar!$D$4:$F$4,0))</f>
        <v>4</v>
      </c>
      <c r="P256" s="3" t="s">
        <v>1162</v>
      </c>
      <c r="Q256" s="3" t="s">
        <v>1170</v>
      </c>
      <c r="R256" s="173">
        <v>45261</v>
      </c>
      <c r="S256" s="173"/>
      <c r="T256" s="173">
        <v>45491</v>
      </c>
      <c r="U256" s="173">
        <v>45495</v>
      </c>
      <c r="V256" s="173">
        <v>45495</v>
      </c>
      <c r="W256" s="3">
        <f>VLOOKUP(Table1[[#This Row],[Status]],Auxiliar!$B$16:$D$23,3,0)*Table1[[#This Row],[Estimação (horas)]]</f>
        <v>4</v>
      </c>
      <c r="X256" s="3"/>
    </row>
    <row r="257" spans="2:24" ht="17.399999999999999" hidden="1" customHeight="1">
      <c r="B257" s="3" t="s">
        <v>28</v>
      </c>
      <c r="C257" s="3" t="s">
        <v>54</v>
      </c>
      <c r="D257" s="3" t="s">
        <v>93</v>
      </c>
      <c r="E257" s="3" t="s">
        <v>38</v>
      </c>
      <c r="F257" s="3" t="s">
        <v>92</v>
      </c>
      <c r="G257" s="3" t="s">
        <v>117</v>
      </c>
      <c r="H257" s="63" t="str">
        <f>Table1[[#This Row],[Tabela]]&amp;Table1[[#This Row],[Campo]]</f>
        <v>cd_imv_out_bensperc_obra</v>
      </c>
      <c r="I257" s="134" t="s">
        <v>477</v>
      </c>
      <c r="J257" s="45">
        <f>VLOOKUP(Table1[[#This Row],[Status]],Auxiliar!$B$16:$C$23,2,0)</f>
        <v>1</v>
      </c>
      <c r="K257" s="3" t="s">
        <v>1138</v>
      </c>
      <c r="L257" s="3" t="s">
        <v>1135</v>
      </c>
      <c r="M257" s="22" t="s">
        <v>1155</v>
      </c>
      <c r="N257" s="53">
        <v>45505</v>
      </c>
      <c r="O257" s="22">
        <f>INDEX(Auxiliar!$D$5:$F$13,MATCH(Table1[[#This Row],[Tipologia_Testes]],Auxiliar!$B$5:$B$13,0),MATCH(Table1[[#This Row],[Complexidade]],Auxiliar!$D$4:$F$4,0))</f>
        <v>4</v>
      </c>
      <c r="P257" s="3" t="s">
        <v>1162</v>
      </c>
      <c r="Q257" s="3" t="s">
        <v>1170</v>
      </c>
      <c r="R257" s="173">
        <v>45261</v>
      </c>
      <c r="S257" s="173"/>
      <c r="T257" s="173">
        <v>45491</v>
      </c>
      <c r="U257" s="173">
        <v>45495</v>
      </c>
      <c r="V257" s="173">
        <v>45495</v>
      </c>
      <c r="W257" s="3">
        <f>VLOOKUP(Table1[[#This Row],[Status]],Auxiliar!$B$16:$D$23,3,0)*Table1[[#This Row],[Estimação (horas)]]</f>
        <v>4</v>
      </c>
      <c r="X257" s="3"/>
    </row>
    <row r="258" spans="2:24" ht="17.399999999999999" hidden="1" customHeight="1">
      <c r="B258" s="3" t="s">
        <v>28</v>
      </c>
      <c r="C258" s="3" t="s">
        <v>54</v>
      </c>
      <c r="D258" s="3" t="s">
        <v>93</v>
      </c>
      <c r="E258" s="3" t="s">
        <v>38</v>
      </c>
      <c r="F258" s="3" t="s">
        <v>92</v>
      </c>
      <c r="G258" s="3" t="s">
        <v>117</v>
      </c>
      <c r="H258" s="63" t="str">
        <f>Table1[[#This Row],[Tabela]]&amp;Table1[[#This Row],[Campo]]</f>
        <v>cd_imv_out_bensperc_obra</v>
      </c>
      <c r="I258" s="134" t="s">
        <v>477</v>
      </c>
      <c r="J258" s="45">
        <f>VLOOKUP(Table1[[#This Row],[Status]],Auxiliar!$B$16:$C$23,2,0)</f>
        <v>1</v>
      </c>
      <c r="K258" s="3" t="s">
        <v>1141</v>
      </c>
      <c r="L258" s="3" t="s">
        <v>1135</v>
      </c>
      <c r="M258" s="22" t="s">
        <v>1155</v>
      </c>
      <c r="N258" s="53">
        <v>45505</v>
      </c>
      <c r="O258" s="22">
        <f>INDEX(Auxiliar!$D$5:$F$13,MATCH(Table1[[#This Row],[Tipologia_Testes]],Auxiliar!$B$5:$B$13,0),MATCH(Table1[[#This Row],[Complexidade]],Auxiliar!$D$4:$F$4,0))</f>
        <v>0.1</v>
      </c>
      <c r="P258" s="3" t="s">
        <v>1162</v>
      </c>
      <c r="Q258" s="3" t="s">
        <v>1170</v>
      </c>
      <c r="R258" s="173">
        <v>45261</v>
      </c>
      <c r="S258" s="173"/>
      <c r="T258" s="173">
        <v>45491</v>
      </c>
      <c r="U258" s="173">
        <v>45495</v>
      </c>
      <c r="V258" s="173">
        <v>45495</v>
      </c>
      <c r="W258" s="3">
        <f>VLOOKUP(Table1[[#This Row],[Status]],Auxiliar!$B$16:$D$23,3,0)*Table1[[#This Row],[Estimação (horas)]]</f>
        <v>0.1</v>
      </c>
      <c r="X258" s="3"/>
    </row>
    <row r="259" spans="2:24" ht="17.399999999999999" hidden="1" customHeight="1">
      <c r="B259" s="3" t="s">
        <v>28</v>
      </c>
      <c r="C259" s="3" t="s">
        <v>54</v>
      </c>
      <c r="D259" s="3" t="s">
        <v>93</v>
      </c>
      <c r="E259" s="3" t="s">
        <v>38</v>
      </c>
      <c r="F259" s="3" t="s">
        <v>92</v>
      </c>
      <c r="G259" s="3" t="s">
        <v>118</v>
      </c>
      <c r="H259" s="63" t="str">
        <f>Table1[[#This Row],[Tabela]]&amp;Table1[[#This Row],[Campo]]</f>
        <v>cd_imv_out_bensprealcons</v>
      </c>
      <c r="I259" s="4" t="s">
        <v>477</v>
      </c>
      <c r="J259" s="45">
        <f>VLOOKUP(Table1[[#This Row],[Status]],Auxiliar!$B$16:$C$23,2,0)</f>
        <v>1</v>
      </c>
      <c r="K259" s="3" t="s">
        <v>1137</v>
      </c>
      <c r="L259" s="3" t="s">
        <v>1135</v>
      </c>
      <c r="M259" s="22" t="s">
        <v>1155</v>
      </c>
      <c r="N259" s="53">
        <v>45505</v>
      </c>
      <c r="O259" s="22">
        <f>INDEX(Auxiliar!$D$5:$F$13,MATCH(Table1[[#This Row],[Tipologia_Testes]],Auxiliar!$B$5:$B$13,0),MATCH(Table1[[#This Row],[Complexidade]],Auxiliar!$D$4:$F$4,0))</f>
        <v>4</v>
      </c>
      <c r="P259" s="3" t="s">
        <v>1162</v>
      </c>
      <c r="Q259" s="3" t="s">
        <v>1170</v>
      </c>
      <c r="R259" s="173">
        <v>45261</v>
      </c>
      <c r="S259" s="173"/>
      <c r="T259" s="173">
        <v>45491</v>
      </c>
      <c r="U259" s="173">
        <v>45495</v>
      </c>
      <c r="V259" s="173">
        <v>45495</v>
      </c>
      <c r="W259" s="3">
        <f>VLOOKUP(Table1[[#This Row],[Status]],Auxiliar!$B$16:$D$23,3,0)*Table1[[#This Row],[Estimação (horas)]]</f>
        <v>4</v>
      </c>
      <c r="X259" s="3"/>
    </row>
    <row r="260" spans="2:24" ht="17.399999999999999" hidden="1" customHeight="1">
      <c r="B260" s="3" t="s">
        <v>28</v>
      </c>
      <c r="C260" s="3" t="s">
        <v>54</v>
      </c>
      <c r="D260" s="3" t="s">
        <v>93</v>
      </c>
      <c r="E260" s="3" t="s">
        <v>38</v>
      </c>
      <c r="F260" s="3" t="s">
        <v>92</v>
      </c>
      <c r="G260" s="3" t="s">
        <v>118</v>
      </c>
      <c r="H260" s="63" t="str">
        <f>Table1[[#This Row],[Tabela]]&amp;Table1[[#This Row],[Campo]]</f>
        <v>cd_imv_out_bensprealcons</v>
      </c>
      <c r="I260" s="4" t="s">
        <v>477</v>
      </c>
      <c r="J260" s="45">
        <f>VLOOKUP(Table1[[#This Row],[Status]],Auxiliar!$B$16:$C$23,2,0)</f>
        <v>1</v>
      </c>
      <c r="K260" s="3" t="s">
        <v>1138</v>
      </c>
      <c r="L260" s="3" t="s">
        <v>1135</v>
      </c>
      <c r="M260" s="22" t="s">
        <v>1155</v>
      </c>
      <c r="N260" s="53">
        <v>45505</v>
      </c>
      <c r="O260" s="22">
        <f>INDEX(Auxiliar!$D$5:$F$13,MATCH(Table1[[#This Row],[Tipologia_Testes]],Auxiliar!$B$5:$B$13,0),MATCH(Table1[[#This Row],[Complexidade]],Auxiliar!$D$4:$F$4,0))</f>
        <v>4</v>
      </c>
      <c r="P260" s="3" t="s">
        <v>1162</v>
      </c>
      <c r="Q260" s="3" t="s">
        <v>1170</v>
      </c>
      <c r="R260" s="173">
        <v>45261</v>
      </c>
      <c r="S260" s="173"/>
      <c r="T260" s="173">
        <v>45491</v>
      </c>
      <c r="U260" s="173">
        <v>45495</v>
      </c>
      <c r="V260" s="173">
        <v>45495</v>
      </c>
      <c r="W260" s="3">
        <f>VLOOKUP(Table1[[#This Row],[Status]],Auxiliar!$B$16:$D$23,3,0)*Table1[[#This Row],[Estimação (horas)]]</f>
        <v>4</v>
      </c>
      <c r="X260" s="3"/>
    </row>
    <row r="261" spans="2:24" ht="17.399999999999999" hidden="1" customHeight="1">
      <c r="B261" s="3" t="s">
        <v>28</v>
      </c>
      <c r="C261" s="3" t="s">
        <v>54</v>
      </c>
      <c r="D261" s="3" t="s">
        <v>93</v>
      </c>
      <c r="E261" s="3" t="s">
        <v>38</v>
      </c>
      <c r="F261" s="3" t="s">
        <v>92</v>
      </c>
      <c r="G261" s="3" t="s">
        <v>118</v>
      </c>
      <c r="H261" s="63" t="str">
        <f>Table1[[#This Row],[Tabela]]&amp;Table1[[#This Row],[Campo]]</f>
        <v>cd_imv_out_bensprealcons</v>
      </c>
      <c r="I261" s="4" t="s">
        <v>477</v>
      </c>
      <c r="J261" s="45">
        <f>VLOOKUP(Table1[[#This Row],[Status]],Auxiliar!$B$16:$C$23,2,0)</f>
        <v>1</v>
      </c>
      <c r="K261" s="3" t="s">
        <v>1141</v>
      </c>
      <c r="L261" s="3" t="s">
        <v>1135</v>
      </c>
      <c r="M261" s="22" t="s">
        <v>1155</v>
      </c>
      <c r="N261" s="53">
        <v>45505</v>
      </c>
      <c r="O261" s="22">
        <f>INDEX(Auxiliar!$D$5:$F$13,MATCH(Table1[[#This Row],[Tipologia_Testes]],Auxiliar!$B$5:$B$13,0),MATCH(Table1[[#This Row],[Complexidade]],Auxiliar!$D$4:$F$4,0))</f>
        <v>0.1</v>
      </c>
      <c r="P261" s="3" t="s">
        <v>1162</v>
      </c>
      <c r="Q261" s="3" t="s">
        <v>1170</v>
      </c>
      <c r="R261" s="173">
        <v>45261</v>
      </c>
      <c r="S261" s="173"/>
      <c r="T261" s="173">
        <v>45491</v>
      </c>
      <c r="U261" s="173">
        <v>45495</v>
      </c>
      <c r="V261" s="173">
        <v>45495</v>
      </c>
      <c r="W261" s="3">
        <f>VLOOKUP(Table1[[#This Row],[Status]],Auxiliar!$B$16:$D$23,3,0)*Table1[[#This Row],[Estimação (horas)]]</f>
        <v>0.1</v>
      </c>
      <c r="X261" s="3"/>
    </row>
    <row r="262" spans="2:24" ht="17.399999999999999" hidden="1" customHeight="1">
      <c r="B262" s="3" t="s">
        <v>28</v>
      </c>
      <c r="C262" s="3" t="s">
        <v>54</v>
      </c>
      <c r="D262" s="3" t="s">
        <v>93</v>
      </c>
      <c r="E262" s="3" t="s">
        <v>38</v>
      </c>
      <c r="F262" s="3" t="s">
        <v>92</v>
      </c>
      <c r="G262" s="3" t="s">
        <v>73</v>
      </c>
      <c r="H262" s="63" t="str">
        <f>Table1[[#This Row],[Tabela]]&amp;Table1[[#This Row],[Campo]]</f>
        <v>cd_imv_out_bensref_date</v>
      </c>
      <c r="I262" s="4" t="s">
        <v>477</v>
      </c>
      <c r="J262" s="60">
        <f>VLOOKUP(Table1[[#This Row],[Status]],Auxiliar!$B$16:$C$23,2,0)</f>
        <v>1</v>
      </c>
      <c r="K262" s="3" t="s">
        <v>1137</v>
      </c>
      <c r="L262" s="3" t="s">
        <v>1144</v>
      </c>
      <c r="M262" s="22" t="s">
        <v>1145</v>
      </c>
      <c r="N262" s="53">
        <v>45485</v>
      </c>
      <c r="O262" s="22">
        <f>INDEX(Auxiliar!$D$5:$F$13,MATCH(Table1[[#This Row],[Tipologia_Testes]],Auxiliar!$B$5:$B$13,0),MATCH(Table1[[#This Row],[Complexidade]],Auxiliar!$D$4:$F$4,0))</f>
        <v>2</v>
      </c>
      <c r="P262" s="3"/>
      <c r="Q262" s="3" t="s">
        <v>1170</v>
      </c>
      <c r="R262" s="173">
        <v>45261</v>
      </c>
      <c r="S262" s="173"/>
      <c r="T262" s="173"/>
      <c r="U262" s="173"/>
      <c r="V262" s="173"/>
      <c r="W262" s="3">
        <f>VLOOKUP(Table1[[#This Row],[Status]],Auxiliar!$B$16:$D$23,3,0)*Table1[[#This Row],[Estimação (horas)]]</f>
        <v>2</v>
      </c>
      <c r="X262" s="3"/>
    </row>
    <row r="263" spans="2:24" ht="17.399999999999999" hidden="1" customHeight="1">
      <c r="B263" s="3" t="s">
        <v>28</v>
      </c>
      <c r="C263" s="3" t="s">
        <v>54</v>
      </c>
      <c r="D263" s="3" t="s">
        <v>93</v>
      </c>
      <c r="E263" s="3" t="s">
        <v>38</v>
      </c>
      <c r="F263" s="3" t="s">
        <v>92</v>
      </c>
      <c r="G263" s="3" t="s">
        <v>73</v>
      </c>
      <c r="H263" s="63" t="str">
        <f>Table1[[#This Row],[Tabela]]&amp;Table1[[#This Row],[Campo]]</f>
        <v>cd_imv_out_bensref_date</v>
      </c>
      <c r="I263" s="4" t="s">
        <v>477</v>
      </c>
      <c r="J263" s="60">
        <f>VLOOKUP(Table1[[#This Row],[Status]],Auxiliar!$B$16:$C$23,2,0)</f>
        <v>1</v>
      </c>
      <c r="K263" s="3" t="s">
        <v>1138</v>
      </c>
      <c r="L263" s="3" t="s">
        <v>1144</v>
      </c>
      <c r="M263" s="22" t="s">
        <v>1145</v>
      </c>
      <c r="N263" s="53">
        <v>45485</v>
      </c>
      <c r="O263" s="22">
        <f>INDEX(Auxiliar!$D$5:$F$13,MATCH(Table1[[#This Row],[Tipologia_Testes]],Auxiliar!$B$5:$B$13,0),MATCH(Table1[[#This Row],[Complexidade]],Auxiliar!$D$4:$F$4,0))</f>
        <v>2</v>
      </c>
      <c r="P263" s="3"/>
      <c r="Q263" s="3" t="s">
        <v>1170</v>
      </c>
      <c r="R263" s="173">
        <v>45261</v>
      </c>
      <c r="S263" s="173"/>
      <c r="T263" s="173"/>
      <c r="U263" s="173"/>
      <c r="V263" s="173"/>
      <c r="W263" s="3">
        <f>VLOOKUP(Table1[[#This Row],[Status]],Auxiliar!$B$16:$D$23,3,0)*Table1[[#This Row],[Estimação (horas)]]</f>
        <v>2</v>
      </c>
      <c r="X263" s="3"/>
    </row>
    <row r="264" spans="2:24" ht="17.399999999999999" hidden="1" customHeight="1">
      <c r="B264" s="3" t="s">
        <v>28</v>
      </c>
      <c r="C264" s="3" t="s">
        <v>54</v>
      </c>
      <c r="D264" s="3" t="s">
        <v>93</v>
      </c>
      <c r="E264" s="3" t="s">
        <v>38</v>
      </c>
      <c r="F264" s="3" t="s">
        <v>92</v>
      </c>
      <c r="G264" s="3" t="s">
        <v>73</v>
      </c>
      <c r="H264" s="63" t="str">
        <f>Table1[[#This Row],[Tabela]]&amp;Table1[[#This Row],[Campo]]</f>
        <v>cd_imv_out_bensref_date</v>
      </c>
      <c r="I264" s="4" t="s">
        <v>477</v>
      </c>
      <c r="J264" s="60">
        <f>VLOOKUP(Table1[[#This Row],[Status]],Auxiliar!$B$16:$C$23,2,0)</f>
        <v>1</v>
      </c>
      <c r="K264" s="3" t="s">
        <v>1141</v>
      </c>
      <c r="L264" s="3" t="s">
        <v>1144</v>
      </c>
      <c r="M264" s="22" t="s">
        <v>1145</v>
      </c>
      <c r="N264" s="53">
        <v>45485</v>
      </c>
      <c r="O264" s="22">
        <f>INDEX(Auxiliar!$D$5:$F$13,MATCH(Table1[[#This Row],[Tipologia_Testes]],Auxiliar!$B$5:$B$13,0),MATCH(Table1[[#This Row],[Complexidade]],Auxiliar!$D$4:$F$4,0))</f>
        <v>0.1</v>
      </c>
      <c r="P264" s="3"/>
      <c r="Q264" s="3" t="s">
        <v>1170</v>
      </c>
      <c r="R264" s="173">
        <v>45261</v>
      </c>
      <c r="S264" s="173"/>
      <c r="T264" s="173"/>
      <c r="U264" s="173"/>
      <c r="V264" s="173"/>
      <c r="W264" s="3">
        <f>VLOOKUP(Table1[[#This Row],[Status]],Auxiliar!$B$16:$D$23,3,0)*Table1[[#This Row],[Estimação (horas)]]</f>
        <v>0.1</v>
      </c>
      <c r="X264" s="3"/>
    </row>
    <row r="265" spans="2:24" ht="17.399999999999999" hidden="1" customHeight="1">
      <c r="B265" s="3" t="s">
        <v>28</v>
      </c>
      <c r="C265" s="3" t="s">
        <v>54</v>
      </c>
      <c r="D265" s="3" t="s">
        <v>93</v>
      </c>
      <c r="E265" s="3" t="s">
        <v>38</v>
      </c>
      <c r="F265" s="3" t="s">
        <v>92</v>
      </c>
      <c r="G265" s="3" t="s">
        <v>119</v>
      </c>
      <c r="H265" s="63" t="str">
        <f>Table1[[#This Row],[Tabela]]&amp;Table1[[#This Row],[Campo]]</f>
        <v>cd_imv_out_bensurbaniz</v>
      </c>
      <c r="I265" s="4" t="s">
        <v>477</v>
      </c>
      <c r="J265" s="45">
        <f>VLOOKUP(Table1[[#This Row],[Status]],Auxiliar!$B$16:$C$23,2,0)</f>
        <v>1</v>
      </c>
      <c r="K265" s="3" t="s">
        <v>1137</v>
      </c>
      <c r="L265" s="3" t="s">
        <v>1144</v>
      </c>
      <c r="M265" s="22" t="s">
        <v>1145</v>
      </c>
      <c r="N265" s="53">
        <v>45490</v>
      </c>
      <c r="O265" s="22">
        <f>INDEX(Auxiliar!$D$5:$F$13,MATCH(Table1[[#This Row],[Tipologia_Testes]],Auxiliar!$B$5:$B$13,0),MATCH(Table1[[#This Row],[Complexidade]],Auxiliar!$D$4:$F$4,0))</f>
        <v>2</v>
      </c>
      <c r="P265" s="3"/>
      <c r="Q265" s="3" t="s">
        <v>1170</v>
      </c>
      <c r="R265" s="173">
        <v>45261</v>
      </c>
      <c r="S265" s="173"/>
      <c r="T265" s="173"/>
      <c r="U265" s="173"/>
      <c r="V265" s="173"/>
      <c r="W265" s="3">
        <f>VLOOKUP(Table1[[#This Row],[Status]],Auxiliar!$B$16:$D$23,3,0)*Table1[[#This Row],[Estimação (horas)]]</f>
        <v>2</v>
      </c>
      <c r="X265" s="3"/>
    </row>
    <row r="266" spans="2:24" ht="17.399999999999999" hidden="1" customHeight="1">
      <c r="B266" s="3" t="s">
        <v>28</v>
      </c>
      <c r="C266" s="3" t="s">
        <v>54</v>
      </c>
      <c r="D266" s="3" t="s">
        <v>93</v>
      </c>
      <c r="E266" s="3" t="s">
        <v>38</v>
      </c>
      <c r="F266" s="3" t="s">
        <v>92</v>
      </c>
      <c r="G266" s="3" t="s">
        <v>119</v>
      </c>
      <c r="H266" s="63" t="str">
        <f>Table1[[#This Row],[Tabela]]&amp;Table1[[#This Row],[Campo]]</f>
        <v>cd_imv_out_bensurbaniz</v>
      </c>
      <c r="I266" s="4" t="s">
        <v>477</v>
      </c>
      <c r="J266" s="45">
        <f>VLOOKUP(Table1[[#This Row],[Status]],Auxiliar!$B$16:$C$23,2,0)</f>
        <v>1</v>
      </c>
      <c r="K266" s="3" t="s">
        <v>1138</v>
      </c>
      <c r="L266" s="3" t="s">
        <v>1144</v>
      </c>
      <c r="M266" s="22" t="s">
        <v>1145</v>
      </c>
      <c r="N266" s="53">
        <v>45490</v>
      </c>
      <c r="O266" s="22">
        <f>INDEX(Auxiliar!$D$5:$F$13,MATCH(Table1[[#This Row],[Tipologia_Testes]],Auxiliar!$B$5:$B$13,0),MATCH(Table1[[#This Row],[Complexidade]],Auxiliar!$D$4:$F$4,0))</f>
        <v>2</v>
      </c>
      <c r="P266" s="3"/>
      <c r="Q266" s="3" t="s">
        <v>1170</v>
      </c>
      <c r="R266" s="173">
        <v>45261</v>
      </c>
      <c r="S266" s="173"/>
      <c r="T266" s="173"/>
      <c r="U266" s="173"/>
      <c r="V266" s="173"/>
      <c r="W266" s="3">
        <f>VLOOKUP(Table1[[#This Row],[Status]],Auxiliar!$B$16:$D$23,3,0)*Table1[[#This Row],[Estimação (horas)]]</f>
        <v>2</v>
      </c>
      <c r="X266" s="3"/>
    </row>
    <row r="267" spans="2:24" ht="17.399999999999999" hidden="1" customHeight="1">
      <c r="B267" s="3" t="s">
        <v>28</v>
      </c>
      <c r="C267" s="3" t="s">
        <v>54</v>
      </c>
      <c r="D267" s="3" t="s">
        <v>93</v>
      </c>
      <c r="E267" s="3" t="s">
        <v>38</v>
      </c>
      <c r="F267" s="3" t="s">
        <v>92</v>
      </c>
      <c r="G267" s="3" t="s">
        <v>119</v>
      </c>
      <c r="H267" s="63" t="str">
        <f>Table1[[#This Row],[Tabela]]&amp;Table1[[#This Row],[Campo]]</f>
        <v>cd_imv_out_bensurbaniz</v>
      </c>
      <c r="I267" s="4" t="s">
        <v>477</v>
      </c>
      <c r="J267" s="45">
        <f>VLOOKUP(Table1[[#This Row],[Status]],Auxiliar!$B$16:$C$23,2,0)</f>
        <v>1</v>
      </c>
      <c r="K267" s="3" t="s">
        <v>1141</v>
      </c>
      <c r="L267" s="3" t="s">
        <v>1144</v>
      </c>
      <c r="M267" s="22" t="s">
        <v>1145</v>
      </c>
      <c r="N267" s="53">
        <v>45490</v>
      </c>
      <c r="O267" s="22">
        <f>INDEX(Auxiliar!$D$5:$F$13,MATCH(Table1[[#This Row],[Tipologia_Testes]],Auxiliar!$B$5:$B$13,0),MATCH(Table1[[#This Row],[Complexidade]],Auxiliar!$D$4:$F$4,0))</f>
        <v>0.1</v>
      </c>
      <c r="P267" s="3"/>
      <c r="Q267" s="3" t="s">
        <v>1170</v>
      </c>
      <c r="R267" s="173">
        <v>45261</v>
      </c>
      <c r="S267" s="173"/>
      <c r="T267" s="173"/>
      <c r="U267" s="173"/>
      <c r="V267" s="173"/>
      <c r="W267" s="3">
        <f>VLOOKUP(Table1[[#This Row],[Status]],Auxiliar!$B$16:$D$23,3,0)*Table1[[#This Row],[Estimação (horas)]]</f>
        <v>0.1</v>
      </c>
      <c r="X267" s="3"/>
    </row>
    <row r="268" spans="2:24" ht="69.599999999999994" hidden="1">
      <c r="B268" s="3" t="s">
        <v>28</v>
      </c>
      <c r="C268" s="3" t="s">
        <v>54</v>
      </c>
      <c r="D268" s="3" t="s">
        <v>121</v>
      </c>
      <c r="E268" s="3" t="s">
        <v>38</v>
      </c>
      <c r="F268" s="3" t="s">
        <v>120</v>
      </c>
      <c r="G268" s="3" t="s">
        <v>38</v>
      </c>
      <c r="H268" s="63" t="str">
        <f>Table1[[#This Row],[Tabela]]&amp;Table1[[#This Row],[Campo]]</f>
        <v>cd_imv_out_certifn.a.</v>
      </c>
      <c r="I268" s="3" t="s">
        <v>477</v>
      </c>
      <c r="J268" s="45">
        <f>VLOOKUP(Table1[[#This Row],[Status]],Auxiliar!$B$16:$C$23,2,0)</f>
        <v>1</v>
      </c>
      <c r="K268" s="3" t="s">
        <v>1134</v>
      </c>
      <c r="L268" s="30" t="s">
        <v>1135</v>
      </c>
      <c r="M268" s="22" t="s">
        <v>1145</v>
      </c>
      <c r="N268" s="53">
        <v>45485</v>
      </c>
      <c r="O268" s="22">
        <f>INDEX(Auxiliar!$D$5:$F$13,MATCH(Table1[[#This Row],[Tipologia_Testes]],Auxiliar!$B$5:$B$13,0),MATCH(Table1[[#This Row],[Complexidade]],Auxiliar!$D$4:$F$4,0))</f>
        <v>8</v>
      </c>
      <c r="P268" s="24" t="s">
        <v>1174</v>
      </c>
      <c r="Q268" s="3"/>
      <c r="R268" s="173">
        <v>45261</v>
      </c>
      <c r="S268" s="173"/>
      <c r="T268" s="173"/>
      <c r="U268" s="173"/>
      <c r="V268" s="173"/>
      <c r="W268" s="3">
        <f>VLOOKUP(Table1[[#This Row],[Status]],Auxiliar!$B$16:$D$23,3,0)*Table1[[#This Row],[Estimação (horas)]]</f>
        <v>8</v>
      </c>
      <c r="X268" s="3"/>
    </row>
    <row r="269" spans="2:24" ht="17.399999999999999" hidden="1">
      <c r="B269" s="3" t="s">
        <v>28</v>
      </c>
      <c r="C269" s="3" t="s">
        <v>54</v>
      </c>
      <c r="D269" s="3" t="s">
        <v>121</v>
      </c>
      <c r="E269" s="3" t="s">
        <v>38</v>
      </c>
      <c r="F269" s="3" t="s">
        <v>120</v>
      </c>
      <c r="G269" s="3" t="s">
        <v>41</v>
      </c>
      <c r="H269" s="63" t="str">
        <f>Table1[[#This Row],[Tabela]]&amp;Table1[[#This Row],[Campo]]</f>
        <v>cd_imv_out_certifcempbem</v>
      </c>
      <c r="I269" s="3" t="s">
        <v>477</v>
      </c>
      <c r="J269" s="45">
        <f>VLOOKUP(Table1[[#This Row],[Status]],Auxiliar!$B$16:$C$23,2,0)</f>
        <v>1</v>
      </c>
      <c r="K269" s="3" t="s">
        <v>1137</v>
      </c>
      <c r="L269" s="30" t="s">
        <v>1135</v>
      </c>
      <c r="M269" s="22" t="s">
        <v>1145</v>
      </c>
      <c r="N269" s="53">
        <v>45485</v>
      </c>
      <c r="O269" s="22">
        <f>INDEX(Auxiliar!$D$5:$F$13,MATCH(Table1[[#This Row],[Tipologia_Testes]],Auxiliar!$B$5:$B$13,0),MATCH(Table1[[#This Row],[Complexidade]],Auxiliar!$D$4:$F$4,0))</f>
        <v>2</v>
      </c>
      <c r="P269" s="3" t="s">
        <v>1809</v>
      </c>
      <c r="Q269" s="3"/>
      <c r="R269" s="173">
        <v>45261</v>
      </c>
      <c r="S269" s="173"/>
      <c r="T269" s="173"/>
      <c r="U269" s="173"/>
      <c r="V269" s="173"/>
      <c r="W269" s="3">
        <f>VLOOKUP(Table1[[#This Row],[Status]],Auxiliar!$B$16:$D$23,3,0)*Table1[[#This Row],[Estimação (horas)]]</f>
        <v>2</v>
      </c>
      <c r="X269" s="3"/>
    </row>
    <row r="270" spans="2:24" ht="17.399999999999999" hidden="1">
      <c r="B270" s="3" t="s">
        <v>28</v>
      </c>
      <c r="C270" s="3" t="s">
        <v>54</v>
      </c>
      <c r="D270" s="3" t="s">
        <v>121</v>
      </c>
      <c r="E270" s="3" t="s">
        <v>38</v>
      </c>
      <c r="F270" s="3" t="s">
        <v>120</v>
      </c>
      <c r="G270" s="3" t="s">
        <v>41</v>
      </c>
      <c r="H270" s="63" t="str">
        <f>Table1[[#This Row],[Tabela]]&amp;Table1[[#This Row],[Campo]]</f>
        <v>cd_imv_out_certifcempbem</v>
      </c>
      <c r="I270" s="3" t="s">
        <v>477</v>
      </c>
      <c r="J270" s="45">
        <f>VLOOKUP(Table1[[#This Row],[Status]],Auxiliar!$B$16:$C$23,2,0)</f>
        <v>1</v>
      </c>
      <c r="K270" s="3" t="s">
        <v>1138</v>
      </c>
      <c r="L270" s="30" t="s">
        <v>1135</v>
      </c>
      <c r="M270" s="22" t="s">
        <v>1145</v>
      </c>
      <c r="N270" s="53">
        <v>45485</v>
      </c>
      <c r="O270" s="22">
        <f>INDEX(Auxiliar!$D$5:$F$13,MATCH(Table1[[#This Row],[Tipologia_Testes]],Auxiliar!$B$5:$B$13,0),MATCH(Table1[[#This Row],[Complexidade]],Auxiliar!$D$4:$F$4,0))</f>
        <v>2</v>
      </c>
      <c r="P270" s="3" t="s">
        <v>1809</v>
      </c>
      <c r="Q270" s="3"/>
      <c r="R270" s="173">
        <v>45261</v>
      </c>
      <c r="S270" s="173"/>
      <c r="T270" s="173"/>
      <c r="U270" s="173"/>
      <c r="V270" s="173"/>
      <c r="W270" s="3">
        <f>VLOOKUP(Table1[[#This Row],[Status]],Auxiliar!$B$16:$D$23,3,0)*Table1[[#This Row],[Estimação (horas)]]</f>
        <v>2</v>
      </c>
      <c r="X270" s="3"/>
    </row>
    <row r="271" spans="2:24" ht="17.399999999999999" hidden="1">
      <c r="B271" s="3" t="s">
        <v>28</v>
      </c>
      <c r="C271" s="3" t="s">
        <v>54</v>
      </c>
      <c r="D271" s="3" t="s">
        <v>121</v>
      </c>
      <c r="E271" s="3" t="s">
        <v>38</v>
      </c>
      <c r="F271" s="3" t="s">
        <v>120</v>
      </c>
      <c r="G271" s="3" t="s">
        <v>41</v>
      </c>
      <c r="H271" s="63" t="str">
        <f>Table1[[#This Row],[Tabela]]&amp;Table1[[#This Row],[Campo]]</f>
        <v>cd_imv_out_certifcempbem</v>
      </c>
      <c r="I271" s="3" t="s">
        <v>477</v>
      </c>
      <c r="J271" s="45">
        <f>VLOOKUP(Table1[[#This Row],[Status]],Auxiliar!$B$16:$C$23,2,0)</f>
        <v>1</v>
      </c>
      <c r="K271" s="3" t="s">
        <v>1141</v>
      </c>
      <c r="L271" s="30" t="s">
        <v>1135</v>
      </c>
      <c r="M271" s="22" t="s">
        <v>1145</v>
      </c>
      <c r="N271" s="53">
        <v>45485</v>
      </c>
      <c r="O271" s="22">
        <f>INDEX(Auxiliar!$D$5:$F$13,MATCH(Table1[[#This Row],[Tipologia_Testes]],Auxiliar!$B$5:$B$13,0),MATCH(Table1[[#This Row],[Complexidade]],Auxiliar!$D$4:$F$4,0))</f>
        <v>0.1</v>
      </c>
      <c r="P271" s="3" t="s">
        <v>1809</v>
      </c>
      <c r="Q271" s="3"/>
      <c r="R271" s="173">
        <v>45261</v>
      </c>
      <c r="S271" s="173"/>
      <c r="T271" s="173"/>
      <c r="U271" s="173"/>
      <c r="V271" s="173"/>
      <c r="W271" s="3">
        <f>VLOOKUP(Table1[[#This Row],[Status]],Auxiliar!$B$16:$D$23,3,0)*Table1[[#This Row],[Estimação (horas)]]</f>
        <v>0.1</v>
      </c>
      <c r="X271" s="3"/>
    </row>
    <row r="272" spans="2:24" ht="17.399999999999999" hidden="1">
      <c r="B272" s="3" t="s">
        <v>28</v>
      </c>
      <c r="C272" s="3" t="s">
        <v>54</v>
      </c>
      <c r="D272" s="3" t="s">
        <v>121</v>
      </c>
      <c r="E272" s="3" t="s">
        <v>38</v>
      </c>
      <c r="F272" s="3" t="s">
        <v>120</v>
      </c>
      <c r="G272" s="3" t="s">
        <v>43</v>
      </c>
      <c r="H272" s="63" t="str">
        <f>Table1[[#This Row],[Tabela]]&amp;Table1[[#This Row],[Campo]]</f>
        <v>cd_imv_out_certifckbalbem</v>
      </c>
      <c r="I272" s="3" t="s">
        <v>477</v>
      </c>
      <c r="J272" s="45">
        <f>VLOOKUP(Table1[[#This Row],[Status]],Auxiliar!$B$16:$C$23,2,0)</f>
        <v>1</v>
      </c>
      <c r="K272" s="3" t="s">
        <v>1137</v>
      </c>
      <c r="L272" s="30" t="s">
        <v>1135</v>
      </c>
      <c r="M272" s="22" t="s">
        <v>1145</v>
      </c>
      <c r="N272" s="53">
        <v>45485</v>
      </c>
      <c r="O272" s="22">
        <f>INDEX(Auxiliar!$D$5:$F$13,MATCH(Table1[[#This Row],[Tipologia_Testes]],Auxiliar!$B$5:$B$13,0),MATCH(Table1[[#This Row],[Complexidade]],Auxiliar!$D$4:$F$4,0))</f>
        <v>2</v>
      </c>
      <c r="P272" s="3" t="s">
        <v>1809</v>
      </c>
      <c r="Q272" s="3"/>
      <c r="R272" s="173">
        <v>45261</v>
      </c>
      <c r="S272" s="173"/>
      <c r="T272" s="173"/>
      <c r="U272" s="173"/>
      <c r="V272" s="173"/>
      <c r="W272" s="3">
        <f>VLOOKUP(Table1[[#This Row],[Status]],Auxiliar!$B$16:$D$23,3,0)*Table1[[#This Row],[Estimação (horas)]]</f>
        <v>2</v>
      </c>
      <c r="X272" s="3"/>
    </row>
    <row r="273" spans="2:24" ht="17.399999999999999" hidden="1">
      <c r="B273" s="3" t="s">
        <v>28</v>
      </c>
      <c r="C273" s="3" t="s">
        <v>54</v>
      </c>
      <c r="D273" s="3" t="s">
        <v>121</v>
      </c>
      <c r="E273" s="3" t="s">
        <v>38</v>
      </c>
      <c r="F273" s="3" t="s">
        <v>120</v>
      </c>
      <c r="G273" s="3" t="s">
        <v>43</v>
      </c>
      <c r="H273" s="63" t="str">
        <f>Table1[[#This Row],[Tabela]]&amp;Table1[[#This Row],[Campo]]</f>
        <v>cd_imv_out_certifckbalbem</v>
      </c>
      <c r="I273" s="3" t="s">
        <v>477</v>
      </c>
      <c r="J273" s="45">
        <f>VLOOKUP(Table1[[#This Row],[Status]],Auxiliar!$B$16:$C$23,2,0)</f>
        <v>1</v>
      </c>
      <c r="K273" s="3" t="s">
        <v>1138</v>
      </c>
      <c r="L273" s="30" t="s">
        <v>1135</v>
      </c>
      <c r="M273" s="22" t="s">
        <v>1145</v>
      </c>
      <c r="N273" s="53">
        <v>45485</v>
      </c>
      <c r="O273" s="22">
        <f>INDEX(Auxiliar!$D$5:$F$13,MATCH(Table1[[#This Row],[Tipologia_Testes]],Auxiliar!$B$5:$B$13,0),MATCH(Table1[[#This Row],[Complexidade]],Auxiliar!$D$4:$F$4,0))</f>
        <v>2</v>
      </c>
      <c r="P273" s="3" t="s">
        <v>1809</v>
      </c>
      <c r="Q273" s="3"/>
      <c r="R273" s="173">
        <v>45261</v>
      </c>
      <c r="S273" s="173"/>
      <c r="T273" s="173"/>
      <c r="U273" s="173"/>
      <c r="V273" s="173"/>
      <c r="W273" s="3">
        <f>VLOOKUP(Table1[[#This Row],[Status]],Auxiliar!$B$16:$D$23,3,0)*Table1[[#This Row],[Estimação (horas)]]</f>
        <v>2</v>
      </c>
      <c r="X273" s="3"/>
    </row>
    <row r="274" spans="2:24" ht="17.399999999999999" hidden="1">
      <c r="B274" s="3" t="s">
        <v>28</v>
      </c>
      <c r="C274" s="3" t="s">
        <v>54</v>
      </c>
      <c r="D274" s="3" t="s">
        <v>121</v>
      </c>
      <c r="E274" s="3" t="s">
        <v>38</v>
      </c>
      <c r="F274" s="3" t="s">
        <v>120</v>
      </c>
      <c r="G274" s="3" t="s">
        <v>43</v>
      </c>
      <c r="H274" s="63" t="str">
        <f>Table1[[#This Row],[Tabela]]&amp;Table1[[#This Row],[Campo]]</f>
        <v>cd_imv_out_certifckbalbem</v>
      </c>
      <c r="I274" s="3" t="s">
        <v>477</v>
      </c>
      <c r="J274" s="45">
        <f>VLOOKUP(Table1[[#This Row],[Status]],Auxiliar!$B$16:$C$23,2,0)</f>
        <v>1</v>
      </c>
      <c r="K274" s="3" t="s">
        <v>1141</v>
      </c>
      <c r="L274" s="30" t="s">
        <v>1135</v>
      </c>
      <c r="M274" s="22" t="s">
        <v>1145</v>
      </c>
      <c r="N274" s="53">
        <v>45485</v>
      </c>
      <c r="O274" s="22">
        <f>INDEX(Auxiliar!$D$5:$F$13,MATCH(Table1[[#This Row],[Tipologia_Testes]],Auxiliar!$B$5:$B$13,0),MATCH(Table1[[#This Row],[Complexidade]],Auxiliar!$D$4:$F$4,0))</f>
        <v>0.1</v>
      </c>
      <c r="P274" s="3" t="s">
        <v>1809</v>
      </c>
      <c r="Q274" s="3"/>
      <c r="R274" s="173">
        <v>45261</v>
      </c>
      <c r="S274" s="173"/>
      <c r="T274" s="173"/>
      <c r="U274" s="173"/>
      <c r="V274" s="173"/>
      <c r="W274" s="3">
        <f>VLOOKUP(Table1[[#This Row],[Status]],Auxiliar!$B$16:$D$23,3,0)*Table1[[#This Row],[Estimação (horas)]]</f>
        <v>0.1</v>
      </c>
      <c r="X274" s="3"/>
    </row>
    <row r="275" spans="2:24" ht="17.399999999999999" hidden="1">
      <c r="B275" s="3" t="s">
        <v>28</v>
      </c>
      <c r="C275" s="3" t="s">
        <v>54</v>
      </c>
      <c r="D275" s="3" t="s">
        <v>121</v>
      </c>
      <c r="E275" s="3" t="s">
        <v>38</v>
      </c>
      <c r="F275" s="3" t="s">
        <v>120</v>
      </c>
      <c r="G275" s="3" t="s">
        <v>44</v>
      </c>
      <c r="H275" s="63" t="str">
        <f>Table1[[#This Row],[Tabela]]&amp;Table1[[#This Row],[Campo]]</f>
        <v>cd_imv_out_certifckctabem</v>
      </c>
      <c r="I275" s="3" t="s">
        <v>477</v>
      </c>
      <c r="J275" s="45">
        <f>VLOOKUP(Table1[[#This Row],[Status]],Auxiliar!$B$16:$C$23,2,0)</f>
        <v>1</v>
      </c>
      <c r="K275" s="3" t="s">
        <v>1137</v>
      </c>
      <c r="L275" s="30" t="s">
        <v>1135</v>
      </c>
      <c r="M275" s="22" t="s">
        <v>1145</v>
      </c>
      <c r="N275" s="53">
        <v>45485</v>
      </c>
      <c r="O275" s="22">
        <f>INDEX(Auxiliar!$D$5:$F$13,MATCH(Table1[[#This Row],[Tipologia_Testes]],Auxiliar!$B$5:$B$13,0),MATCH(Table1[[#This Row],[Complexidade]],Auxiliar!$D$4:$F$4,0))</f>
        <v>2</v>
      </c>
      <c r="P275" s="3" t="s">
        <v>1809</v>
      </c>
      <c r="Q275" s="3"/>
      <c r="R275" s="173">
        <v>45261</v>
      </c>
      <c r="S275" s="173"/>
      <c r="T275" s="173"/>
      <c r="U275" s="173"/>
      <c r="V275" s="173"/>
      <c r="W275" s="3">
        <f>VLOOKUP(Table1[[#This Row],[Status]],Auxiliar!$B$16:$D$23,3,0)*Table1[[#This Row],[Estimação (horas)]]</f>
        <v>2</v>
      </c>
      <c r="X275" s="3"/>
    </row>
    <row r="276" spans="2:24" ht="17.399999999999999" hidden="1">
      <c r="B276" s="3" t="s">
        <v>28</v>
      </c>
      <c r="C276" s="3" t="s">
        <v>54</v>
      </c>
      <c r="D276" s="3" t="s">
        <v>121</v>
      </c>
      <c r="E276" s="3" t="s">
        <v>38</v>
      </c>
      <c r="F276" s="3" t="s">
        <v>120</v>
      </c>
      <c r="G276" s="3" t="s">
        <v>44</v>
      </c>
      <c r="H276" s="63" t="str">
        <f>Table1[[#This Row],[Tabela]]&amp;Table1[[#This Row],[Campo]]</f>
        <v>cd_imv_out_certifckctabem</v>
      </c>
      <c r="I276" s="3" t="s">
        <v>477</v>
      </c>
      <c r="J276" s="45">
        <f>VLOOKUP(Table1[[#This Row],[Status]],Auxiliar!$B$16:$C$23,2,0)</f>
        <v>1</v>
      </c>
      <c r="K276" s="3" t="s">
        <v>1138</v>
      </c>
      <c r="L276" s="30" t="s">
        <v>1135</v>
      </c>
      <c r="M276" s="22" t="s">
        <v>1145</v>
      </c>
      <c r="N276" s="53">
        <v>45485</v>
      </c>
      <c r="O276" s="22">
        <f>INDEX(Auxiliar!$D$5:$F$13,MATCH(Table1[[#This Row],[Tipologia_Testes]],Auxiliar!$B$5:$B$13,0),MATCH(Table1[[#This Row],[Complexidade]],Auxiliar!$D$4:$F$4,0))</f>
        <v>2</v>
      </c>
      <c r="P276" s="3" t="s">
        <v>1809</v>
      </c>
      <c r="Q276" s="3"/>
      <c r="R276" s="173">
        <v>45261</v>
      </c>
      <c r="S276" s="173"/>
      <c r="T276" s="173"/>
      <c r="U276" s="173"/>
      <c r="V276" s="173"/>
      <c r="W276" s="3">
        <f>VLOOKUP(Table1[[#This Row],[Status]],Auxiliar!$B$16:$D$23,3,0)*Table1[[#This Row],[Estimação (horas)]]</f>
        <v>2</v>
      </c>
      <c r="X276" s="3"/>
    </row>
    <row r="277" spans="2:24" ht="17.399999999999999" hidden="1">
      <c r="B277" s="3" t="s">
        <v>28</v>
      </c>
      <c r="C277" s="3" t="s">
        <v>54</v>
      </c>
      <c r="D277" s="3" t="s">
        <v>121</v>
      </c>
      <c r="E277" s="3" t="s">
        <v>38</v>
      </c>
      <c r="F277" s="3" t="s">
        <v>120</v>
      </c>
      <c r="G277" s="3" t="s">
        <v>44</v>
      </c>
      <c r="H277" s="63" t="str">
        <f>Table1[[#This Row],[Tabela]]&amp;Table1[[#This Row],[Campo]]</f>
        <v>cd_imv_out_certifckctabem</v>
      </c>
      <c r="I277" s="3" t="s">
        <v>477</v>
      </c>
      <c r="J277" s="45">
        <f>VLOOKUP(Table1[[#This Row],[Status]],Auxiliar!$B$16:$C$23,2,0)</f>
        <v>1</v>
      </c>
      <c r="K277" s="3" t="s">
        <v>1141</v>
      </c>
      <c r="L277" s="30" t="s">
        <v>1135</v>
      </c>
      <c r="M277" s="22" t="s">
        <v>1145</v>
      </c>
      <c r="N277" s="53">
        <v>45485</v>
      </c>
      <c r="O277" s="22">
        <f>INDEX(Auxiliar!$D$5:$F$13,MATCH(Table1[[#This Row],[Tipologia_Testes]],Auxiliar!$B$5:$B$13,0),MATCH(Table1[[#This Row],[Complexidade]],Auxiliar!$D$4:$F$4,0))</f>
        <v>0.1</v>
      </c>
      <c r="P277" s="3" t="s">
        <v>1809</v>
      </c>
      <c r="Q277" s="3"/>
      <c r="R277" s="173">
        <v>45261</v>
      </c>
      <c r="S277" s="173"/>
      <c r="T277" s="173"/>
      <c r="U277" s="173"/>
      <c r="V277" s="173"/>
      <c r="W277" s="3">
        <f>VLOOKUP(Table1[[#This Row],[Status]],Auxiliar!$B$16:$D$23,3,0)*Table1[[#This Row],[Estimação (horas)]]</f>
        <v>0.1</v>
      </c>
      <c r="X277" s="3"/>
    </row>
    <row r="278" spans="2:24" ht="17.399999999999999" hidden="1">
      <c r="B278" s="3" t="s">
        <v>28</v>
      </c>
      <c r="C278" s="3" t="s">
        <v>54</v>
      </c>
      <c r="D278" s="3" t="s">
        <v>121</v>
      </c>
      <c r="E278" s="3" t="s">
        <v>38</v>
      </c>
      <c r="F278" s="3" t="s">
        <v>120</v>
      </c>
      <c r="G278" s="3" t="s">
        <v>45</v>
      </c>
      <c r="H278" s="63" t="str">
        <f>Table1[[#This Row],[Tabela]]&amp;Table1[[#This Row],[Campo]]</f>
        <v>cd_imv_out_certifckrefbem</v>
      </c>
      <c r="I278" s="3" t="s">
        <v>477</v>
      </c>
      <c r="J278" s="45">
        <f>VLOOKUP(Table1[[#This Row],[Status]],Auxiliar!$B$16:$C$23,2,0)</f>
        <v>1</v>
      </c>
      <c r="K278" s="3" t="s">
        <v>1137</v>
      </c>
      <c r="L278" s="30" t="s">
        <v>1135</v>
      </c>
      <c r="M278" s="22" t="s">
        <v>1145</v>
      </c>
      <c r="N278" s="53">
        <v>45485</v>
      </c>
      <c r="O278" s="22">
        <f>INDEX(Auxiliar!$D$5:$F$13,MATCH(Table1[[#This Row],[Tipologia_Testes]],Auxiliar!$B$5:$B$13,0),MATCH(Table1[[#This Row],[Complexidade]],Auxiliar!$D$4:$F$4,0))</f>
        <v>2</v>
      </c>
      <c r="P278" s="3" t="s">
        <v>1809</v>
      </c>
      <c r="Q278" s="3"/>
      <c r="R278" s="173">
        <v>45261</v>
      </c>
      <c r="S278" s="173"/>
      <c r="T278" s="173"/>
      <c r="U278" s="173"/>
      <c r="V278" s="173"/>
      <c r="W278" s="3">
        <f>VLOOKUP(Table1[[#This Row],[Status]],Auxiliar!$B$16:$D$23,3,0)*Table1[[#This Row],[Estimação (horas)]]</f>
        <v>2</v>
      </c>
      <c r="X278" s="3"/>
    </row>
    <row r="279" spans="2:24" ht="17.399999999999999" hidden="1">
      <c r="B279" s="3" t="s">
        <v>28</v>
      </c>
      <c r="C279" s="3" t="s">
        <v>54</v>
      </c>
      <c r="D279" s="3" t="s">
        <v>121</v>
      </c>
      <c r="E279" s="3" t="s">
        <v>38</v>
      </c>
      <c r="F279" s="3" t="s">
        <v>120</v>
      </c>
      <c r="G279" s="3" t="s">
        <v>45</v>
      </c>
      <c r="H279" s="63" t="str">
        <f>Table1[[#This Row],[Tabela]]&amp;Table1[[#This Row],[Campo]]</f>
        <v>cd_imv_out_certifckrefbem</v>
      </c>
      <c r="I279" s="3" t="s">
        <v>477</v>
      </c>
      <c r="J279" s="45">
        <f>VLOOKUP(Table1[[#This Row],[Status]],Auxiliar!$B$16:$C$23,2,0)</f>
        <v>1</v>
      </c>
      <c r="K279" s="3" t="s">
        <v>1138</v>
      </c>
      <c r="L279" s="30" t="s">
        <v>1135</v>
      </c>
      <c r="M279" s="22" t="s">
        <v>1145</v>
      </c>
      <c r="N279" s="53">
        <v>45485</v>
      </c>
      <c r="O279" s="22">
        <f>INDEX(Auxiliar!$D$5:$F$13,MATCH(Table1[[#This Row],[Tipologia_Testes]],Auxiliar!$B$5:$B$13,0),MATCH(Table1[[#This Row],[Complexidade]],Auxiliar!$D$4:$F$4,0))</f>
        <v>2</v>
      </c>
      <c r="P279" s="3" t="s">
        <v>1809</v>
      </c>
      <c r="Q279" s="3"/>
      <c r="R279" s="173">
        <v>45261</v>
      </c>
      <c r="S279" s="173"/>
      <c r="T279" s="173"/>
      <c r="U279" s="173"/>
      <c r="V279" s="173"/>
      <c r="W279" s="3">
        <f>VLOOKUP(Table1[[#This Row],[Status]],Auxiliar!$B$16:$D$23,3,0)*Table1[[#This Row],[Estimação (horas)]]</f>
        <v>2</v>
      </c>
      <c r="X279" s="3"/>
    </row>
    <row r="280" spans="2:24" ht="17.399999999999999" hidden="1">
      <c r="B280" s="3" t="s">
        <v>28</v>
      </c>
      <c r="C280" s="3" t="s">
        <v>54</v>
      </c>
      <c r="D280" s="3" t="s">
        <v>121</v>
      </c>
      <c r="E280" s="3" t="s">
        <v>38</v>
      </c>
      <c r="F280" s="3" t="s">
        <v>120</v>
      </c>
      <c r="G280" s="3" t="s">
        <v>45</v>
      </c>
      <c r="H280" s="63" t="str">
        <f>Table1[[#This Row],[Tabela]]&amp;Table1[[#This Row],[Campo]]</f>
        <v>cd_imv_out_certifckrefbem</v>
      </c>
      <c r="I280" s="3" t="s">
        <v>477</v>
      </c>
      <c r="J280" s="45">
        <f>VLOOKUP(Table1[[#This Row],[Status]],Auxiliar!$B$16:$C$23,2,0)</f>
        <v>1</v>
      </c>
      <c r="K280" s="3" t="s">
        <v>1141</v>
      </c>
      <c r="L280" s="30" t="s">
        <v>1135</v>
      </c>
      <c r="M280" s="22" t="s">
        <v>1145</v>
      </c>
      <c r="N280" s="53">
        <v>45485</v>
      </c>
      <c r="O280" s="22">
        <f>INDEX(Auxiliar!$D$5:$F$13,MATCH(Table1[[#This Row],[Tipologia_Testes]],Auxiliar!$B$5:$B$13,0),MATCH(Table1[[#This Row],[Complexidade]],Auxiliar!$D$4:$F$4,0))</f>
        <v>0.1</v>
      </c>
      <c r="P280" s="3" t="s">
        <v>1809</v>
      </c>
      <c r="Q280" s="3"/>
      <c r="R280" s="173">
        <v>45261</v>
      </c>
      <c r="S280" s="173"/>
      <c r="T280" s="173"/>
      <c r="U280" s="173"/>
      <c r="V280" s="173"/>
      <c r="W280" s="3">
        <f>VLOOKUP(Table1[[#This Row],[Status]],Auxiliar!$B$16:$D$23,3,0)*Table1[[#This Row],[Estimação (horas)]]</f>
        <v>0.1</v>
      </c>
      <c r="X280" s="3"/>
    </row>
    <row r="281" spans="2:24" ht="17.399999999999999">
      <c r="B281" s="3" t="s">
        <v>28</v>
      </c>
      <c r="C281" s="3" t="s">
        <v>54</v>
      </c>
      <c r="D281" s="3" t="s">
        <v>121</v>
      </c>
      <c r="E281" s="3" t="s">
        <v>38</v>
      </c>
      <c r="F281" s="3" t="s">
        <v>120</v>
      </c>
      <c r="G281" s="3" t="s">
        <v>122</v>
      </c>
      <c r="H281" s="63" t="str">
        <f>Table1[[#This Row],[Tabela]]&amp;Table1[[#This Row],[Campo]]</f>
        <v>cd_imv_out_certifcod_cnsrvtr_rgst_prdl</v>
      </c>
      <c r="I281" s="3" t="s">
        <v>482</v>
      </c>
      <c r="J281" s="45">
        <f>VLOOKUP(Table1[[#This Row],[Status]],Auxiliar!$B$16:$C$23,2,0)</f>
        <v>6</v>
      </c>
      <c r="K281" s="3" t="s">
        <v>1137</v>
      </c>
      <c r="L281" s="30" t="s">
        <v>1135</v>
      </c>
      <c r="M281" s="22" t="s">
        <v>1145</v>
      </c>
      <c r="N281" s="53">
        <v>45485</v>
      </c>
      <c r="O281" s="22">
        <f>INDEX(Auxiliar!$D$5:$F$13,MATCH(Table1[[#This Row],[Tipologia_Testes]],Auxiliar!$B$5:$B$13,0),MATCH(Table1[[#This Row],[Complexidade]],Auxiliar!$D$4:$F$4,0))</f>
        <v>2</v>
      </c>
      <c r="P281" s="3" t="s">
        <v>1175</v>
      </c>
      <c r="Q281" s="3"/>
      <c r="R281" s="173">
        <v>45261</v>
      </c>
      <c r="S281" s="173"/>
      <c r="T281" s="173">
        <v>45562</v>
      </c>
      <c r="U281" s="173"/>
      <c r="V281" s="173"/>
      <c r="W281" s="3">
        <f>VLOOKUP(Table1[[#This Row],[Status]],Auxiliar!$B$16:$D$23,3,0)*Table1[[#This Row],[Estimação (horas)]]</f>
        <v>0.5</v>
      </c>
      <c r="X281" s="3"/>
    </row>
    <row r="282" spans="2:24" ht="17.399999999999999">
      <c r="B282" s="3" t="s">
        <v>28</v>
      </c>
      <c r="C282" s="3" t="s">
        <v>54</v>
      </c>
      <c r="D282" s="3" t="s">
        <v>121</v>
      </c>
      <c r="E282" s="3" t="s">
        <v>38</v>
      </c>
      <c r="F282" s="3" t="s">
        <v>120</v>
      </c>
      <c r="G282" s="3" t="s">
        <v>122</v>
      </c>
      <c r="H282" s="63" t="str">
        <f>Table1[[#This Row],[Tabela]]&amp;Table1[[#This Row],[Campo]]</f>
        <v>cd_imv_out_certifcod_cnsrvtr_rgst_prdl</v>
      </c>
      <c r="I282" s="3" t="s">
        <v>482</v>
      </c>
      <c r="J282" s="45">
        <f>VLOOKUP(Table1[[#This Row],[Status]],Auxiliar!$B$16:$C$23,2,0)</f>
        <v>6</v>
      </c>
      <c r="K282" s="3" t="s">
        <v>1138</v>
      </c>
      <c r="L282" s="30" t="s">
        <v>1135</v>
      </c>
      <c r="M282" s="22" t="s">
        <v>1145</v>
      </c>
      <c r="N282" s="53">
        <v>45485</v>
      </c>
      <c r="O282" s="22">
        <f>INDEX(Auxiliar!$D$5:$F$13,MATCH(Table1[[#This Row],[Tipologia_Testes]],Auxiliar!$B$5:$B$13,0),MATCH(Table1[[#This Row],[Complexidade]],Auxiliar!$D$4:$F$4,0))</f>
        <v>2</v>
      </c>
      <c r="P282" s="3" t="s">
        <v>1175</v>
      </c>
      <c r="Q282" s="3"/>
      <c r="R282" s="173">
        <v>45261</v>
      </c>
      <c r="S282" s="173"/>
      <c r="T282" s="173">
        <v>45562</v>
      </c>
      <c r="U282" s="173"/>
      <c r="V282" s="173"/>
      <c r="W282" s="3">
        <f>VLOOKUP(Table1[[#This Row],[Status]],Auxiliar!$B$16:$D$23,3,0)*Table1[[#This Row],[Estimação (horas)]]</f>
        <v>0.5</v>
      </c>
      <c r="X282" s="3"/>
    </row>
    <row r="283" spans="2:24" ht="17.399999999999999">
      <c r="B283" s="3" t="s">
        <v>28</v>
      </c>
      <c r="C283" s="3" t="s">
        <v>54</v>
      </c>
      <c r="D283" s="3" t="s">
        <v>121</v>
      </c>
      <c r="E283" s="3" t="s">
        <v>38</v>
      </c>
      <c r="F283" s="3" t="s">
        <v>120</v>
      </c>
      <c r="G283" s="3" t="s">
        <v>122</v>
      </c>
      <c r="H283" s="63" t="str">
        <f>Table1[[#This Row],[Tabela]]&amp;Table1[[#This Row],[Campo]]</f>
        <v>cd_imv_out_certifcod_cnsrvtr_rgst_prdl</v>
      </c>
      <c r="I283" s="3" t="s">
        <v>482</v>
      </c>
      <c r="J283" s="45">
        <f>VLOOKUP(Table1[[#This Row],[Status]],Auxiliar!$B$16:$C$23,2,0)</f>
        <v>6</v>
      </c>
      <c r="K283" s="3" t="s">
        <v>1141</v>
      </c>
      <c r="L283" s="30" t="s">
        <v>1135</v>
      </c>
      <c r="M283" s="22" t="s">
        <v>1145</v>
      </c>
      <c r="N283" s="53">
        <v>45485</v>
      </c>
      <c r="O283" s="22">
        <f>INDEX(Auxiliar!$D$5:$F$13,MATCH(Table1[[#This Row],[Tipologia_Testes]],Auxiliar!$B$5:$B$13,0),MATCH(Table1[[#This Row],[Complexidade]],Auxiliar!$D$4:$F$4,0))</f>
        <v>0.1</v>
      </c>
      <c r="P283" s="3" t="s">
        <v>1175</v>
      </c>
      <c r="Q283" s="3"/>
      <c r="R283" s="173">
        <v>45261</v>
      </c>
      <c r="S283" s="173"/>
      <c r="T283" s="173">
        <v>45562</v>
      </c>
      <c r="U283" s="173"/>
      <c r="V283" s="173"/>
      <c r="W283" s="3">
        <f>VLOOKUP(Table1[[#This Row],[Status]],Auxiliar!$B$16:$D$23,3,0)*Table1[[#This Row],[Estimação (horas)]]</f>
        <v>2.5000000000000001E-2</v>
      </c>
      <c r="X283" s="3"/>
    </row>
    <row r="284" spans="2:24" ht="17.399999999999999">
      <c r="B284" s="3" t="s">
        <v>28</v>
      </c>
      <c r="C284" s="3" t="s">
        <v>54</v>
      </c>
      <c r="D284" s="3" t="s">
        <v>121</v>
      </c>
      <c r="E284" s="3" t="s">
        <v>38</v>
      </c>
      <c r="F284" s="3" t="s">
        <v>120</v>
      </c>
      <c r="G284" s="3" t="s">
        <v>123</v>
      </c>
      <c r="H284" s="63" t="str">
        <f>Table1[[#This Row],[Tabela]]&amp;Table1[[#This Row],[Campo]]</f>
        <v>cd_imv_out_certifcod_inscrc</v>
      </c>
      <c r="I284" s="3" t="s">
        <v>482</v>
      </c>
      <c r="J284" s="45">
        <f>VLOOKUP(Table1[[#This Row],[Status]],Auxiliar!$B$16:$C$23,2,0)</f>
        <v>6</v>
      </c>
      <c r="K284" s="3" t="s">
        <v>1137</v>
      </c>
      <c r="L284" s="30" t="s">
        <v>1135</v>
      </c>
      <c r="M284" s="22" t="s">
        <v>1145</v>
      </c>
      <c r="N284" s="53">
        <v>45485</v>
      </c>
      <c r="O284" s="22">
        <f>INDEX(Auxiliar!$D$5:$F$13,MATCH(Table1[[#This Row],[Tipologia_Testes]],Auxiliar!$B$5:$B$13,0),MATCH(Table1[[#This Row],[Complexidade]],Auxiliar!$D$4:$F$4,0))</f>
        <v>2</v>
      </c>
      <c r="P284" s="3" t="s">
        <v>1175</v>
      </c>
      <c r="Q284" s="3"/>
      <c r="R284" s="173">
        <v>45261</v>
      </c>
      <c r="S284" s="173"/>
      <c r="T284" s="173">
        <v>45562</v>
      </c>
      <c r="U284" s="173"/>
      <c r="V284" s="173"/>
      <c r="W284" s="3">
        <f>VLOOKUP(Table1[[#This Row],[Status]],Auxiliar!$B$16:$D$23,3,0)*Table1[[#This Row],[Estimação (horas)]]</f>
        <v>0.5</v>
      </c>
      <c r="X284" s="3"/>
    </row>
    <row r="285" spans="2:24" ht="17.399999999999999">
      <c r="B285" s="3" t="s">
        <v>28</v>
      </c>
      <c r="C285" s="3" t="s">
        <v>54</v>
      </c>
      <c r="D285" s="3" t="s">
        <v>121</v>
      </c>
      <c r="E285" s="3" t="s">
        <v>38</v>
      </c>
      <c r="F285" s="3" t="s">
        <v>120</v>
      </c>
      <c r="G285" s="3" t="s">
        <v>123</v>
      </c>
      <c r="H285" s="63" t="str">
        <f>Table1[[#This Row],[Tabela]]&amp;Table1[[#This Row],[Campo]]</f>
        <v>cd_imv_out_certifcod_inscrc</v>
      </c>
      <c r="I285" s="3" t="s">
        <v>482</v>
      </c>
      <c r="J285" s="45">
        <f>VLOOKUP(Table1[[#This Row],[Status]],Auxiliar!$B$16:$C$23,2,0)</f>
        <v>6</v>
      </c>
      <c r="K285" s="3" t="s">
        <v>1138</v>
      </c>
      <c r="L285" s="30" t="s">
        <v>1135</v>
      </c>
      <c r="M285" s="22" t="s">
        <v>1145</v>
      </c>
      <c r="N285" s="53">
        <v>45485</v>
      </c>
      <c r="O285" s="22">
        <f>INDEX(Auxiliar!$D$5:$F$13,MATCH(Table1[[#This Row],[Tipologia_Testes]],Auxiliar!$B$5:$B$13,0),MATCH(Table1[[#This Row],[Complexidade]],Auxiliar!$D$4:$F$4,0))</f>
        <v>2</v>
      </c>
      <c r="P285" s="3" t="s">
        <v>1175</v>
      </c>
      <c r="Q285" s="3"/>
      <c r="R285" s="173">
        <v>45261</v>
      </c>
      <c r="S285" s="173"/>
      <c r="T285" s="173">
        <v>45562</v>
      </c>
      <c r="U285" s="173"/>
      <c r="V285" s="173"/>
      <c r="W285" s="3">
        <f>VLOOKUP(Table1[[#This Row],[Status]],Auxiliar!$B$16:$D$23,3,0)*Table1[[#This Row],[Estimação (horas)]]</f>
        <v>0.5</v>
      </c>
      <c r="X285" s="3"/>
    </row>
    <row r="286" spans="2:24" ht="17.399999999999999">
      <c r="B286" s="3" t="s">
        <v>28</v>
      </c>
      <c r="C286" s="3" t="s">
        <v>54</v>
      </c>
      <c r="D286" s="3" t="s">
        <v>121</v>
      </c>
      <c r="E286" s="3" t="s">
        <v>38</v>
      </c>
      <c r="F286" s="3" t="s">
        <v>120</v>
      </c>
      <c r="G286" s="3" t="s">
        <v>123</v>
      </c>
      <c r="H286" s="63" t="str">
        <f>Table1[[#This Row],[Tabela]]&amp;Table1[[#This Row],[Campo]]</f>
        <v>cd_imv_out_certifcod_inscrc</v>
      </c>
      <c r="I286" s="3" t="s">
        <v>482</v>
      </c>
      <c r="J286" s="45">
        <f>VLOOKUP(Table1[[#This Row],[Status]],Auxiliar!$B$16:$C$23,2,0)</f>
        <v>6</v>
      </c>
      <c r="K286" s="3" t="s">
        <v>1141</v>
      </c>
      <c r="L286" s="30" t="s">
        <v>1135</v>
      </c>
      <c r="M286" s="22" t="s">
        <v>1145</v>
      </c>
      <c r="N286" s="53">
        <v>45485</v>
      </c>
      <c r="O286" s="22">
        <f>INDEX(Auxiliar!$D$5:$F$13,MATCH(Table1[[#This Row],[Tipologia_Testes]],Auxiliar!$B$5:$B$13,0),MATCH(Table1[[#This Row],[Complexidade]],Auxiliar!$D$4:$F$4,0))</f>
        <v>0.1</v>
      </c>
      <c r="P286" s="3" t="s">
        <v>1175</v>
      </c>
      <c r="Q286" s="3"/>
      <c r="R286" s="173">
        <v>45261</v>
      </c>
      <c r="S286" s="173"/>
      <c r="T286" s="173">
        <v>45562</v>
      </c>
      <c r="U286" s="173"/>
      <c r="V286" s="173"/>
      <c r="W286" s="3">
        <f>VLOOKUP(Table1[[#This Row],[Status]],Auxiliar!$B$16:$D$23,3,0)*Table1[[#This Row],[Estimação (horas)]]</f>
        <v>2.5000000000000001E-2</v>
      </c>
      <c r="X286" s="3"/>
    </row>
    <row r="287" spans="2:24" ht="17.399999999999999">
      <c r="B287" s="3" t="s">
        <v>28</v>
      </c>
      <c r="C287" s="3" t="s">
        <v>54</v>
      </c>
      <c r="D287" s="3" t="s">
        <v>121</v>
      </c>
      <c r="E287" s="3" t="s">
        <v>38</v>
      </c>
      <c r="F287" s="3" t="s">
        <v>120</v>
      </c>
      <c r="G287" s="3" t="s">
        <v>124</v>
      </c>
      <c r="H287" s="63" t="str">
        <f>Table1[[#This Row],[Tabela]]&amp;Table1[[#This Row],[Campo]]</f>
        <v>cd_imv_out_certifcod_sce</v>
      </c>
      <c r="I287" s="3" t="s">
        <v>482</v>
      </c>
      <c r="J287" s="45">
        <f>VLOOKUP(Table1[[#This Row],[Status]],Auxiliar!$B$16:$C$23,2,0)</f>
        <v>6</v>
      </c>
      <c r="K287" s="3" t="s">
        <v>1137</v>
      </c>
      <c r="L287" s="30" t="s">
        <v>1135</v>
      </c>
      <c r="M287" s="22" t="s">
        <v>1145</v>
      </c>
      <c r="N287" s="53">
        <v>45485</v>
      </c>
      <c r="O287" s="22">
        <f>INDEX(Auxiliar!$D$5:$F$13,MATCH(Table1[[#This Row],[Tipologia_Testes]],Auxiliar!$B$5:$B$13,0),MATCH(Table1[[#This Row],[Complexidade]],Auxiliar!$D$4:$F$4,0))</f>
        <v>2</v>
      </c>
      <c r="P287" s="3" t="s">
        <v>1175</v>
      </c>
      <c r="Q287" s="3"/>
      <c r="R287" s="173">
        <v>45261</v>
      </c>
      <c r="S287" s="173"/>
      <c r="T287" s="173">
        <v>45562</v>
      </c>
      <c r="U287" s="173"/>
      <c r="V287" s="173"/>
      <c r="W287" s="3">
        <f>VLOOKUP(Table1[[#This Row],[Status]],Auxiliar!$B$16:$D$23,3,0)*Table1[[#This Row],[Estimação (horas)]]</f>
        <v>0.5</v>
      </c>
      <c r="X287" s="3"/>
    </row>
    <row r="288" spans="2:24" ht="17.399999999999999">
      <c r="B288" s="3" t="s">
        <v>28</v>
      </c>
      <c r="C288" s="3" t="s">
        <v>54</v>
      </c>
      <c r="D288" s="3" t="s">
        <v>121</v>
      </c>
      <c r="E288" s="3" t="s">
        <v>38</v>
      </c>
      <c r="F288" s="3" t="s">
        <v>120</v>
      </c>
      <c r="G288" s="3" t="s">
        <v>124</v>
      </c>
      <c r="H288" s="63" t="str">
        <f>Table1[[#This Row],[Tabela]]&amp;Table1[[#This Row],[Campo]]</f>
        <v>cd_imv_out_certifcod_sce</v>
      </c>
      <c r="I288" s="3" t="s">
        <v>482</v>
      </c>
      <c r="J288" s="45">
        <f>VLOOKUP(Table1[[#This Row],[Status]],Auxiliar!$B$16:$C$23,2,0)</f>
        <v>6</v>
      </c>
      <c r="K288" s="3" t="s">
        <v>1138</v>
      </c>
      <c r="L288" s="30" t="s">
        <v>1135</v>
      </c>
      <c r="M288" s="22" t="s">
        <v>1145</v>
      </c>
      <c r="N288" s="53">
        <v>45485</v>
      </c>
      <c r="O288" s="22">
        <f>INDEX(Auxiliar!$D$5:$F$13,MATCH(Table1[[#This Row],[Tipologia_Testes]],Auxiliar!$B$5:$B$13,0),MATCH(Table1[[#This Row],[Complexidade]],Auxiliar!$D$4:$F$4,0))</f>
        <v>2</v>
      </c>
      <c r="P288" s="3" t="s">
        <v>1175</v>
      </c>
      <c r="Q288" s="3"/>
      <c r="R288" s="173">
        <v>45261</v>
      </c>
      <c r="S288" s="173"/>
      <c r="T288" s="173">
        <v>45562</v>
      </c>
      <c r="U288" s="173"/>
      <c r="V288" s="173"/>
      <c r="W288" s="3">
        <f>VLOOKUP(Table1[[#This Row],[Status]],Auxiliar!$B$16:$D$23,3,0)*Table1[[#This Row],[Estimação (horas)]]</f>
        <v>0.5</v>
      </c>
      <c r="X288" s="3"/>
    </row>
    <row r="289" spans="2:24" ht="17.399999999999999">
      <c r="B289" s="3" t="s">
        <v>28</v>
      </c>
      <c r="C289" s="3" t="s">
        <v>54</v>
      </c>
      <c r="D289" s="3" t="s">
        <v>121</v>
      </c>
      <c r="E289" s="3" t="s">
        <v>38</v>
      </c>
      <c r="F289" s="3" t="s">
        <v>120</v>
      </c>
      <c r="G289" s="3" t="s">
        <v>124</v>
      </c>
      <c r="H289" s="63" t="str">
        <f>Table1[[#This Row],[Tabela]]&amp;Table1[[#This Row],[Campo]]</f>
        <v>cd_imv_out_certifcod_sce</v>
      </c>
      <c r="I289" s="3" t="s">
        <v>482</v>
      </c>
      <c r="J289" s="45">
        <f>VLOOKUP(Table1[[#This Row],[Status]],Auxiliar!$B$16:$C$23,2,0)</f>
        <v>6</v>
      </c>
      <c r="K289" s="3" t="s">
        <v>1141</v>
      </c>
      <c r="L289" s="30" t="s">
        <v>1135</v>
      </c>
      <c r="M289" s="22" t="s">
        <v>1145</v>
      </c>
      <c r="N289" s="53">
        <v>45485</v>
      </c>
      <c r="O289" s="22">
        <f>INDEX(Auxiliar!$D$5:$F$13,MATCH(Table1[[#This Row],[Tipologia_Testes]],Auxiliar!$B$5:$B$13,0),MATCH(Table1[[#This Row],[Complexidade]],Auxiliar!$D$4:$F$4,0))</f>
        <v>0.1</v>
      </c>
      <c r="P289" s="3" t="s">
        <v>1175</v>
      </c>
      <c r="Q289" s="3"/>
      <c r="R289" s="173">
        <v>45261</v>
      </c>
      <c r="S289" s="173"/>
      <c r="T289" s="173">
        <v>45562</v>
      </c>
      <c r="U289" s="173"/>
      <c r="V289" s="173"/>
      <c r="W289" s="3">
        <f>VLOOKUP(Table1[[#This Row],[Status]],Auxiliar!$B$16:$D$23,3,0)*Table1[[#This Row],[Estimação (horas)]]</f>
        <v>2.5000000000000001E-2</v>
      </c>
      <c r="X289" s="3"/>
    </row>
    <row r="290" spans="2:24" ht="17.399999999999999">
      <c r="B290" s="3" t="s">
        <v>28</v>
      </c>
      <c r="C290" s="3" t="s">
        <v>54</v>
      </c>
      <c r="D290" s="3" t="s">
        <v>121</v>
      </c>
      <c r="E290" s="3" t="s">
        <v>38</v>
      </c>
      <c r="F290" s="3" t="s">
        <v>120</v>
      </c>
      <c r="G290" s="3" t="s">
        <v>125</v>
      </c>
      <c r="H290" s="63" t="str">
        <f>Table1[[#This Row],[Tabela]]&amp;Table1[[#This Row],[Campo]]</f>
        <v>cd_imv_out_certifdata_epc</v>
      </c>
      <c r="I290" s="3" t="s">
        <v>482</v>
      </c>
      <c r="J290" s="45">
        <f>VLOOKUP(Table1[[#This Row],[Status]],Auxiliar!$B$16:$C$23,2,0)</f>
        <v>6</v>
      </c>
      <c r="K290" s="3" t="s">
        <v>1137</v>
      </c>
      <c r="L290" s="30" t="s">
        <v>1135</v>
      </c>
      <c r="M290" s="22" t="s">
        <v>1145</v>
      </c>
      <c r="N290" s="53">
        <v>45485</v>
      </c>
      <c r="O290" s="22">
        <f>INDEX(Auxiliar!$D$5:$F$13,MATCH(Table1[[#This Row],[Tipologia_Testes]],Auxiliar!$B$5:$B$13,0),MATCH(Table1[[#This Row],[Complexidade]],Auxiliar!$D$4:$F$4,0))</f>
        <v>2</v>
      </c>
      <c r="P290" s="3" t="s">
        <v>1175</v>
      </c>
      <c r="Q290" s="3"/>
      <c r="R290" s="173">
        <v>45261</v>
      </c>
      <c r="S290" s="173"/>
      <c r="T290" s="173">
        <v>45562</v>
      </c>
      <c r="U290" s="173"/>
      <c r="V290" s="173"/>
      <c r="W290" s="3">
        <f>VLOOKUP(Table1[[#This Row],[Status]],Auxiliar!$B$16:$D$23,3,0)*Table1[[#This Row],[Estimação (horas)]]</f>
        <v>0.5</v>
      </c>
      <c r="X290" s="3"/>
    </row>
    <row r="291" spans="2:24" ht="17.399999999999999">
      <c r="B291" s="3" t="s">
        <v>28</v>
      </c>
      <c r="C291" s="3" t="s">
        <v>54</v>
      </c>
      <c r="D291" s="3" t="s">
        <v>121</v>
      </c>
      <c r="E291" s="3" t="s">
        <v>38</v>
      </c>
      <c r="F291" s="3" t="s">
        <v>120</v>
      </c>
      <c r="G291" s="3" t="s">
        <v>125</v>
      </c>
      <c r="H291" s="63" t="str">
        <f>Table1[[#This Row],[Tabela]]&amp;Table1[[#This Row],[Campo]]</f>
        <v>cd_imv_out_certifdata_epc</v>
      </c>
      <c r="I291" s="3" t="s">
        <v>482</v>
      </c>
      <c r="J291" s="45">
        <f>VLOOKUP(Table1[[#This Row],[Status]],Auxiliar!$B$16:$C$23,2,0)</f>
        <v>6</v>
      </c>
      <c r="K291" s="3" t="s">
        <v>1138</v>
      </c>
      <c r="L291" s="30" t="s">
        <v>1135</v>
      </c>
      <c r="M291" s="22" t="s">
        <v>1145</v>
      </c>
      <c r="N291" s="53">
        <v>45485</v>
      </c>
      <c r="O291" s="22">
        <f>INDEX(Auxiliar!$D$5:$F$13,MATCH(Table1[[#This Row],[Tipologia_Testes]],Auxiliar!$B$5:$B$13,0),MATCH(Table1[[#This Row],[Complexidade]],Auxiliar!$D$4:$F$4,0))</f>
        <v>2</v>
      </c>
      <c r="P291" s="3" t="s">
        <v>1175</v>
      </c>
      <c r="Q291" s="3"/>
      <c r="R291" s="173">
        <v>45261</v>
      </c>
      <c r="S291" s="173"/>
      <c r="T291" s="173">
        <v>45562</v>
      </c>
      <c r="U291" s="173"/>
      <c r="V291" s="173"/>
      <c r="W291" s="3">
        <f>VLOOKUP(Table1[[#This Row],[Status]],Auxiliar!$B$16:$D$23,3,0)*Table1[[#This Row],[Estimação (horas)]]</f>
        <v>0.5</v>
      </c>
      <c r="X291" s="3"/>
    </row>
    <row r="292" spans="2:24" ht="17.399999999999999">
      <c r="B292" s="3" t="s">
        <v>28</v>
      </c>
      <c r="C292" s="3" t="s">
        <v>54</v>
      </c>
      <c r="D292" s="3" t="s">
        <v>121</v>
      </c>
      <c r="E292" s="3" t="s">
        <v>38</v>
      </c>
      <c r="F292" s="3" t="s">
        <v>120</v>
      </c>
      <c r="G292" s="3" t="s">
        <v>125</v>
      </c>
      <c r="H292" s="63" t="str">
        <f>Table1[[#This Row],[Tabela]]&amp;Table1[[#This Row],[Campo]]</f>
        <v>cd_imv_out_certifdata_epc</v>
      </c>
      <c r="I292" s="3" t="s">
        <v>482</v>
      </c>
      <c r="J292" s="45">
        <f>VLOOKUP(Table1[[#This Row],[Status]],Auxiliar!$B$16:$C$23,2,0)</f>
        <v>6</v>
      </c>
      <c r="K292" s="3" t="s">
        <v>1141</v>
      </c>
      <c r="L292" s="30" t="s">
        <v>1135</v>
      </c>
      <c r="M292" s="22" t="s">
        <v>1145</v>
      </c>
      <c r="N292" s="53">
        <v>45485</v>
      </c>
      <c r="O292" s="22">
        <f>INDEX(Auxiliar!$D$5:$F$13,MATCH(Table1[[#This Row],[Tipologia_Testes]],Auxiliar!$B$5:$B$13,0),MATCH(Table1[[#This Row],[Complexidade]],Auxiliar!$D$4:$F$4,0))</f>
        <v>0.1</v>
      </c>
      <c r="P292" s="3" t="s">
        <v>1175</v>
      </c>
      <c r="Q292" s="3"/>
      <c r="R292" s="173">
        <v>45261</v>
      </c>
      <c r="S292" s="173"/>
      <c r="T292" s="173">
        <v>45562</v>
      </c>
      <c r="U292" s="173"/>
      <c r="V292" s="173"/>
      <c r="W292" s="3">
        <f>VLOOKUP(Table1[[#This Row],[Status]],Auxiliar!$B$16:$D$23,3,0)*Table1[[#This Row],[Estimação (horas)]]</f>
        <v>2.5000000000000001E-2</v>
      </c>
      <c r="X292" s="3"/>
    </row>
    <row r="293" spans="2:24" ht="17.399999999999999">
      <c r="B293" s="3" t="s">
        <v>28</v>
      </c>
      <c r="C293" s="3" t="s">
        <v>54</v>
      </c>
      <c r="D293" s="3" t="s">
        <v>121</v>
      </c>
      <c r="E293" s="3" t="s">
        <v>38</v>
      </c>
      <c r="F293" s="3" t="s">
        <v>120</v>
      </c>
      <c r="G293" s="3" t="s">
        <v>126</v>
      </c>
      <c r="H293" s="63" t="str">
        <f>Table1[[#This Row],[Tabela]]&amp;Table1[[#This Row],[Campo]]</f>
        <v>cd_imv_out_certifdata_exprc_epc</v>
      </c>
      <c r="I293" s="3" t="s">
        <v>482</v>
      </c>
      <c r="J293" s="45">
        <f>VLOOKUP(Table1[[#This Row],[Status]],Auxiliar!$B$16:$C$23,2,0)</f>
        <v>6</v>
      </c>
      <c r="K293" s="3" t="s">
        <v>1137</v>
      </c>
      <c r="L293" s="30" t="s">
        <v>1135</v>
      </c>
      <c r="M293" s="22" t="s">
        <v>1145</v>
      </c>
      <c r="N293" s="53">
        <v>45485</v>
      </c>
      <c r="O293" s="22">
        <f>INDEX(Auxiliar!$D$5:$F$13,MATCH(Table1[[#This Row],[Tipologia_Testes]],Auxiliar!$B$5:$B$13,0),MATCH(Table1[[#This Row],[Complexidade]],Auxiliar!$D$4:$F$4,0))</f>
        <v>2</v>
      </c>
      <c r="P293" s="3" t="s">
        <v>1175</v>
      </c>
      <c r="Q293" s="3"/>
      <c r="R293" s="173">
        <v>45261</v>
      </c>
      <c r="S293" s="173"/>
      <c r="T293" s="173">
        <v>45562</v>
      </c>
      <c r="U293" s="173"/>
      <c r="V293" s="173"/>
      <c r="W293" s="3">
        <f>VLOOKUP(Table1[[#This Row],[Status]],Auxiliar!$B$16:$D$23,3,0)*Table1[[#This Row],[Estimação (horas)]]</f>
        <v>0.5</v>
      </c>
      <c r="X293" s="3"/>
    </row>
    <row r="294" spans="2:24" ht="17.399999999999999">
      <c r="B294" s="3" t="s">
        <v>28</v>
      </c>
      <c r="C294" s="3" t="s">
        <v>54</v>
      </c>
      <c r="D294" s="3" t="s">
        <v>121</v>
      </c>
      <c r="E294" s="3" t="s">
        <v>38</v>
      </c>
      <c r="F294" s="3" t="s">
        <v>120</v>
      </c>
      <c r="G294" s="3" t="s">
        <v>126</v>
      </c>
      <c r="H294" s="63" t="str">
        <f>Table1[[#This Row],[Tabela]]&amp;Table1[[#This Row],[Campo]]</f>
        <v>cd_imv_out_certifdata_exprc_epc</v>
      </c>
      <c r="I294" s="3" t="s">
        <v>482</v>
      </c>
      <c r="J294" s="45">
        <f>VLOOKUP(Table1[[#This Row],[Status]],Auxiliar!$B$16:$C$23,2,0)</f>
        <v>6</v>
      </c>
      <c r="K294" s="3" t="s">
        <v>1138</v>
      </c>
      <c r="L294" s="30" t="s">
        <v>1135</v>
      </c>
      <c r="M294" s="22" t="s">
        <v>1145</v>
      </c>
      <c r="N294" s="53">
        <v>45485</v>
      </c>
      <c r="O294" s="22">
        <f>INDEX(Auxiliar!$D$5:$F$13,MATCH(Table1[[#This Row],[Tipologia_Testes]],Auxiliar!$B$5:$B$13,0),MATCH(Table1[[#This Row],[Complexidade]],Auxiliar!$D$4:$F$4,0))</f>
        <v>2</v>
      </c>
      <c r="P294" s="3" t="s">
        <v>1175</v>
      </c>
      <c r="Q294" s="3"/>
      <c r="R294" s="173">
        <v>45261</v>
      </c>
      <c r="S294" s="173"/>
      <c r="T294" s="173">
        <v>45562</v>
      </c>
      <c r="U294" s="173"/>
      <c r="V294" s="173"/>
      <c r="W294" s="3">
        <f>VLOOKUP(Table1[[#This Row],[Status]],Auxiliar!$B$16:$D$23,3,0)*Table1[[#This Row],[Estimação (horas)]]</f>
        <v>0.5</v>
      </c>
      <c r="X294" s="3"/>
    </row>
    <row r="295" spans="2:24" ht="17.399999999999999">
      <c r="B295" s="3" t="s">
        <v>28</v>
      </c>
      <c r="C295" s="3" t="s">
        <v>54</v>
      </c>
      <c r="D295" s="3" t="s">
        <v>121</v>
      </c>
      <c r="E295" s="3" t="s">
        <v>38</v>
      </c>
      <c r="F295" s="3" t="s">
        <v>120</v>
      </c>
      <c r="G295" s="3" t="s">
        <v>126</v>
      </c>
      <c r="H295" s="63" t="str">
        <f>Table1[[#This Row],[Tabela]]&amp;Table1[[#This Row],[Campo]]</f>
        <v>cd_imv_out_certifdata_exprc_epc</v>
      </c>
      <c r="I295" s="3" t="s">
        <v>482</v>
      </c>
      <c r="J295" s="45">
        <f>VLOOKUP(Table1[[#This Row],[Status]],Auxiliar!$B$16:$C$23,2,0)</f>
        <v>6</v>
      </c>
      <c r="K295" s="3" t="s">
        <v>1141</v>
      </c>
      <c r="L295" s="30" t="s">
        <v>1135</v>
      </c>
      <c r="M295" s="22" t="s">
        <v>1145</v>
      </c>
      <c r="N295" s="53">
        <v>45485</v>
      </c>
      <c r="O295" s="22">
        <f>INDEX(Auxiliar!$D$5:$F$13,MATCH(Table1[[#This Row],[Tipologia_Testes]],Auxiliar!$B$5:$B$13,0),MATCH(Table1[[#This Row],[Complexidade]],Auxiliar!$D$4:$F$4,0))</f>
        <v>0.1</v>
      </c>
      <c r="P295" s="3" t="s">
        <v>1175</v>
      </c>
      <c r="Q295" s="3"/>
      <c r="R295" s="173">
        <v>45261</v>
      </c>
      <c r="S295" s="173"/>
      <c r="T295" s="173">
        <v>45562</v>
      </c>
      <c r="U295" s="173"/>
      <c r="V295" s="173"/>
      <c r="W295" s="3">
        <f>VLOOKUP(Table1[[#This Row],[Status]],Auxiliar!$B$16:$D$23,3,0)*Table1[[#This Row],[Estimação (horas)]]</f>
        <v>2.5000000000000001E-2</v>
      </c>
      <c r="X295" s="3"/>
    </row>
    <row r="296" spans="2:24" ht="17.399999999999999">
      <c r="B296" s="3" t="s">
        <v>28</v>
      </c>
      <c r="C296" s="3" t="s">
        <v>54</v>
      </c>
      <c r="D296" s="3" t="s">
        <v>121</v>
      </c>
      <c r="E296" s="3" t="s">
        <v>38</v>
      </c>
      <c r="F296" s="3" t="s">
        <v>120</v>
      </c>
      <c r="G296" s="3" t="s">
        <v>47</v>
      </c>
      <c r="H296" s="63" t="str">
        <f>Table1[[#This Row],[Tabela]]&amp;Table1[[#This Row],[Campo]]</f>
        <v>cd_imv_out_certifepc</v>
      </c>
      <c r="I296" s="3" t="s">
        <v>482</v>
      </c>
      <c r="J296" s="45">
        <f>VLOOKUP(Table1[[#This Row],[Status]],Auxiliar!$B$16:$C$23,2,0)</f>
        <v>6</v>
      </c>
      <c r="K296" s="3" t="s">
        <v>1137</v>
      </c>
      <c r="L296" s="30" t="s">
        <v>1135</v>
      </c>
      <c r="M296" s="22" t="s">
        <v>1145</v>
      </c>
      <c r="N296" s="53">
        <v>45485</v>
      </c>
      <c r="O296" s="22">
        <f>INDEX(Auxiliar!$D$5:$F$13,MATCH(Table1[[#This Row],[Tipologia_Testes]],Auxiliar!$B$5:$B$13,0),MATCH(Table1[[#This Row],[Complexidade]],Auxiliar!$D$4:$F$4,0))</f>
        <v>2</v>
      </c>
      <c r="P296" s="3" t="s">
        <v>1175</v>
      </c>
      <c r="Q296" s="3"/>
      <c r="R296" s="173">
        <v>45261</v>
      </c>
      <c r="S296" s="173"/>
      <c r="T296" s="173">
        <v>45562</v>
      </c>
      <c r="U296" s="173"/>
      <c r="V296" s="173"/>
      <c r="W296" s="3">
        <f>VLOOKUP(Table1[[#This Row],[Status]],Auxiliar!$B$16:$D$23,3,0)*Table1[[#This Row],[Estimação (horas)]]</f>
        <v>0.5</v>
      </c>
      <c r="X296" s="3"/>
    </row>
    <row r="297" spans="2:24" ht="17.399999999999999">
      <c r="B297" s="3" t="s">
        <v>28</v>
      </c>
      <c r="C297" s="3" t="s">
        <v>54</v>
      </c>
      <c r="D297" s="3" t="s">
        <v>121</v>
      </c>
      <c r="E297" s="3" t="s">
        <v>38</v>
      </c>
      <c r="F297" s="3" t="s">
        <v>120</v>
      </c>
      <c r="G297" s="3" t="s">
        <v>47</v>
      </c>
      <c r="H297" s="63" t="str">
        <f>Table1[[#This Row],[Tabela]]&amp;Table1[[#This Row],[Campo]]</f>
        <v>cd_imv_out_certifepc</v>
      </c>
      <c r="I297" s="3" t="s">
        <v>482</v>
      </c>
      <c r="J297" s="45">
        <f>VLOOKUP(Table1[[#This Row],[Status]],Auxiliar!$B$16:$C$23,2,0)</f>
        <v>6</v>
      </c>
      <c r="K297" s="3" t="s">
        <v>1138</v>
      </c>
      <c r="L297" s="30" t="s">
        <v>1135</v>
      </c>
      <c r="M297" s="22" t="s">
        <v>1145</v>
      </c>
      <c r="N297" s="53">
        <v>45485</v>
      </c>
      <c r="O297" s="22">
        <f>INDEX(Auxiliar!$D$5:$F$13,MATCH(Table1[[#This Row],[Tipologia_Testes]],Auxiliar!$B$5:$B$13,0),MATCH(Table1[[#This Row],[Complexidade]],Auxiliar!$D$4:$F$4,0))</f>
        <v>2</v>
      </c>
      <c r="P297" s="3" t="s">
        <v>1175</v>
      </c>
      <c r="Q297" s="3"/>
      <c r="R297" s="173">
        <v>45261</v>
      </c>
      <c r="S297" s="173"/>
      <c r="T297" s="173">
        <v>45562</v>
      </c>
      <c r="U297" s="173"/>
      <c r="V297" s="173"/>
      <c r="W297" s="3">
        <f>VLOOKUP(Table1[[#This Row],[Status]],Auxiliar!$B$16:$D$23,3,0)*Table1[[#This Row],[Estimação (horas)]]</f>
        <v>0.5</v>
      </c>
      <c r="X297" s="3"/>
    </row>
    <row r="298" spans="2:24" ht="17.399999999999999">
      <c r="B298" s="3" t="s">
        <v>28</v>
      </c>
      <c r="C298" s="3" t="s">
        <v>54</v>
      </c>
      <c r="D298" s="3" t="s">
        <v>121</v>
      </c>
      <c r="E298" s="3" t="s">
        <v>38</v>
      </c>
      <c r="F298" s="3" t="s">
        <v>120</v>
      </c>
      <c r="G298" s="3" t="s">
        <v>47</v>
      </c>
      <c r="H298" s="63" t="str">
        <f>Table1[[#This Row],[Tabela]]&amp;Table1[[#This Row],[Campo]]</f>
        <v>cd_imv_out_certifepc</v>
      </c>
      <c r="I298" s="3" t="s">
        <v>482</v>
      </c>
      <c r="J298" s="45">
        <f>VLOOKUP(Table1[[#This Row],[Status]],Auxiliar!$B$16:$C$23,2,0)</f>
        <v>6</v>
      </c>
      <c r="K298" s="3" t="s">
        <v>1141</v>
      </c>
      <c r="L298" s="30" t="s">
        <v>1135</v>
      </c>
      <c r="M298" s="22" t="s">
        <v>1145</v>
      </c>
      <c r="N298" s="53">
        <v>45485</v>
      </c>
      <c r="O298" s="22">
        <f>INDEX(Auxiliar!$D$5:$F$13,MATCH(Table1[[#This Row],[Tipologia_Testes]],Auxiliar!$B$5:$B$13,0),MATCH(Table1[[#This Row],[Complexidade]],Auxiliar!$D$4:$F$4,0))</f>
        <v>0.1</v>
      </c>
      <c r="P298" s="3" t="s">
        <v>1175</v>
      </c>
      <c r="Q298" s="3"/>
      <c r="R298" s="173">
        <v>45261</v>
      </c>
      <c r="S298" s="173"/>
      <c r="T298" s="173">
        <v>45562</v>
      </c>
      <c r="U298" s="173"/>
      <c r="V298" s="173"/>
      <c r="W298" s="3">
        <f>VLOOKUP(Table1[[#This Row],[Status]],Auxiliar!$B$16:$D$23,3,0)*Table1[[#This Row],[Estimação (horas)]]</f>
        <v>2.5000000000000001E-2</v>
      </c>
      <c r="X298" s="3"/>
    </row>
    <row r="299" spans="2:24" ht="17.399999999999999" hidden="1">
      <c r="B299" s="3" t="s">
        <v>28</v>
      </c>
      <c r="C299" s="3" t="s">
        <v>54</v>
      </c>
      <c r="D299" s="3" t="s">
        <v>121</v>
      </c>
      <c r="E299" s="3" t="s">
        <v>38</v>
      </c>
      <c r="F299" s="3" t="s">
        <v>120</v>
      </c>
      <c r="G299" s="3" t="s">
        <v>127</v>
      </c>
      <c r="H299" s="63" t="str">
        <f>Table1[[#This Row],[Tabela]]&amp;Table1[[#This Row],[Campo]]</f>
        <v>cd_imv_out_certifflg_efcc_enrg_cnsm_tp_s</v>
      </c>
      <c r="I299" s="3" t="s">
        <v>477</v>
      </c>
      <c r="J299" s="45">
        <f>VLOOKUP(Table1[[#This Row],[Status]],Auxiliar!$B$16:$C$23,2,0)</f>
        <v>1</v>
      </c>
      <c r="K299" s="3" t="s">
        <v>1137</v>
      </c>
      <c r="L299" s="30" t="s">
        <v>1135</v>
      </c>
      <c r="M299" s="22" t="s">
        <v>1145</v>
      </c>
      <c r="N299" s="53">
        <v>45485</v>
      </c>
      <c r="O299" s="22">
        <f>INDEX(Auxiliar!$D$5:$F$13,MATCH(Table1[[#This Row],[Tipologia_Testes]],Auxiliar!$B$5:$B$13,0),MATCH(Table1[[#This Row],[Complexidade]],Auxiliar!$D$4:$F$4,0))</f>
        <v>2</v>
      </c>
      <c r="P299" s="3" t="s">
        <v>1175</v>
      </c>
      <c r="Q299" s="3"/>
      <c r="R299" s="173">
        <v>45261</v>
      </c>
      <c r="S299" s="173"/>
      <c r="T299" s="173"/>
      <c r="U299" s="173"/>
      <c r="V299" s="173"/>
      <c r="W299" s="3">
        <f>VLOOKUP(Table1[[#This Row],[Status]],Auxiliar!$B$16:$D$23,3,0)*Table1[[#This Row],[Estimação (horas)]]</f>
        <v>2</v>
      </c>
      <c r="X299" s="3"/>
    </row>
    <row r="300" spans="2:24" ht="17.399999999999999" hidden="1">
      <c r="B300" s="3" t="s">
        <v>28</v>
      </c>
      <c r="C300" s="3" t="s">
        <v>54</v>
      </c>
      <c r="D300" s="3" t="s">
        <v>121</v>
      </c>
      <c r="E300" s="3" t="s">
        <v>38</v>
      </c>
      <c r="F300" s="3" t="s">
        <v>120</v>
      </c>
      <c r="G300" s="3" t="s">
        <v>127</v>
      </c>
      <c r="H300" s="63" t="str">
        <f>Table1[[#This Row],[Tabela]]&amp;Table1[[#This Row],[Campo]]</f>
        <v>cd_imv_out_certifflg_efcc_enrg_cnsm_tp_s</v>
      </c>
      <c r="I300" s="3" t="s">
        <v>477</v>
      </c>
      <c r="J300" s="45">
        <f>VLOOKUP(Table1[[#This Row],[Status]],Auxiliar!$B$16:$C$23,2,0)</f>
        <v>1</v>
      </c>
      <c r="K300" s="3" t="s">
        <v>1138</v>
      </c>
      <c r="L300" s="30" t="s">
        <v>1135</v>
      </c>
      <c r="M300" s="22" t="s">
        <v>1145</v>
      </c>
      <c r="N300" s="53">
        <v>45485</v>
      </c>
      <c r="O300" s="22">
        <f>INDEX(Auxiliar!$D$5:$F$13,MATCH(Table1[[#This Row],[Tipologia_Testes]],Auxiliar!$B$5:$B$13,0),MATCH(Table1[[#This Row],[Complexidade]],Auxiliar!$D$4:$F$4,0))</f>
        <v>2</v>
      </c>
      <c r="P300" s="3" t="s">
        <v>1175</v>
      </c>
      <c r="Q300" s="3"/>
      <c r="R300" s="173">
        <v>45261</v>
      </c>
      <c r="S300" s="173"/>
      <c r="T300" s="173"/>
      <c r="U300" s="173"/>
      <c r="V300" s="173"/>
      <c r="W300" s="3">
        <f>VLOOKUP(Table1[[#This Row],[Status]],Auxiliar!$B$16:$D$23,3,0)*Table1[[#This Row],[Estimação (horas)]]</f>
        <v>2</v>
      </c>
      <c r="X300" s="3"/>
    </row>
    <row r="301" spans="2:24" ht="17.399999999999999" hidden="1">
      <c r="B301" s="3" t="s">
        <v>28</v>
      </c>
      <c r="C301" s="3" t="s">
        <v>54</v>
      </c>
      <c r="D301" s="3" t="s">
        <v>121</v>
      </c>
      <c r="E301" s="3" t="s">
        <v>38</v>
      </c>
      <c r="F301" s="3" t="s">
        <v>120</v>
      </c>
      <c r="G301" s="3" t="s">
        <v>127</v>
      </c>
      <c r="H301" s="63" t="str">
        <f>Table1[[#This Row],[Tabela]]&amp;Table1[[#This Row],[Campo]]</f>
        <v>cd_imv_out_certifflg_efcc_enrg_cnsm_tp_s</v>
      </c>
      <c r="I301" s="3" t="s">
        <v>477</v>
      </c>
      <c r="J301" s="45">
        <f>VLOOKUP(Table1[[#This Row],[Status]],Auxiliar!$B$16:$C$23,2,0)</f>
        <v>1</v>
      </c>
      <c r="K301" s="3" t="s">
        <v>1141</v>
      </c>
      <c r="L301" s="30" t="s">
        <v>1135</v>
      </c>
      <c r="M301" s="22" t="s">
        <v>1145</v>
      </c>
      <c r="N301" s="53">
        <v>45485</v>
      </c>
      <c r="O301" s="22">
        <f>INDEX(Auxiliar!$D$5:$F$13,MATCH(Table1[[#This Row],[Tipologia_Testes]],Auxiliar!$B$5:$B$13,0),MATCH(Table1[[#This Row],[Complexidade]],Auxiliar!$D$4:$F$4,0))</f>
        <v>0.1</v>
      </c>
      <c r="P301" s="3" t="s">
        <v>1175</v>
      </c>
      <c r="Q301" s="3"/>
      <c r="R301" s="173">
        <v>45261</v>
      </c>
      <c r="S301" s="173"/>
      <c r="T301" s="173"/>
      <c r="U301" s="173"/>
      <c r="V301" s="173"/>
      <c r="W301" s="3">
        <f>VLOOKUP(Table1[[#This Row],[Status]],Auxiliar!$B$16:$D$23,3,0)*Table1[[#This Row],[Estimação (horas)]]</f>
        <v>0.1</v>
      </c>
      <c r="X301" s="3"/>
    </row>
    <row r="302" spans="2:24" ht="17.399999999999999" hidden="1">
      <c r="B302" s="3" t="s">
        <v>28</v>
      </c>
      <c r="C302" s="3" t="s">
        <v>54</v>
      </c>
      <c r="D302" s="3" t="s">
        <v>121</v>
      </c>
      <c r="E302" s="3" t="s">
        <v>38</v>
      </c>
      <c r="F302" s="3" t="s">
        <v>120</v>
      </c>
      <c r="G302" s="3" t="s">
        <v>128</v>
      </c>
      <c r="H302" s="63" t="str">
        <f>Table1[[#This Row],[Tabela]]&amp;Table1[[#This Row],[Campo]]</f>
        <v>cd_imv_out_certifflg_efcnc_enrg_cnsm_tp_t</v>
      </c>
      <c r="I302" s="3" t="s">
        <v>477</v>
      </c>
      <c r="J302" s="45">
        <f>VLOOKUP(Table1[[#This Row],[Status]],Auxiliar!$B$16:$C$23,2,0)</f>
        <v>1</v>
      </c>
      <c r="K302" s="3" t="s">
        <v>1137</v>
      </c>
      <c r="L302" s="30" t="s">
        <v>1135</v>
      </c>
      <c r="M302" s="22" t="s">
        <v>1145</v>
      </c>
      <c r="N302" s="53">
        <v>45485</v>
      </c>
      <c r="O302" s="22">
        <f>INDEX(Auxiliar!$D$5:$F$13,MATCH(Table1[[#This Row],[Tipologia_Testes]],Auxiliar!$B$5:$B$13,0),MATCH(Table1[[#This Row],[Complexidade]],Auxiliar!$D$4:$F$4,0))</f>
        <v>2</v>
      </c>
      <c r="P302" s="3" t="s">
        <v>1175</v>
      </c>
      <c r="Q302" s="3"/>
      <c r="R302" s="173">
        <v>45261</v>
      </c>
      <c r="S302" s="173"/>
      <c r="T302" s="173"/>
      <c r="U302" s="173"/>
      <c r="V302" s="173"/>
      <c r="W302" s="3">
        <f>VLOOKUP(Table1[[#This Row],[Status]],Auxiliar!$B$16:$D$23,3,0)*Table1[[#This Row],[Estimação (horas)]]</f>
        <v>2</v>
      </c>
      <c r="X302" s="3"/>
    </row>
    <row r="303" spans="2:24" ht="17.399999999999999" hidden="1">
      <c r="B303" s="3" t="s">
        <v>28</v>
      </c>
      <c r="C303" s="3" t="s">
        <v>54</v>
      </c>
      <c r="D303" s="3" t="s">
        <v>121</v>
      </c>
      <c r="E303" s="3" t="s">
        <v>38</v>
      </c>
      <c r="F303" s="3" t="s">
        <v>120</v>
      </c>
      <c r="G303" s="3" t="s">
        <v>128</v>
      </c>
      <c r="H303" s="63" t="str">
        <f>Table1[[#This Row],[Tabela]]&amp;Table1[[#This Row],[Campo]]</f>
        <v>cd_imv_out_certifflg_efcnc_enrg_cnsm_tp_t</v>
      </c>
      <c r="I303" s="3" t="s">
        <v>477</v>
      </c>
      <c r="J303" s="45">
        <f>VLOOKUP(Table1[[#This Row],[Status]],Auxiliar!$B$16:$C$23,2,0)</f>
        <v>1</v>
      </c>
      <c r="K303" s="3" t="s">
        <v>1138</v>
      </c>
      <c r="L303" s="30" t="s">
        <v>1135</v>
      </c>
      <c r="M303" s="22" t="s">
        <v>1145</v>
      </c>
      <c r="N303" s="53">
        <v>45485</v>
      </c>
      <c r="O303" s="22">
        <f>INDEX(Auxiliar!$D$5:$F$13,MATCH(Table1[[#This Row],[Tipologia_Testes]],Auxiliar!$B$5:$B$13,0),MATCH(Table1[[#This Row],[Complexidade]],Auxiliar!$D$4:$F$4,0))</f>
        <v>2</v>
      </c>
      <c r="P303" s="3" t="s">
        <v>1175</v>
      </c>
      <c r="Q303" s="3"/>
      <c r="R303" s="173">
        <v>45261</v>
      </c>
      <c r="S303" s="173"/>
      <c r="T303" s="173"/>
      <c r="U303" s="173"/>
      <c r="V303" s="173"/>
      <c r="W303" s="3">
        <f>VLOOKUP(Table1[[#This Row],[Status]],Auxiliar!$B$16:$D$23,3,0)*Table1[[#This Row],[Estimação (horas)]]</f>
        <v>2</v>
      </c>
      <c r="X303" s="3"/>
    </row>
    <row r="304" spans="2:24" ht="17.399999999999999" hidden="1">
      <c r="B304" s="3" t="s">
        <v>28</v>
      </c>
      <c r="C304" s="3" t="s">
        <v>54</v>
      </c>
      <c r="D304" s="3" t="s">
        <v>121</v>
      </c>
      <c r="E304" s="3" t="s">
        <v>38</v>
      </c>
      <c r="F304" s="3" t="s">
        <v>120</v>
      </c>
      <c r="G304" s="3" t="s">
        <v>128</v>
      </c>
      <c r="H304" s="63" t="str">
        <f>Table1[[#This Row],[Tabela]]&amp;Table1[[#This Row],[Campo]]</f>
        <v>cd_imv_out_certifflg_efcnc_enrg_cnsm_tp_t</v>
      </c>
      <c r="I304" s="3" t="s">
        <v>477</v>
      </c>
      <c r="J304" s="45">
        <f>VLOOKUP(Table1[[#This Row],[Status]],Auxiliar!$B$16:$C$23,2,0)</f>
        <v>1</v>
      </c>
      <c r="K304" s="3" t="s">
        <v>1141</v>
      </c>
      <c r="L304" s="30" t="s">
        <v>1135</v>
      </c>
      <c r="M304" s="22" t="s">
        <v>1145</v>
      </c>
      <c r="N304" s="53">
        <v>45485</v>
      </c>
      <c r="O304" s="22">
        <f>INDEX(Auxiliar!$D$5:$F$13,MATCH(Table1[[#This Row],[Tipologia_Testes]],Auxiliar!$B$5:$B$13,0),MATCH(Table1[[#This Row],[Complexidade]],Auxiliar!$D$4:$F$4,0))</f>
        <v>0.1</v>
      </c>
      <c r="P304" s="3" t="s">
        <v>1175</v>
      </c>
      <c r="Q304" s="3"/>
      <c r="R304" s="173">
        <v>45261</v>
      </c>
      <c r="S304" s="173"/>
      <c r="T304" s="173"/>
      <c r="U304" s="173"/>
      <c r="V304" s="173"/>
      <c r="W304" s="3">
        <f>VLOOKUP(Table1[[#This Row],[Status]],Auxiliar!$B$16:$D$23,3,0)*Table1[[#This Row],[Estimação (horas)]]</f>
        <v>0.1</v>
      </c>
      <c r="X304" s="3"/>
    </row>
    <row r="305" spans="2:24" ht="17.399999999999999">
      <c r="B305" s="3" t="s">
        <v>28</v>
      </c>
      <c r="C305" s="3" t="s">
        <v>54</v>
      </c>
      <c r="D305" s="3" t="s">
        <v>121</v>
      </c>
      <c r="E305" s="3" t="s">
        <v>38</v>
      </c>
      <c r="F305" s="3" t="s">
        <v>120</v>
      </c>
      <c r="G305" s="3" t="s">
        <v>129</v>
      </c>
      <c r="H305" s="63" t="str">
        <f>Table1[[#This Row],[Tabela]]&amp;Table1[[#This Row],[Campo]]</f>
        <v>cd_imv_out_certifflg_efcnc_enrgtc</v>
      </c>
      <c r="I305" s="3" t="s">
        <v>482</v>
      </c>
      <c r="J305" s="45">
        <f>VLOOKUP(Table1[[#This Row],[Status]],Auxiliar!$B$16:$C$23,2,0)</f>
        <v>6</v>
      </c>
      <c r="K305" s="3" t="s">
        <v>1137</v>
      </c>
      <c r="L305" s="30" t="s">
        <v>1135</v>
      </c>
      <c r="M305" s="22" t="s">
        <v>1145</v>
      </c>
      <c r="N305" s="53">
        <v>45485</v>
      </c>
      <c r="O305" s="22">
        <f>INDEX(Auxiliar!$D$5:$F$13,MATCH(Table1[[#This Row],[Tipologia_Testes]],Auxiliar!$B$5:$B$13,0),MATCH(Table1[[#This Row],[Complexidade]],Auxiliar!$D$4:$F$4,0))</f>
        <v>2</v>
      </c>
      <c r="P305" s="3" t="s">
        <v>1175</v>
      </c>
      <c r="Q305" s="3"/>
      <c r="R305" s="173">
        <v>45261</v>
      </c>
      <c r="S305" s="173"/>
      <c r="T305" s="173">
        <v>45562</v>
      </c>
      <c r="U305" s="173"/>
      <c r="V305" s="173"/>
      <c r="W305" s="3">
        <f>VLOOKUP(Table1[[#This Row],[Status]],Auxiliar!$B$16:$D$23,3,0)*Table1[[#This Row],[Estimação (horas)]]</f>
        <v>0.5</v>
      </c>
      <c r="X305" s="3"/>
    </row>
    <row r="306" spans="2:24" ht="17.399999999999999">
      <c r="B306" s="3" t="s">
        <v>28</v>
      </c>
      <c r="C306" s="3" t="s">
        <v>54</v>
      </c>
      <c r="D306" s="3" t="s">
        <v>121</v>
      </c>
      <c r="E306" s="3" t="s">
        <v>38</v>
      </c>
      <c r="F306" s="3" t="s">
        <v>120</v>
      </c>
      <c r="G306" s="3" t="s">
        <v>129</v>
      </c>
      <c r="H306" s="63" t="str">
        <f>Table1[[#This Row],[Tabela]]&amp;Table1[[#This Row],[Campo]]</f>
        <v>cd_imv_out_certifflg_efcnc_enrgtc</v>
      </c>
      <c r="I306" s="3" t="s">
        <v>482</v>
      </c>
      <c r="J306" s="45">
        <f>VLOOKUP(Table1[[#This Row],[Status]],Auxiliar!$B$16:$C$23,2,0)</f>
        <v>6</v>
      </c>
      <c r="K306" s="3" t="s">
        <v>1138</v>
      </c>
      <c r="L306" s="30" t="s">
        <v>1135</v>
      </c>
      <c r="M306" s="22" t="s">
        <v>1145</v>
      </c>
      <c r="N306" s="53">
        <v>45485</v>
      </c>
      <c r="O306" s="22">
        <f>INDEX(Auxiliar!$D$5:$F$13,MATCH(Table1[[#This Row],[Tipologia_Testes]],Auxiliar!$B$5:$B$13,0),MATCH(Table1[[#This Row],[Complexidade]],Auxiliar!$D$4:$F$4,0))</f>
        <v>2</v>
      </c>
      <c r="P306" s="3" t="s">
        <v>1175</v>
      </c>
      <c r="Q306" s="3"/>
      <c r="R306" s="173">
        <v>45261</v>
      </c>
      <c r="S306" s="173"/>
      <c r="T306" s="173">
        <v>45562</v>
      </c>
      <c r="U306" s="173"/>
      <c r="V306" s="173"/>
      <c r="W306" s="3">
        <f>VLOOKUP(Table1[[#This Row],[Status]],Auxiliar!$B$16:$D$23,3,0)*Table1[[#This Row],[Estimação (horas)]]</f>
        <v>0.5</v>
      </c>
      <c r="X306" s="3"/>
    </row>
    <row r="307" spans="2:24" ht="17.399999999999999">
      <c r="B307" s="3" t="s">
        <v>28</v>
      </c>
      <c r="C307" s="3" t="s">
        <v>54</v>
      </c>
      <c r="D307" s="3" t="s">
        <v>121</v>
      </c>
      <c r="E307" s="3" t="s">
        <v>38</v>
      </c>
      <c r="F307" s="3" t="s">
        <v>120</v>
      </c>
      <c r="G307" s="3" t="s">
        <v>129</v>
      </c>
      <c r="H307" s="63" t="str">
        <f>Table1[[#This Row],[Tabela]]&amp;Table1[[#This Row],[Campo]]</f>
        <v>cd_imv_out_certifflg_efcnc_enrgtc</v>
      </c>
      <c r="I307" s="3" t="s">
        <v>482</v>
      </c>
      <c r="J307" s="45">
        <f>VLOOKUP(Table1[[#This Row],[Status]],Auxiliar!$B$16:$C$23,2,0)</f>
        <v>6</v>
      </c>
      <c r="K307" s="3" t="s">
        <v>1141</v>
      </c>
      <c r="L307" s="30" t="s">
        <v>1135</v>
      </c>
      <c r="M307" s="22" t="s">
        <v>1145</v>
      </c>
      <c r="N307" s="53">
        <v>45485</v>
      </c>
      <c r="O307" s="22">
        <f>INDEX(Auxiliar!$D$5:$F$13,MATCH(Table1[[#This Row],[Tipologia_Testes]],Auxiliar!$B$5:$B$13,0),MATCH(Table1[[#This Row],[Complexidade]],Auxiliar!$D$4:$F$4,0))</f>
        <v>0.1</v>
      </c>
      <c r="P307" s="3" t="s">
        <v>1175</v>
      </c>
      <c r="Q307" s="3"/>
      <c r="R307" s="173">
        <v>45261</v>
      </c>
      <c r="S307" s="173"/>
      <c r="T307" s="173">
        <v>45562</v>
      </c>
      <c r="U307" s="173"/>
      <c r="V307" s="173"/>
      <c r="W307" s="3">
        <f>VLOOKUP(Table1[[#This Row],[Status]],Auxiliar!$B$16:$D$23,3,0)*Table1[[#This Row],[Estimação (horas)]]</f>
        <v>2.5000000000000001E-2</v>
      </c>
      <c r="X307" s="3"/>
    </row>
    <row r="308" spans="2:24" ht="17.399999999999999" hidden="1">
      <c r="B308" s="3" t="s">
        <v>28</v>
      </c>
      <c r="C308" s="3" t="s">
        <v>54</v>
      </c>
      <c r="D308" s="3" t="s">
        <v>121</v>
      </c>
      <c r="E308" s="3" t="s">
        <v>38</v>
      </c>
      <c r="F308" s="3" t="s">
        <v>120</v>
      </c>
      <c r="G308" s="3" t="s">
        <v>130</v>
      </c>
      <c r="H308" s="63" t="str">
        <f>Table1[[#This Row],[Tabela]]&amp;Table1[[#This Row],[Campo]]</f>
        <v>cd_imv_out_certifflg_efcnc_enrgtc_rnvv</v>
      </c>
      <c r="I308" s="3" t="s">
        <v>477</v>
      </c>
      <c r="J308" s="45">
        <f>VLOOKUP(Table1[[#This Row],[Status]],Auxiliar!$B$16:$C$23,2,0)</f>
        <v>1</v>
      </c>
      <c r="K308" s="3" t="s">
        <v>1137</v>
      </c>
      <c r="L308" s="30" t="s">
        <v>1135</v>
      </c>
      <c r="M308" s="22" t="s">
        <v>1145</v>
      </c>
      <c r="N308" s="53">
        <v>45485</v>
      </c>
      <c r="O308" s="22">
        <f>INDEX(Auxiliar!$D$5:$F$13,MATCH(Table1[[#This Row],[Tipologia_Testes]],Auxiliar!$B$5:$B$13,0),MATCH(Table1[[#This Row],[Complexidade]],Auxiliar!$D$4:$F$4,0))</f>
        <v>2</v>
      </c>
      <c r="P308" s="3" t="s">
        <v>1175</v>
      </c>
      <c r="Q308" s="3"/>
      <c r="R308" s="173">
        <v>45261</v>
      </c>
      <c r="S308" s="173"/>
      <c r="T308" s="173"/>
      <c r="U308" s="173"/>
      <c r="V308" s="173"/>
      <c r="W308" s="3">
        <f>VLOOKUP(Table1[[#This Row],[Status]],Auxiliar!$B$16:$D$23,3,0)*Table1[[#This Row],[Estimação (horas)]]</f>
        <v>2</v>
      </c>
      <c r="X308" s="3"/>
    </row>
    <row r="309" spans="2:24" ht="17.399999999999999" hidden="1">
      <c r="B309" s="3" t="s">
        <v>28</v>
      </c>
      <c r="C309" s="3" t="s">
        <v>54</v>
      </c>
      <c r="D309" s="3" t="s">
        <v>121</v>
      </c>
      <c r="E309" s="3" t="s">
        <v>38</v>
      </c>
      <c r="F309" s="3" t="s">
        <v>120</v>
      </c>
      <c r="G309" s="3" t="s">
        <v>130</v>
      </c>
      <c r="H309" s="63" t="str">
        <f>Table1[[#This Row],[Tabela]]&amp;Table1[[#This Row],[Campo]]</f>
        <v>cd_imv_out_certifflg_efcnc_enrgtc_rnvv</v>
      </c>
      <c r="I309" s="3" t="s">
        <v>477</v>
      </c>
      <c r="J309" s="45">
        <f>VLOOKUP(Table1[[#This Row],[Status]],Auxiliar!$B$16:$C$23,2,0)</f>
        <v>1</v>
      </c>
      <c r="K309" s="3" t="s">
        <v>1138</v>
      </c>
      <c r="L309" s="30" t="s">
        <v>1135</v>
      </c>
      <c r="M309" s="22" t="s">
        <v>1145</v>
      </c>
      <c r="N309" s="53">
        <v>45485</v>
      </c>
      <c r="O309" s="22">
        <f>INDEX(Auxiliar!$D$5:$F$13,MATCH(Table1[[#This Row],[Tipologia_Testes]],Auxiliar!$B$5:$B$13,0),MATCH(Table1[[#This Row],[Complexidade]],Auxiliar!$D$4:$F$4,0))</f>
        <v>2</v>
      </c>
      <c r="P309" s="3" t="s">
        <v>1175</v>
      </c>
      <c r="Q309" s="3"/>
      <c r="R309" s="173">
        <v>45261</v>
      </c>
      <c r="S309" s="173"/>
      <c r="T309" s="173"/>
      <c r="U309" s="173"/>
      <c r="V309" s="173"/>
      <c r="W309" s="3">
        <f>VLOOKUP(Table1[[#This Row],[Status]],Auxiliar!$B$16:$D$23,3,0)*Table1[[#This Row],[Estimação (horas)]]</f>
        <v>2</v>
      </c>
      <c r="X309" s="3"/>
    </row>
    <row r="310" spans="2:24" ht="17.399999999999999" hidden="1">
      <c r="B310" s="3" t="s">
        <v>28</v>
      </c>
      <c r="C310" s="3" t="s">
        <v>54</v>
      </c>
      <c r="D310" s="3" t="s">
        <v>121</v>
      </c>
      <c r="E310" s="3" t="s">
        <v>38</v>
      </c>
      <c r="F310" s="3" t="s">
        <v>120</v>
      </c>
      <c r="G310" s="3" t="s">
        <v>130</v>
      </c>
      <c r="H310" s="63" t="str">
        <f>Table1[[#This Row],[Tabela]]&amp;Table1[[#This Row],[Campo]]</f>
        <v>cd_imv_out_certifflg_efcnc_enrgtc_rnvv</v>
      </c>
      <c r="I310" s="3" t="s">
        <v>477</v>
      </c>
      <c r="J310" s="45">
        <f>VLOOKUP(Table1[[#This Row],[Status]],Auxiliar!$B$16:$C$23,2,0)</f>
        <v>1</v>
      </c>
      <c r="K310" s="3" t="s">
        <v>1141</v>
      </c>
      <c r="L310" s="30" t="s">
        <v>1135</v>
      </c>
      <c r="M310" s="22" t="s">
        <v>1145</v>
      </c>
      <c r="N310" s="53">
        <v>45485</v>
      </c>
      <c r="O310" s="22">
        <f>INDEX(Auxiliar!$D$5:$F$13,MATCH(Table1[[#This Row],[Tipologia_Testes]],Auxiliar!$B$5:$B$13,0),MATCH(Table1[[#This Row],[Complexidade]],Auxiliar!$D$4:$F$4,0))</f>
        <v>0.1</v>
      </c>
      <c r="P310" s="3" t="s">
        <v>1175</v>
      </c>
      <c r="Q310" s="3"/>
      <c r="R310" s="173">
        <v>45261</v>
      </c>
      <c r="S310" s="173"/>
      <c r="T310" s="173"/>
      <c r="U310" s="173"/>
      <c r="V310" s="173"/>
      <c r="W310" s="3">
        <f>VLOOKUP(Table1[[#This Row],[Status]],Auxiliar!$B$16:$D$23,3,0)*Table1[[#This Row],[Estimação (horas)]]</f>
        <v>0.1</v>
      </c>
      <c r="X310" s="3"/>
    </row>
    <row r="311" spans="2:24" ht="17.399999999999999">
      <c r="B311" s="3" t="s">
        <v>28</v>
      </c>
      <c r="C311" s="3" t="s">
        <v>54</v>
      </c>
      <c r="D311" s="3" t="s">
        <v>121</v>
      </c>
      <c r="E311" s="3" t="s">
        <v>38</v>
      </c>
      <c r="F311" s="3" t="s">
        <v>120</v>
      </c>
      <c r="G311" s="3" t="s">
        <v>131</v>
      </c>
      <c r="H311" s="63" t="str">
        <f>Table1[[#This Row],[Tabela]]&amp;Table1[[#This Row],[Campo]]</f>
        <v>cd_imv_out_certifflg_nzeb</v>
      </c>
      <c r="I311" s="3" t="s">
        <v>482</v>
      </c>
      <c r="J311" s="45">
        <f>VLOOKUP(Table1[[#This Row],[Status]],Auxiliar!$B$16:$C$23,2,0)</f>
        <v>6</v>
      </c>
      <c r="K311" s="3" t="s">
        <v>1137</v>
      </c>
      <c r="L311" s="30" t="s">
        <v>1135</v>
      </c>
      <c r="M311" s="22" t="s">
        <v>1145</v>
      </c>
      <c r="N311" s="53">
        <v>45485</v>
      </c>
      <c r="O311" s="22">
        <f>INDEX(Auxiliar!$D$5:$F$13,MATCH(Table1[[#This Row],[Tipologia_Testes]],Auxiliar!$B$5:$B$13,0),MATCH(Table1[[#This Row],[Complexidade]],Auxiliar!$D$4:$F$4,0))</f>
        <v>2</v>
      </c>
      <c r="P311" s="3" t="s">
        <v>1175</v>
      </c>
      <c r="Q311" s="3"/>
      <c r="R311" s="173">
        <v>45261</v>
      </c>
      <c r="S311" s="173"/>
      <c r="T311" s="173">
        <v>45562</v>
      </c>
      <c r="U311" s="173"/>
      <c r="V311" s="173"/>
      <c r="W311" s="3">
        <f>VLOOKUP(Table1[[#This Row],[Status]],Auxiliar!$B$16:$D$23,3,0)*Table1[[#This Row],[Estimação (horas)]]</f>
        <v>0.5</v>
      </c>
      <c r="X311" s="3"/>
    </row>
    <row r="312" spans="2:24" ht="17.399999999999999">
      <c r="B312" s="3" t="s">
        <v>28</v>
      </c>
      <c r="C312" s="3" t="s">
        <v>54</v>
      </c>
      <c r="D312" s="3" t="s">
        <v>121</v>
      </c>
      <c r="E312" s="3" t="s">
        <v>38</v>
      </c>
      <c r="F312" s="3" t="s">
        <v>120</v>
      </c>
      <c r="G312" s="3" t="s">
        <v>131</v>
      </c>
      <c r="H312" s="63" t="str">
        <f>Table1[[#This Row],[Tabela]]&amp;Table1[[#This Row],[Campo]]</f>
        <v>cd_imv_out_certifflg_nzeb</v>
      </c>
      <c r="I312" s="3" t="s">
        <v>482</v>
      </c>
      <c r="J312" s="45">
        <f>VLOOKUP(Table1[[#This Row],[Status]],Auxiliar!$B$16:$C$23,2,0)</f>
        <v>6</v>
      </c>
      <c r="K312" s="3" t="s">
        <v>1138</v>
      </c>
      <c r="L312" s="30" t="s">
        <v>1135</v>
      </c>
      <c r="M312" s="22" t="s">
        <v>1145</v>
      </c>
      <c r="N312" s="53">
        <v>45485</v>
      </c>
      <c r="O312" s="22">
        <f>INDEX(Auxiliar!$D$5:$F$13,MATCH(Table1[[#This Row],[Tipologia_Testes]],Auxiliar!$B$5:$B$13,0),MATCH(Table1[[#This Row],[Complexidade]],Auxiliar!$D$4:$F$4,0))</f>
        <v>2</v>
      </c>
      <c r="P312" s="3" t="s">
        <v>1175</v>
      </c>
      <c r="Q312" s="3"/>
      <c r="R312" s="173">
        <v>45261</v>
      </c>
      <c r="S312" s="173"/>
      <c r="T312" s="173">
        <v>45562</v>
      </c>
      <c r="U312" s="173"/>
      <c r="V312" s="173"/>
      <c r="W312" s="3">
        <f>VLOOKUP(Table1[[#This Row],[Status]],Auxiliar!$B$16:$D$23,3,0)*Table1[[#This Row],[Estimação (horas)]]</f>
        <v>0.5</v>
      </c>
      <c r="X312" s="3"/>
    </row>
    <row r="313" spans="2:24" ht="17.399999999999999">
      <c r="B313" s="3" t="s">
        <v>28</v>
      </c>
      <c r="C313" s="3" t="s">
        <v>54</v>
      </c>
      <c r="D313" s="3" t="s">
        <v>121</v>
      </c>
      <c r="E313" s="3" t="s">
        <v>38</v>
      </c>
      <c r="F313" s="3" t="s">
        <v>120</v>
      </c>
      <c r="G313" s="3" t="s">
        <v>131</v>
      </c>
      <c r="H313" s="63" t="str">
        <f>Table1[[#This Row],[Tabela]]&amp;Table1[[#This Row],[Campo]]</f>
        <v>cd_imv_out_certifflg_nzeb</v>
      </c>
      <c r="I313" s="3" t="s">
        <v>482</v>
      </c>
      <c r="J313" s="45">
        <f>VLOOKUP(Table1[[#This Row],[Status]],Auxiliar!$B$16:$C$23,2,0)</f>
        <v>6</v>
      </c>
      <c r="K313" s="3" t="s">
        <v>1141</v>
      </c>
      <c r="L313" s="30" t="s">
        <v>1135</v>
      </c>
      <c r="M313" s="22" t="s">
        <v>1145</v>
      </c>
      <c r="N313" s="53">
        <v>45485</v>
      </c>
      <c r="O313" s="22">
        <f>INDEX(Auxiliar!$D$5:$F$13,MATCH(Table1[[#This Row],[Tipologia_Testes]],Auxiliar!$B$5:$B$13,0),MATCH(Table1[[#This Row],[Complexidade]],Auxiliar!$D$4:$F$4,0))</f>
        <v>0.1</v>
      </c>
      <c r="P313" s="3" t="s">
        <v>1175</v>
      </c>
      <c r="Q313" s="3"/>
      <c r="R313" s="173">
        <v>45261</v>
      </c>
      <c r="S313" s="173"/>
      <c r="T313" s="173">
        <v>45562</v>
      </c>
      <c r="U313" s="173"/>
      <c r="V313" s="173"/>
      <c r="W313" s="3">
        <f>VLOOKUP(Table1[[#This Row],[Status]],Auxiliar!$B$16:$D$23,3,0)*Table1[[#This Row],[Estimação (horas)]]</f>
        <v>2.5000000000000001E-2</v>
      </c>
      <c r="X313" s="3"/>
    </row>
    <row r="314" spans="2:24" ht="17.399999999999999">
      <c r="B314" s="3" t="s">
        <v>28</v>
      </c>
      <c r="C314" s="3" t="s">
        <v>54</v>
      </c>
      <c r="D314" s="3" t="s">
        <v>121</v>
      </c>
      <c r="E314" s="3" t="s">
        <v>38</v>
      </c>
      <c r="F314" s="3" t="s">
        <v>120</v>
      </c>
      <c r="G314" s="3" t="s">
        <v>49</v>
      </c>
      <c r="H314" s="63" t="str">
        <f>Table1[[#This Row],[Tabela]]&amp;Table1[[#This Row],[Campo]]</f>
        <v>cd_imv_out_certifmetodo_info</v>
      </c>
      <c r="I314" s="3" t="s">
        <v>482</v>
      </c>
      <c r="J314" s="45">
        <f>VLOOKUP(Table1[[#This Row],[Status]],Auxiliar!$B$16:$C$23,2,0)</f>
        <v>6</v>
      </c>
      <c r="K314" s="3" t="s">
        <v>1137</v>
      </c>
      <c r="L314" s="30" t="s">
        <v>1135</v>
      </c>
      <c r="M314" s="22" t="s">
        <v>1145</v>
      </c>
      <c r="N314" s="53">
        <v>45562</v>
      </c>
      <c r="O314" s="22">
        <f>INDEX(Auxiliar!$D$5:$F$13,MATCH(Table1[[#This Row],[Tipologia_Testes]],Auxiliar!$B$5:$B$13,0),MATCH(Table1[[#This Row],[Complexidade]],Auxiliar!$D$4:$F$4,0))</f>
        <v>2</v>
      </c>
      <c r="P314" s="3" t="s">
        <v>1175</v>
      </c>
      <c r="Q314" s="3"/>
      <c r="R314" s="173">
        <v>45562</v>
      </c>
      <c r="S314" s="173"/>
      <c r="T314" s="173">
        <v>45562</v>
      </c>
      <c r="U314" s="173"/>
      <c r="V314" s="173"/>
      <c r="W314" s="3">
        <f>VLOOKUP(Table1[[#This Row],[Status]],Auxiliar!$B$16:$D$23,3,0)*Table1[[#This Row],[Estimação (horas)]]</f>
        <v>0.5</v>
      </c>
      <c r="X314" s="3"/>
    </row>
    <row r="315" spans="2:24" ht="17.399999999999999">
      <c r="B315" s="3" t="s">
        <v>28</v>
      </c>
      <c r="C315" s="3" t="s">
        <v>54</v>
      </c>
      <c r="D315" s="3" t="s">
        <v>121</v>
      </c>
      <c r="E315" s="3" t="s">
        <v>38</v>
      </c>
      <c r="F315" s="3" t="s">
        <v>120</v>
      </c>
      <c r="G315" s="3" t="s">
        <v>49</v>
      </c>
      <c r="H315" s="63" t="str">
        <f>Table1[[#This Row],[Tabela]]&amp;Table1[[#This Row],[Campo]]</f>
        <v>cd_imv_out_certifmetodo_info</v>
      </c>
      <c r="I315" s="3" t="s">
        <v>482</v>
      </c>
      <c r="J315" s="45">
        <f>VLOOKUP(Table1[[#This Row],[Status]],Auxiliar!$B$16:$C$23,2,0)</f>
        <v>6</v>
      </c>
      <c r="K315" s="3" t="s">
        <v>1138</v>
      </c>
      <c r="L315" s="30" t="s">
        <v>1135</v>
      </c>
      <c r="M315" s="22" t="s">
        <v>1145</v>
      </c>
      <c r="N315" s="53">
        <v>45562</v>
      </c>
      <c r="O315" s="22">
        <f>INDEX(Auxiliar!$D$5:$F$13,MATCH(Table1[[#This Row],[Tipologia_Testes]],Auxiliar!$B$5:$B$13,0),MATCH(Table1[[#This Row],[Complexidade]],Auxiliar!$D$4:$F$4,0))</f>
        <v>2</v>
      </c>
      <c r="P315" s="3" t="s">
        <v>1175</v>
      </c>
      <c r="Q315" s="3"/>
      <c r="R315" s="173">
        <v>45562</v>
      </c>
      <c r="S315" s="173"/>
      <c r="T315" s="173">
        <v>45562</v>
      </c>
      <c r="U315" s="173"/>
      <c r="V315" s="173"/>
      <c r="W315" s="3">
        <f>VLOOKUP(Table1[[#This Row],[Status]],Auxiliar!$B$16:$D$23,3,0)*Table1[[#This Row],[Estimação (horas)]]</f>
        <v>0.5</v>
      </c>
      <c r="X315" s="3"/>
    </row>
    <row r="316" spans="2:24" ht="17.399999999999999">
      <c r="B316" s="3" t="s">
        <v>28</v>
      </c>
      <c r="C316" s="3" t="s">
        <v>54</v>
      </c>
      <c r="D316" s="3" t="s">
        <v>121</v>
      </c>
      <c r="E316" s="3" t="s">
        <v>38</v>
      </c>
      <c r="F316" s="3" t="s">
        <v>120</v>
      </c>
      <c r="G316" s="3" t="s">
        <v>49</v>
      </c>
      <c r="H316" s="63" t="str">
        <f>Table1[[#This Row],[Tabela]]&amp;Table1[[#This Row],[Campo]]</f>
        <v>cd_imv_out_certifmetodo_info</v>
      </c>
      <c r="I316" s="3" t="s">
        <v>482</v>
      </c>
      <c r="J316" s="45">
        <f>VLOOKUP(Table1[[#This Row],[Status]],Auxiliar!$B$16:$C$23,2,0)</f>
        <v>6</v>
      </c>
      <c r="K316" s="3" t="s">
        <v>1141</v>
      </c>
      <c r="L316" s="30" t="s">
        <v>1135</v>
      </c>
      <c r="M316" s="22" t="s">
        <v>1145</v>
      </c>
      <c r="N316" s="53">
        <v>45562</v>
      </c>
      <c r="O316" s="22">
        <f>INDEX(Auxiliar!$D$5:$F$13,MATCH(Table1[[#This Row],[Tipologia_Testes]],Auxiliar!$B$5:$B$13,0),MATCH(Table1[[#This Row],[Complexidade]],Auxiliar!$D$4:$F$4,0))</f>
        <v>0.1</v>
      </c>
      <c r="P316" s="3" t="s">
        <v>1175</v>
      </c>
      <c r="Q316" s="3"/>
      <c r="R316" s="173">
        <v>45562</v>
      </c>
      <c r="S316" s="173"/>
      <c r="T316" s="173">
        <v>45562</v>
      </c>
      <c r="U316" s="173"/>
      <c r="V316" s="173"/>
      <c r="W316" s="3">
        <f>VLOOKUP(Table1[[#This Row],[Status]],Auxiliar!$B$16:$D$23,3,0)*Table1[[#This Row],[Estimação (horas)]]</f>
        <v>2.5000000000000001E-2</v>
      </c>
      <c r="X316" s="3"/>
    </row>
    <row r="317" spans="2:24" ht="17.399999999999999" hidden="1">
      <c r="B317" s="3" t="s">
        <v>28</v>
      </c>
      <c r="C317" s="3" t="s">
        <v>54</v>
      </c>
      <c r="D317" s="3" t="s">
        <v>121</v>
      </c>
      <c r="E317" s="3" t="s">
        <v>38</v>
      </c>
      <c r="F317" s="3" t="s">
        <v>120</v>
      </c>
      <c r="G317" s="3" t="s">
        <v>132</v>
      </c>
      <c r="H317" s="63" t="str">
        <f>Table1[[#This Row],[Tabela]]&amp;Table1[[#This Row],[Campo]]</f>
        <v>cd_imv_out_certifnvl_efcc_enrg</v>
      </c>
      <c r="I317" s="3" t="s">
        <v>477</v>
      </c>
      <c r="J317" s="45">
        <f>VLOOKUP(Table1[[#This Row],[Status]],Auxiliar!$B$16:$C$23,2,0)</f>
        <v>1</v>
      </c>
      <c r="K317" s="3" t="s">
        <v>1137</v>
      </c>
      <c r="L317" s="30" t="s">
        <v>1135</v>
      </c>
      <c r="M317" s="22" t="s">
        <v>1145</v>
      </c>
      <c r="N317" s="53">
        <v>45485</v>
      </c>
      <c r="O317" s="22">
        <f>INDEX(Auxiliar!$D$5:$F$13,MATCH(Table1[[#This Row],[Tipologia_Testes]],Auxiliar!$B$5:$B$13,0),MATCH(Table1[[#This Row],[Complexidade]],Auxiliar!$D$4:$F$4,0))</f>
        <v>2</v>
      </c>
      <c r="P317" s="3" t="s">
        <v>1175</v>
      </c>
      <c r="Q317" s="3"/>
      <c r="R317" s="173">
        <v>45261</v>
      </c>
      <c r="S317" s="173"/>
      <c r="T317" s="173"/>
      <c r="U317" s="173"/>
      <c r="V317" s="173"/>
      <c r="W317" s="3">
        <f>VLOOKUP(Table1[[#This Row],[Status]],Auxiliar!$B$16:$D$23,3,0)*Table1[[#This Row],[Estimação (horas)]]</f>
        <v>2</v>
      </c>
      <c r="X317" s="3"/>
    </row>
    <row r="318" spans="2:24" ht="17.399999999999999" hidden="1">
      <c r="B318" s="3" t="s">
        <v>28</v>
      </c>
      <c r="C318" s="3" t="s">
        <v>54</v>
      </c>
      <c r="D318" s="3" t="s">
        <v>121</v>
      </c>
      <c r="E318" s="3" t="s">
        <v>38</v>
      </c>
      <c r="F318" s="3" t="s">
        <v>120</v>
      </c>
      <c r="G318" s="3" t="s">
        <v>132</v>
      </c>
      <c r="H318" s="63" t="str">
        <f>Table1[[#This Row],[Tabela]]&amp;Table1[[#This Row],[Campo]]</f>
        <v>cd_imv_out_certifnvl_efcc_enrg</v>
      </c>
      <c r="I318" s="3" t="s">
        <v>477</v>
      </c>
      <c r="J318" s="45">
        <f>VLOOKUP(Table1[[#This Row],[Status]],Auxiliar!$B$16:$C$23,2,0)</f>
        <v>1</v>
      </c>
      <c r="K318" s="3" t="s">
        <v>1138</v>
      </c>
      <c r="L318" s="30" t="s">
        <v>1135</v>
      </c>
      <c r="M318" s="22" t="s">
        <v>1145</v>
      </c>
      <c r="N318" s="53">
        <v>45485</v>
      </c>
      <c r="O318" s="22">
        <f>INDEX(Auxiliar!$D$5:$F$13,MATCH(Table1[[#This Row],[Tipologia_Testes]],Auxiliar!$B$5:$B$13,0),MATCH(Table1[[#This Row],[Complexidade]],Auxiliar!$D$4:$F$4,0))</f>
        <v>2</v>
      </c>
      <c r="P318" s="3" t="s">
        <v>1175</v>
      </c>
      <c r="Q318" s="3"/>
      <c r="R318" s="173">
        <v>45261</v>
      </c>
      <c r="S318" s="173"/>
      <c r="T318" s="173"/>
      <c r="U318" s="173"/>
      <c r="V318" s="173"/>
      <c r="W318" s="3">
        <f>VLOOKUP(Table1[[#This Row],[Status]],Auxiliar!$B$16:$D$23,3,0)*Table1[[#This Row],[Estimação (horas)]]</f>
        <v>2</v>
      </c>
      <c r="X318" s="3"/>
    </row>
    <row r="319" spans="2:24" ht="17.399999999999999" hidden="1">
      <c r="B319" s="3" t="s">
        <v>28</v>
      </c>
      <c r="C319" s="3" t="s">
        <v>54</v>
      </c>
      <c r="D319" s="3" t="s">
        <v>121</v>
      </c>
      <c r="E319" s="3" t="s">
        <v>38</v>
      </c>
      <c r="F319" s="3" t="s">
        <v>120</v>
      </c>
      <c r="G319" s="3" t="s">
        <v>132</v>
      </c>
      <c r="H319" s="63" t="str">
        <f>Table1[[#This Row],[Tabela]]&amp;Table1[[#This Row],[Campo]]</f>
        <v>cd_imv_out_certifnvl_efcc_enrg</v>
      </c>
      <c r="I319" s="3" t="s">
        <v>477</v>
      </c>
      <c r="J319" s="45">
        <f>VLOOKUP(Table1[[#This Row],[Status]],Auxiliar!$B$16:$C$23,2,0)</f>
        <v>1</v>
      </c>
      <c r="K319" s="3" t="s">
        <v>1141</v>
      </c>
      <c r="L319" s="30" t="s">
        <v>1135</v>
      </c>
      <c r="M319" s="22" t="s">
        <v>1145</v>
      </c>
      <c r="N319" s="53">
        <v>45485</v>
      </c>
      <c r="O319" s="22">
        <f>INDEX(Auxiliar!$D$5:$F$13,MATCH(Table1[[#This Row],[Tipologia_Testes]],Auxiliar!$B$5:$B$13,0),MATCH(Table1[[#This Row],[Complexidade]],Auxiliar!$D$4:$F$4,0))</f>
        <v>0.1</v>
      </c>
      <c r="P319" s="3" t="s">
        <v>1175</v>
      </c>
      <c r="Q319" s="3"/>
      <c r="R319" s="173">
        <v>45261</v>
      </c>
      <c r="S319" s="173"/>
      <c r="T319" s="173"/>
      <c r="U319" s="173"/>
      <c r="V319" s="173"/>
      <c r="W319" s="3">
        <f>VLOOKUP(Table1[[#This Row],[Status]],Auxiliar!$B$16:$D$23,3,0)*Table1[[#This Row],[Estimação (horas)]]</f>
        <v>0.1</v>
      </c>
      <c r="X319" s="3"/>
    </row>
    <row r="320" spans="2:24" ht="17.399999999999999">
      <c r="B320" s="3" t="s">
        <v>28</v>
      </c>
      <c r="C320" s="3" t="s">
        <v>54</v>
      </c>
      <c r="D320" s="3" t="s">
        <v>121</v>
      </c>
      <c r="E320" s="3" t="s">
        <v>38</v>
      </c>
      <c r="F320" s="3" t="s">
        <v>120</v>
      </c>
      <c r="G320" s="3" t="s">
        <v>72</v>
      </c>
      <c r="H320" s="63" t="str">
        <f>Table1[[#This Row],[Tabela]]&amp;Table1[[#This Row],[Campo]]</f>
        <v>cd_imv_out_certiforigem</v>
      </c>
      <c r="I320" s="3" t="s">
        <v>482</v>
      </c>
      <c r="J320" s="45">
        <f>VLOOKUP(Table1[[#This Row],[Status]],Auxiliar!$B$16:$C$23,2,0)</f>
        <v>6</v>
      </c>
      <c r="K320" s="3" t="s">
        <v>1137</v>
      </c>
      <c r="L320" s="30" t="s">
        <v>1135</v>
      </c>
      <c r="M320" s="22" t="s">
        <v>1145</v>
      </c>
      <c r="N320" s="53">
        <v>45562</v>
      </c>
      <c r="O320" s="22">
        <f>INDEX(Auxiliar!$D$5:$F$13,MATCH(Table1[[#This Row],[Tipologia_Testes]],Auxiliar!$B$5:$B$13,0),MATCH(Table1[[#This Row],[Complexidade]],Auxiliar!$D$4:$F$4,0))</f>
        <v>2</v>
      </c>
      <c r="P320" s="3" t="s">
        <v>1175</v>
      </c>
      <c r="Q320" s="3"/>
      <c r="R320" s="173">
        <v>45562</v>
      </c>
      <c r="S320" s="173"/>
      <c r="T320" s="173">
        <v>45562</v>
      </c>
      <c r="U320" s="173"/>
      <c r="V320" s="173"/>
      <c r="W320" s="3">
        <f>VLOOKUP(Table1[[#This Row],[Status]],Auxiliar!$B$16:$D$23,3,0)*Table1[[#This Row],[Estimação (horas)]]</f>
        <v>0.5</v>
      </c>
      <c r="X320" s="3"/>
    </row>
    <row r="321" spans="2:24" ht="17.399999999999999">
      <c r="B321" s="3" t="s">
        <v>28</v>
      </c>
      <c r="C321" s="3" t="s">
        <v>54</v>
      </c>
      <c r="D321" s="3" t="s">
        <v>121</v>
      </c>
      <c r="E321" s="3" t="s">
        <v>38</v>
      </c>
      <c r="F321" s="3" t="s">
        <v>120</v>
      </c>
      <c r="G321" s="3" t="s">
        <v>72</v>
      </c>
      <c r="H321" s="63" t="str">
        <f>Table1[[#This Row],[Tabela]]&amp;Table1[[#This Row],[Campo]]</f>
        <v>cd_imv_out_certiforigem</v>
      </c>
      <c r="I321" s="3" t="s">
        <v>482</v>
      </c>
      <c r="J321" s="45">
        <f>VLOOKUP(Table1[[#This Row],[Status]],Auxiliar!$B$16:$C$23,2,0)</f>
        <v>6</v>
      </c>
      <c r="K321" s="3" t="s">
        <v>1138</v>
      </c>
      <c r="L321" s="30" t="s">
        <v>1135</v>
      </c>
      <c r="M321" s="22" t="s">
        <v>1145</v>
      </c>
      <c r="N321" s="53">
        <v>45562</v>
      </c>
      <c r="O321" s="22">
        <f>INDEX(Auxiliar!$D$5:$F$13,MATCH(Table1[[#This Row],[Tipologia_Testes]],Auxiliar!$B$5:$B$13,0),MATCH(Table1[[#This Row],[Complexidade]],Auxiliar!$D$4:$F$4,0))</f>
        <v>2</v>
      </c>
      <c r="P321" s="3" t="s">
        <v>1175</v>
      </c>
      <c r="Q321" s="3"/>
      <c r="R321" s="173">
        <v>45562</v>
      </c>
      <c r="S321" s="173"/>
      <c r="T321" s="173">
        <v>45562</v>
      </c>
      <c r="U321" s="173"/>
      <c r="V321" s="173"/>
      <c r="W321" s="3">
        <f>VLOOKUP(Table1[[#This Row],[Status]],Auxiliar!$B$16:$D$23,3,0)*Table1[[#This Row],[Estimação (horas)]]</f>
        <v>0.5</v>
      </c>
      <c r="X321" s="3"/>
    </row>
    <row r="322" spans="2:24" ht="17.399999999999999">
      <c r="B322" s="3" t="s">
        <v>28</v>
      </c>
      <c r="C322" s="3" t="s">
        <v>54</v>
      </c>
      <c r="D322" s="3" t="s">
        <v>121</v>
      </c>
      <c r="E322" s="3" t="s">
        <v>38</v>
      </c>
      <c r="F322" s="3" t="s">
        <v>120</v>
      </c>
      <c r="G322" s="3" t="s">
        <v>72</v>
      </c>
      <c r="H322" s="63" t="str">
        <f>Table1[[#This Row],[Tabela]]&amp;Table1[[#This Row],[Campo]]</f>
        <v>cd_imv_out_certiforigem</v>
      </c>
      <c r="I322" s="3" t="s">
        <v>482</v>
      </c>
      <c r="J322" s="45">
        <f>VLOOKUP(Table1[[#This Row],[Status]],Auxiliar!$B$16:$C$23,2,0)</f>
        <v>6</v>
      </c>
      <c r="K322" s="3" t="s">
        <v>1141</v>
      </c>
      <c r="L322" s="30" t="s">
        <v>1135</v>
      </c>
      <c r="M322" s="22" t="s">
        <v>1145</v>
      </c>
      <c r="N322" s="53">
        <v>45562</v>
      </c>
      <c r="O322" s="22">
        <f>INDEX(Auxiliar!$D$5:$F$13,MATCH(Table1[[#This Row],[Tipologia_Testes]],Auxiliar!$B$5:$B$13,0),MATCH(Table1[[#This Row],[Complexidade]],Auxiliar!$D$4:$F$4,0))</f>
        <v>0.1</v>
      </c>
      <c r="P322" s="3" t="s">
        <v>1175</v>
      </c>
      <c r="Q322" s="3"/>
      <c r="R322" s="173">
        <v>45562</v>
      </c>
      <c r="S322" s="173"/>
      <c r="T322" s="173">
        <v>45562</v>
      </c>
      <c r="U322" s="173"/>
      <c r="V322" s="173"/>
      <c r="W322" s="3">
        <f>VLOOKUP(Table1[[#This Row],[Status]],Auxiliar!$B$16:$D$23,3,0)*Table1[[#This Row],[Estimação (horas)]]</f>
        <v>2.5000000000000001E-2</v>
      </c>
      <c r="X322" s="3"/>
    </row>
    <row r="323" spans="2:24" ht="17.399999999999999" hidden="1">
      <c r="B323" s="3" t="s">
        <v>28</v>
      </c>
      <c r="C323" s="3" t="s">
        <v>54</v>
      </c>
      <c r="D323" s="3" t="s">
        <v>121</v>
      </c>
      <c r="E323" s="3" t="s">
        <v>38</v>
      </c>
      <c r="F323" s="3" t="s">
        <v>120</v>
      </c>
      <c r="G323" s="3" t="s">
        <v>73</v>
      </c>
      <c r="H323" s="63" t="str">
        <f>Table1[[#This Row],[Tabela]]&amp;Table1[[#This Row],[Campo]]</f>
        <v>cd_imv_out_certifref_date</v>
      </c>
      <c r="I323" s="3" t="s">
        <v>477</v>
      </c>
      <c r="J323" s="45">
        <f>VLOOKUP(Table1[[#This Row],[Status]],Auxiliar!$B$16:$C$23,2,0)</f>
        <v>1</v>
      </c>
      <c r="K323" s="3" t="s">
        <v>1137</v>
      </c>
      <c r="L323" s="30" t="s">
        <v>1135</v>
      </c>
      <c r="M323" s="22" t="s">
        <v>1145</v>
      </c>
      <c r="N323" s="53">
        <v>45485</v>
      </c>
      <c r="O323" s="22">
        <f>INDEX(Auxiliar!$D$5:$F$13,MATCH(Table1[[#This Row],[Tipologia_Testes]],Auxiliar!$B$5:$B$13,0),MATCH(Table1[[#This Row],[Complexidade]],Auxiliar!$D$4:$F$4,0))</f>
        <v>2</v>
      </c>
      <c r="P323" s="3" t="s">
        <v>1175</v>
      </c>
      <c r="Q323" s="3"/>
      <c r="R323" s="173">
        <v>45261</v>
      </c>
      <c r="S323" s="173"/>
      <c r="T323" s="173"/>
      <c r="U323" s="173"/>
      <c r="V323" s="173"/>
      <c r="W323" s="3">
        <f>VLOOKUP(Table1[[#This Row],[Status]],Auxiliar!$B$16:$D$23,3,0)*Table1[[#This Row],[Estimação (horas)]]</f>
        <v>2</v>
      </c>
      <c r="X323" s="3"/>
    </row>
    <row r="324" spans="2:24" ht="17.399999999999999" hidden="1">
      <c r="B324" s="3" t="s">
        <v>28</v>
      </c>
      <c r="C324" s="3" t="s">
        <v>54</v>
      </c>
      <c r="D324" s="3" t="s">
        <v>121</v>
      </c>
      <c r="E324" s="3" t="s">
        <v>38</v>
      </c>
      <c r="F324" s="3" t="s">
        <v>120</v>
      </c>
      <c r="G324" s="3" t="s">
        <v>73</v>
      </c>
      <c r="H324" s="63" t="str">
        <f>Table1[[#This Row],[Tabela]]&amp;Table1[[#This Row],[Campo]]</f>
        <v>cd_imv_out_certifref_date</v>
      </c>
      <c r="I324" s="3" t="s">
        <v>477</v>
      </c>
      <c r="J324" s="45">
        <f>VLOOKUP(Table1[[#This Row],[Status]],Auxiliar!$B$16:$C$23,2,0)</f>
        <v>1</v>
      </c>
      <c r="K324" s="3" t="s">
        <v>1138</v>
      </c>
      <c r="L324" s="30" t="s">
        <v>1135</v>
      </c>
      <c r="M324" s="22" t="s">
        <v>1145</v>
      </c>
      <c r="N324" s="53">
        <v>45485</v>
      </c>
      <c r="O324" s="22">
        <f>INDEX(Auxiliar!$D$5:$F$13,MATCH(Table1[[#This Row],[Tipologia_Testes]],Auxiliar!$B$5:$B$13,0),MATCH(Table1[[#This Row],[Complexidade]],Auxiliar!$D$4:$F$4,0))</f>
        <v>2</v>
      </c>
      <c r="P324" s="3" t="s">
        <v>1175</v>
      </c>
      <c r="Q324" s="3"/>
      <c r="R324" s="173">
        <v>45261</v>
      </c>
      <c r="S324" s="173"/>
      <c r="T324" s="173"/>
      <c r="U324" s="173"/>
      <c r="V324" s="173"/>
      <c r="W324" s="3">
        <f>VLOOKUP(Table1[[#This Row],[Status]],Auxiliar!$B$16:$D$23,3,0)*Table1[[#This Row],[Estimação (horas)]]</f>
        <v>2</v>
      </c>
      <c r="X324" s="3"/>
    </row>
    <row r="325" spans="2:24" ht="17.399999999999999" hidden="1">
      <c r="B325" s="3" t="s">
        <v>28</v>
      </c>
      <c r="C325" s="3" t="s">
        <v>54</v>
      </c>
      <c r="D325" s="3" t="s">
        <v>121</v>
      </c>
      <c r="E325" s="3" t="s">
        <v>38</v>
      </c>
      <c r="F325" s="3" t="s">
        <v>120</v>
      </c>
      <c r="G325" s="3" t="s">
        <v>73</v>
      </c>
      <c r="H325" s="63" t="str">
        <f>Table1[[#This Row],[Tabela]]&amp;Table1[[#This Row],[Campo]]</f>
        <v>cd_imv_out_certifref_date</v>
      </c>
      <c r="I325" s="3" t="s">
        <v>477</v>
      </c>
      <c r="J325" s="45">
        <f>VLOOKUP(Table1[[#This Row],[Status]],Auxiliar!$B$16:$C$23,2,0)</f>
        <v>1</v>
      </c>
      <c r="K325" s="3" t="s">
        <v>1141</v>
      </c>
      <c r="L325" s="30" t="s">
        <v>1135</v>
      </c>
      <c r="M325" s="22" t="s">
        <v>1145</v>
      </c>
      <c r="N325" s="53">
        <v>45485</v>
      </c>
      <c r="O325" s="22">
        <f>INDEX(Auxiliar!$D$5:$F$13,MATCH(Table1[[#This Row],[Tipologia_Testes]],Auxiliar!$B$5:$B$13,0),MATCH(Table1[[#This Row],[Complexidade]],Auxiliar!$D$4:$F$4,0))</f>
        <v>0.1</v>
      </c>
      <c r="P325" s="3" t="s">
        <v>1175</v>
      </c>
      <c r="Q325" s="3"/>
      <c r="R325" s="173">
        <v>45261</v>
      </c>
      <c r="S325" s="173"/>
      <c r="T325" s="173"/>
      <c r="U325" s="173"/>
      <c r="V325" s="173"/>
      <c r="W325" s="3">
        <f>VLOOKUP(Table1[[#This Row],[Status]],Auxiliar!$B$16:$D$23,3,0)*Table1[[#This Row],[Estimação (horas)]]</f>
        <v>0.1</v>
      </c>
      <c r="X325" s="3"/>
    </row>
    <row r="326" spans="2:24" ht="17.399999999999999">
      <c r="B326" s="3" t="s">
        <v>28</v>
      </c>
      <c r="C326" s="3" t="s">
        <v>54</v>
      </c>
      <c r="D326" s="3" t="s">
        <v>121</v>
      </c>
      <c r="E326" s="3" t="s">
        <v>38</v>
      </c>
      <c r="F326" s="3" t="s">
        <v>120</v>
      </c>
      <c r="G326" s="3" t="s">
        <v>133</v>
      </c>
      <c r="H326" s="63" t="str">
        <f>Table1[[#This Row],[Tabela]]&amp;Table1[[#This Row],[Campo]]</f>
        <v>cd_imv_out_certiftp_crtfcd</v>
      </c>
      <c r="I326" s="3" t="s">
        <v>482</v>
      </c>
      <c r="J326" s="45">
        <f>VLOOKUP(Table1[[#This Row],[Status]],Auxiliar!$B$16:$C$23,2,0)</f>
        <v>6</v>
      </c>
      <c r="K326" s="3" t="s">
        <v>1137</v>
      </c>
      <c r="L326" s="30" t="s">
        <v>1135</v>
      </c>
      <c r="M326" s="22" t="s">
        <v>1145</v>
      </c>
      <c r="N326" s="53">
        <v>45485</v>
      </c>
      <c r="O326" s="22">
        <f>INDEX(Auxiliar!$D$5:$F$13,MATCH(Table1[[#This Row],[Tipologia_Testes]],Auxiliar!$B$5:$B$13,0),MATCH(Table1[[#This Row],[Complexidade]],Auxiliar!$D$4:$F$4,0))</f>
        <v>2</v>
      </c>
      <c r="P326" s="3" t="s">
        <v>1175</v>
      </c>
      <c r="Q326" s="3"/>
      <c r="R326" s="173">
        <v>45261</v>
      </c>
      <c r="S326" s="173"/>
      <c r="T326" s="173">
        <v>45562</v>
      </c>
      <c r="U326" s="173"/>
      <c r="V326" s="173"/>
      <c r="W326" s="3">
        <f>VLOOKUP(Table1[[#This Row],[Status]],Auxiliar!$B$16:$D$23,3,0)*Table1[[#This Row],[Estimação (horas)]]</f>
        <v>0.5</v>
      </c>
      <c r="X326" s="3"/>
    </row>
    <row r="327" spans="2:24" ht="17.399999999999999">
      <c r="B327" s="3" t="s">
        <v>28</v>
      </c>
      <c r="C327" s="3" t="s">
        <v>54</v>
      </c>
      <c r="D327" s="3" t="s">
        <v>121</v>
      </c>
      <c r="E327" s="3" t="s">
        <v>38</v>
      </c>
      <c r="F327" s="3" t="s">
        <v>120</v>
      </c>
      <c r="G327" s="3" t="s">
        <v>133</v>
      </c>
      <c r="H327" s="63" t="str">
        <f>Table1[[#This Row],[Tabela]]&amp;Table1[[#This Row],[Campo]]</f>
        <v>cd_imv_out_certiftp_crtfcd</v>
      </c>
      <c r="I327" s="3" t="s">
        <v>482</v>
      </c>
      <c r="J327" s="45">
        <f>VLOOKUP(Table1[[#This Row],[Status]],Auxiliar!$B$16:$C$23,2,0)</f>
        <v>6</v>
      </c>
      <c r="K327" s="3" t="s">
        <v>1138</v>
      </c>
      <c r="L327" s="30" t="s">
        <v>1135</v>
      </c>
      <c r="M327" s="22" t="s">
        <v>1145</v>
      </c>
      <c r="N327" s="53">
        <v>45485</v>
      </c>
      <c r="O327" s="22">
        <f>INDEX(Auxiliar!$D$5:$F$13,MATCH(Table1[[#This Row],[Tipologia_Testes]],Auxiliar!$B$5:$B$13,0),MATCH(Table1[[#This Row],[Complexidade]],Auxiliar!$D$4:$F$4,0))</f>
        <v>2</v>
      </c>
      <c r="P327" s="3" t="s">
        <v>1175</v>
      </c>
      <c r="Q327" s="3"/>
      <c r="R327" s="173">
        <v>45261</v>
      </c>
      <c r="S327" s="173"/>
      <c r="T327" s="173">
        <v>45562</v>
      </c>
      <c r="U327" s="173"/>
      <c r="V327" s="173"/>
      <c r="W327" s="3">
        <f>VLOOKUP(Table1[[#This Row],[Status]],Auxiliar!$B$16:$D$23,3,0)*Table1[[#This Row],[Estimação (horas)]]</f>
        <v>0.5</v>
      </c>
      <c r="X327" s="3"/>
    </row>
    <row r="328" spans="2:24" ht="17.399999999999999">
      <c r="B328" s="3" t="s">
        <v>28</v>
      </c>
      <c r="C328" s="3" t="s">
        <v>54</v>
      </c>
      <c r="D328" s="3" t="s">
        <v>121</v>
      </c>
      <c r="E328" s="3" t="s">
        <v>38</v>
      </c>
      <c r="F328" s="3" t="s">
        <v>120</v>
      </c>
      <c r="G328" s="3" t="s">
        <v>133</v>
      </c>
      <c r="H328" s="63" t="str">
        <f>Table1[[#This Row],[Tabela]]&amp;Table1[[#This Row],[Campo]]</f>
        <v>cd_imv_out_certiftp_crtfcd</v>
      </c>
      <c r="I328" s="3" t="s">
        <v>482</v>
      </c>
      <c r="J328" s="45">
        <f>VLOOKUP(Table1[[#This Row],[Status]],Auxiliar!$B$16:$C$23,2,0)</f>
        <v>6</v>
      </c>
      <c r="K328" s="3" t="s">
        <v>1141</v>
      </c>
      <c r="L328" s="30" t="s">
        <v>1135</v>
      </c>
      <c r="M328" s="22" t="s">
        <v>1145</v>
      </c>
      <c r="N328" s="53">
        <v>45485</v>
      </c>
      <c r="O328" s="22">
        <f>INDEX(Auxiliar!$D$5:$F$13,MATCH(Table1[[#This Row],[Tipologia_Testes]],Auxiliar!$B$5:$B$13,0),MATCH(Table1[[#This Row],[Complexidade]],Auxiliar!$D$4:$F$4,0))</f>
        <v>0.1</v>
      </c>
      <c r="P328" s="3" t="s">
        <v>1175</v>
      </c>
      <c r="Q328" s="3"/>
      <c r="R328" s="173">
        <v>45261</v>
      </c>
      <c r="S328" s="173"/>
      <c r="T328" s="173">
        <v>45562</v>
      </c>
      <c r="U328" s="173"/>
      <c r="V328" s="173"/>
      <c r="W328" s="3">
        <f>VLOOKUP(Table1[[#This Row],[Status]],Auxiliar!$B$16:$D$23,3,0)*Table1[[#This Row],[Estimação (horas)]]</f>
        <v>2.5000000000000001E-2</v>
      </c>
      <c r="X328" s="3"/>
    </row>
    <row r="329" spans="2:24" ht="17.399999999999999" hidden="1">
      <c r="B329" s="3" t="s">
        <v>28</v>
      </c>
      <c r="C329" s="3" t="s">
        <v>54</v>
      </c>
      <c r="D329" s="3" t="s">
        <v>121</v>
      </c>
      <c r="E329" s="3" t="s">
        <v>38</v>
      </c>
      <c r="F329" s="3" t="s">
        <v>120</v>
      </c>
      <c r="G329" s="3" t="s">
        <v>134</v>
      </c>
      <c r="H329" s="63" t="str">
        <f>Table1[[#This Row],[Tabela]]&amp;Table1[[#This Row],[Campo]]</f>
        <v>cd_imv_out_certifvlr_agua_qnt_sant_edfc</v>
      </c>
      <c r="I329" s="3" t="s">
        <v>477</v>
      </c>
      <c r="J329" s="45">
        <f>VLOOKUP(Table1[[#This Row],[Status]],Auxiliar!$B$16:$C$23,2,0)</f>
        <v>1</v>
      </c>
      <c r="K329" s="3" t="s">
        <v>1137</v>
      </c>
      <c r="L329" s="30" t="s">
        <v>1135</v>
      </c>
      <c r="M329" s="22" t="s">
        <v>1145</v>
      </c>
      <c r="N329" s="53">
        <v>45485</v>
      </c>
      <c r="O329" s="22">
        <f>INDEX(Auxiliar!$D$5:$F$13,MATCH(Table1[[#This Row],[Tipologia_Testes]],Auxiliar!$B$5:$B$13,0),MATCH(Table1[[#This Row],[Complexidade]],Auxiliar!$D$4:$F$4,0))</f>
        <v>2</v>
      </c>
      <c r="P329" s="3" t="s">
        <v>1175</v>
      </c>
      <c r="Q329" s="3"/>
      <c r="R329" s="173">
        <v>45261</v>
      </c>
      <c r="S329" s="173"/>
      <c r="T329" s="173"/>
      <c r="U329" s="173"/>
      <c r="V329" s="173"/>
      <c r="W329" s="3">
        <f>VLOOKUP(Table1[[#This Row],[Status]],Auxiliar!$B$16:$D$23,3,0)*Table1[[#This Row],[Estimação (horas)]]</f>
        <v>2</v>
      </c>
      <c r="X329" s="3"/>
    </row>
    <row r="330" spans="2:24" ht="17.399999999999999" hidden="1">
      <c r="B330" s="3" t="s">
        <v>28</v>
      </c>
      <c r="C330" s="3" t="s">
        <v>54</v>
      </c>
      <c r="D330" s="3" t="s">
        <v>121</v>
      </c>
      <c r="E330" s="3" t="s">
        <v>38</v>
      </c>
      <c r="F330" s="3" t="s">
        <v>120</v>
      </c>
      <c r="G330" s="3" t="s">
        <v>134</v>
      </c>
      <c r="H330" s="63" t="str">
        <f>Table1[[#This Row],[Tabela]]&amp;Table1[[#This Row],[Campo]]</f>
        <v>cd_imv_out_certifvlr_agua_qnt_sant_edfc</v>
      </c>
      <c r="I330" s="3" t="s">
        <v>477</v>
      </c>
      <c r="J330" s="45">
        <f>VLOOKUP(Table1[[#This Row],[Status]],Auxiliar!$B$16:$C$23,2,0)</f>
        <v>1</v>
      </c>
      <c r="K330" s="3" t="s">
        <v>1138</v>
      </c>
      <c r="L330" s="30" t="s">
        <v>1135</v>
      </c>
      <c r="M330" s="22" t="s">
        <v>1145</v>
      </c>
      <c r="N330" s="53">
        <v>45485</v>
      </c>
      <c r="O330" s="22">
        <f>INDEX(Auxiliar!$D$5:$F$13,MATCH(Table1[[#This Row],[Tipologia_Testes]],Auxiliar!$B$5:$B$13,0),MATCH(Table1[[#This Row],[Complexidade]],Auxiliar!$D$4:$F$4,0))</f>
        <v>2</v>
      </c>
      <c r="P330" s="3" t="s">
        <v>1175</v>
      </c>
      <c r="Q330" s="3"/>
      <c r="R330" s="173">
        <v>45261</v>
      </c>
      <c r="S330" s="173"/>
      <c r="T330" s="173"/>
      <c r="U330" s="173"/>
      <c r="V330" s="173"/>
      <c r="W330" s="3">
        <f>VLOOKUP(Table1[[#This Row],[Status]],Auxiliar!$B$16:$D$23,3,0)*Table1[[#This Row],[Estimação (horas)]]</f>
        <v>2</v>
      </c>
      <c r="X330" s="3"/>
    </row>
    <row r="331" spans="2:24" ht="17.399999999999999" hidden="1">
      <c r="B331" s="3" t="s">
        <v>28</v>
      </c>
      <c r="C331" s="3" t="s">
        <v>54</v>
      </c>
      <c r="D331" s="3" t="s">
        <v>121</v>
      </c>
      <c r="E331" s="3" t="s">
        <v>38</v>
      </c>
      <c r="F331" s="3" t="s">
        <v>120</v>
      </c>
      <c r="G331" s="3" t="s">
        <v>134</v>
      </c>
      <c r="H331" s="63" t="str">
        <f>Table1[[#This Row],[Tabela]]&amp;Table1[[#This Row],[Campo]]</f>
        <v>cd_imv_out_certifvlr_agua_qnt_sant_edfc</v>
      </c>
      <c r="I331" s="3" t="s">
        <v>477</v>
      </c>
      <c r="J331" s="45">
        <f>VLOOKUP(Table1[[#This Row],[Status]],Auxiliar!$B$16:$C$23,2,0)</f>
        <v>1</v>
      </c>
      <c r="K331" s="3" t="s">
        <v>1141</v>
      </c>
      <c r="L331" s="30" t="s">
        <v>1135</v>
      </c>
      <c r="M331" s="22" t="s">
        <v>1145</v>
      </c>
      <c r="N331" s="53">
        <v>45485</v>
      </c>
      <c r="O331" s="22">
        <f>INDEX(Auxiliar!$D$5:$F$13,MATCH(Table1[[#This Row],[Tipologia_Testes]],Auxiliar!$B$5:$B$13,0),MATCH(Table1[[#This Row],[Complexidade]],Auxiliar!$D$4:$F$4,0))</f>
        <v>0.1</v>
      </c>
      <c r="P331" s="3" t="s">
        <v>1175</v>
      </c>
      <c r="Q331" s="3"/>
      <c r="R331" s="173">
        <v>45261</v>
      </c>
      <c r="S331" s="173"/>
      <c r="T331" s="173"/>
      <c r="U331" s="173"/>
      <c r="V331" s="173"/>
      <c r="W331" s="3">
        <f>VLOOKUP(Table1[[#This Row],[Status]],Auxiliar!$B$16:$D$23,3,0)*Table1[[#This Row],[Estimação (horas)]]</f>
        <v>0.1</v>
      </c>
      <c r="X331" s="3"/>
    </row>
    <row r="332" spans="2:24" ht="17.399999999999999" hidden="1">
      <c r="B332" s="3" t="s">
        <v>28</v>
      </c>
      <c r="C332" s="3" t="s">
        <v>54</v>
      </c>
      <c r="D332" s="3" t="s">
        <v>121</v>
      </c>
      <c r="E332" s="3" t="s">
        <v>38</v>
      </c>
      <c r="F332" s="3" t="s">
        <v>120</v>
      </c>
      <c r="G332" s="3" t="s">
        <v>135</v>
      </c>
      <c r="H332" s="63" t="str">
        <f>Table1[[#This Row],[Tabela]]&amp;Table1[[#This Row],[Campo]]</f>
        <v>cd_imv_out_certifvlr_agua_qnt_snt_rnvv</v>
      </c>
      <c r="I332" s="3" t="s">
        <v>477</v>
      </c>
      <c r="J332" s="45">
        <f>VLOOKUP(Table1[[#This Row],[Status]],Auxiliar!$B$16:$C$23,2,0)</f>
        <v>1</v>
      </c>
      <c r="K332" s="3" t="s">
        <v>1137</v>
      </c>
      <c r="L332" s="30" t="s">
        <v>1135</v>
      </c>
      <c r="M332" s="22" t="s">
        <v>1145</v>
      </c>
      <c r="N332" s="53">
        <v>45485</v>
      </c>
      <c r="O332" s="22">
        <f>INDEX(Auxiliar!$D$5:$F$13,MATCH(Table1[[#This Row],[Tipologia_Testes]],Auxiliar!$B$5:$B$13,0),MATCH(Table1[[#This Row],[Complexidade]],Auxiliar!$D$4:$F$4,0))</f>
        <v>2</v>
      </c>
      <c r="P332" s="3" t="s">
        <v>1175</v>
      </c>
      <c r="Q332" s="3"/>
      <c r="R332" s="173">
        <v>45261</v>
      </c>
      <c r="S332" s="173"/>
      <c r="T332" s="173"/>
      <c r="U332" s="173"/>
      <c r="V332" s="173"/>
      <c r="W332" s="3">
        <f>VLOOKUP(Table1[[#This Row],[Status]],Auxiliar!$B$16:$D$23,3,0)*Table1[[#This Row],[Estimação (horas)]]</f>
        <v>2</v>
      </c>
      <c r="X332" s="3"/>
    </row>
    <row r="333" spans="2:24" ht="17.399999999999999" hidden="1">
      <c r="B333" s="3" t="s">
        <v>28</v>
      </c>
      <c r="C333" s="3" t="s">
        <v>54</v>
      </c>
      <c r="D333" s="3" t="s">
        <v>121</v>
      </c>
      <c r="E333" s="3" t="s">
        <v>38</v>
      </c>
      <c r="F333" s="3" t="s">
        <v>120</v>
      </c>
      <c r="G333" s="3" t="s">
        <v>135</v>
      </c>
      <c r="H333" s="63" t="str">
        <f>Table1[[#This Row],[Tabela]]&amp;Table1[[#This Row],[Campo]]</f>
        <v>cd_imv_out_certifvlr_agua_qnt_snt_rnvv</v>
      </c>
      <c r="I333" s="3" t="s">
        <v>477</v>
      </c>
      <c r="J333" s="45">
        <f>VLOOKUP(Table1[[#This Row],[Status]],Auxiliar!$B$16:$C$23,2,0)</f>
        <v>1</v>
      </c>
      <c r="K333" s="3" t="s">
        <v>1138</v>
      </c>
      <c r="L333" s="30" t="s">
        <v>1135</v>
      </c>
      <c r="M333" s="22" t="s">
        <v>1145</v>
      </c>
      <c r="N333" s="53">
        <v>45485</v>
      </c>
      <c r="O333" s="22">
        <f>INDEX(Auxiliar!$D$5:$F$13,MATCH(Table1[[#This Row],[Tipologia_Testes]],Auxiliar!$B$5:$B$13,0),MATCH(Table1[[#This Row],[Complexidade]],Auxiliar!$D$4:$F$4,0))</f>
        <v>2</v>
      </c>
      <c r="P333" s="3" t="s">
        <v>1175</v>
      </c>
      <c r="Q333" s="3"/>
      <c r="R333" s="173">
        <v>45261</v>
      </c>
      <c r="S333" s="173"/>
      <c r="T333" s="173"/>
      <c r="U333" s="173"/>
      <c r="V333" s="173"/>
      <c r="W333" s="3">
        <f>VLOOKUP(Table1[[#This Row],[Status]],Auxiliar!$B$16:$D$23,3,0)*Table1[[#This Row],[Estimação (horas)]]</f>
        <v>2</v>
      </c>
      <c r="X333" s="3"/>
    </row>
    <row r="334" spans="2:24" ht="17.399999999999999" hidden="1">
      <c r="B334" s="3" t="s">
        <v>28</v>
      </c>
      <c r="C334" s="3" t="s">
        <v>54</v>
      </c>
      <c r="D334" s="3" t="s">
        <v>121</v>
      </c>
      <c r="E334" s="3" t="s">
        <v>38</v>
      </c>
      <c r="F334" s="3" t="s">
        <v>120</v>
      </c>
      <c r="G334" s="3" t="s">
        <v>135</v>
      </c>
      <c r="H334" s="63" t="str">
        <f>Table1[[#This Row],[Tabela]]&amp;Table1[[#This Row],[Campo]]</f>
        <v>cd_imv_out_certifvlr_agua_qnt_snt_rnvv</v>
      </c>
      <c r="I334" s="3" t="s">
        <v>477</v>
      </c>
      <c r="J334" s="45">
        <f>VLOOKUP(Table1[[#This Row],[Status]],Auxiliar!$B$16:$C$23,2,0)</f>
        <v>1</v>
      </c>
      <c r="K334" s="3" t="s">
        <v>1141</v>
      </c>
      <c r="L334" s="30" t="s">
        <v>1135</v>
      </c>
      <c r="M334" s="22" t="s">
        <v>1145</v>
      </c>
      <c r="N334" s="53">
        <v>45485</v>
      </c>
      <c r="O334" s="22">
        <f>INDEX(Auxiliar!$D$5:$F$13,MATCH(Table1[[#This Row],[Tipologia_Testes]],Auxiliar!$B$5:$B$13,0),MATCH(Table1[[#This Row],[Complexidade]],Auxiliar!$D$4:$F$4,0))</f>
        <v>0.1</v>
      </c>
      <c r="P334" s="3" t="s">
        <v>1175</v>
      </c>
      <c r="Q334" s="3"/>
      <c r="R334" s="173">
        <v>45261</v>
      </c>
      <c r="S334" s="173"/>
      <c r="T334" s="173"/>
      <c r="U334" s="173"/>
      <c r="V334" s="173"/>
      <c r="W334" s="3">
        <f>VLOOKUP(Table1[[#This Row],[Status]],Auxiliar!$B$16:$D$23,3,0)*Table1[[#This Row],[Estimação (horas)]]</f>
        <v>0.1</v>
      </c>
      <c r="X334" s="3"/>
    </row>
    <row r="335" spans="2:24" ht="17.399999999999999" hidden="1">
      <c r="B335" s="3" t="s">
        <v>28</v>
      </c>
      <c r="C335" s="3" t="s">
        <v>54</v>
      </c>
      <c r="D335" s="3" t="s">
        <v>121</v>
      </c>
      <c r="E335" s="3" t="s">
        <v>38</v>
      </c>
      <c r="F335" s="3" t="s">
        <v>120</v>
      </c>
      <c r="G335" s="3" t="s">
        <v>136</v>
      </c>
      <c r="H335" s="63" t="str">
        <f>Table1[[#This Row],[Tabela]]&amp;Table1[[#This Row],[Campo]]</f>
        <v>cd_imv_out_certifvlr_agua_qnt_sntr_rfrc</v>
      </c>
      <c r="I335" s="3" t="s">
        <v>477</v>
      </c>
      <c r="J335" s="45">
        <f>VLOOKUP(Table1[[#This Row],[Status]],Auxiliar!$B$16:$C$23,2,0)</f>
        <v>1</v>
      </c>
      <c r="K335" s="3" t="s">
        <v>1137</v>
      </c>
      <c r="L335" s="30" t="s">
        <v>1135</v>
      </c>
      <c r="M335" s="22" t="s">
        <v>1145</v>
      </c>
      <c r="N335" s="53">
        <v>45485</v>
      </c>
      <c r="O335" s="22">
        <f>INDEX(Auxiliar!$D$5:$F$13,MATCH(Table1[[#This Row],[Tipologia_Testes]],Auxiliar!$B$5:$B$13,0),MATCH(Table1[[#This Row],[Complexidade]],Auxiliar!$D$4:$F$4,0))</f>
        <v>2</v>
      </c>
      <c r="P335" s="3" t="s">
        <v>1175</v>
      </c>
      <c r="Q335" s="3"/>
      <c r="R335" s="173">
        <v>45261</v>
      </c>
      <c r="S335" s="173"/>
      <c r="T335" s="173"/>
      <c r="U335" s="173"/>
      <c r="V335" s="173"/>
      <c r="W335" s="3">
        <f>VLOOKUP(Table1[[#This Row],[Status]],Auxiliar!$B$16:$D$23,3,0)*Table1[[#This Row],[Estimação (horas)]]</f>
        <v>2</v>
      </c>
      <c r="X335" s="3"/>
    </row>
    <row r="336" spans="2:24" ht="17.399999999999999" hidden="1">
      <c r="B336" s="3" t="s">
        <v>28</v>
      </c>
      <c r="C336" s="3" t="s">
        <v>54</v>
      </c>
      <c r="D336" s="3" t="s">
        <v>121</v>
      </c>
      <c r="E336" s="3" t="s">
        <v>38</v>
      </c>
      <c r="F336" s="3" t="s">
        <v>120</v>
      </c>
      <c r="G336" s="3" t="s">
        <v>136</v>
      </c>
      <c r="H336" s="63" t="str">
        <f>Table1[[#This Row],[Tabela]]&amp;Table1[[#This Row],[Campo]]</f>
        <v>cd_imv_out_certifvlr_agua_qnt_sntr_rfrc</v>
      </c>
      <c r="I336" s="3" t="s">
        <v>477</v>
      </c>
      <c r="J336" s="45">
        <f>VLOOKUP(Table1[[#This Row],[Status]],Auxiliar!$B$16:$C$23,2,0)</f>
        <v>1</v>
      </c>
      <c r="K336" s="3" t="s">
        <v>1138</v>
      </c>
      <c r="L336" s="30" t="s">
        <v>1135</v>
      </c>
      <c r="M336" s="22" t="s">
        <v>1145</v>
      </c>
      <c r="N336" s="53">
        <v>45485</v>
      </c>
      <c r="O336" s="22">
        <f>INDEX(Auxiliar!$D$5:$F$13,MATCH(Table1[[#This Row],[Tipologia_Testes]],Auxiliar!$B$5:$B$13,0),MATCH(Table1[[#This Row],[Complexidade]],Auxiliar!$D$4:$F$4,0))</f>
        <v>2</v>
      </c>
      <c r="P336" s="3" t="s">
        <v>1175</v>
      </c>
      <c r="Q336" s="3"/>
      <c r="R336" s="173">
        <v>45261</v>
      </c>
      <c r="S336" s="173"/>
      <c r="T336" s="173"/>
      <c r="U336" s="173"/>
      <c r="V336" s="173"/>
      <c r="W336" s="3">
        <f>VLOOKUP(Table1[[#This Row],[Status]],Auxiliar!$B$16:$D$23,3,0)*Table1[[#This Row],[Estimação (horas)]]</f>
        <v>2</v>
      </c>
      <c r="X336" s="3"/>
    </row>
    <row r="337" spans="2:24" ht="17.399999999999999" hidden="1">
      <c r="B337" s="3" t="s">
        <v>28</v>
      </c>
      <c r="C337" s="3" t="s">
        <v>54</v>
      </c>
      <c r="D337" s="3" t="s">
        <v>121</v>
      </c>
      <c r="E337" s="3" t="s">
        <v>38</v>
      </c>
      <c r="F337" s="3" t="s">
        <v>120</v>
      </c>
      <c r="G337" s="3" t="s">
        <v>136</v>
      </c>
      <c r="H337" s="63" t="str">
        <f>Table1[[#This Row],[Tabela]]&amp;Table1[[#This Row],[Campo]]</f>
        <v>cd_imv_out_certifvlr_agua_qnt_sntr_rfrc</v>
      </c>
      <c r="I337" s="3" t="s">
        <v>477</v>
      </c>
      <c r="J337" s="45">
        <f>VLOOKUP(Table1[[#This Row],[Status]],Auxiliar!$B$16:$C$23,2,0)</f>
        <v>1</v>
      </c>
      <c r="K337" s="3" t="s">
        <v>1141</v>
      </c>
      <c r="L337" s="30" t="s">
        <v>1135</v>
      </c>
      <c r="M337" s="22" t="s">
        <v>1145</v>
      </c>
      <c r="N337" s="53">
        <v>45485</v>
      </c>
      <c r="O337" s="22">
        <f>INDEX(Auxiliar!$D$5:$F$13,MATCH(Table1[[#This Row],[Tipologia_Testes]],Auxiliar!$B$5:$B$13,0),MATCH(Table1[[#This Row],[Complexidade]],Auxiliar!$D$4:$F$4,0))</f>
        <v>0.1</v>
      </c>
      <c r="P337" s="3" t="s">
        <v>1175</v>
      </c>
      <c r="Q337" s="3"/>
      <c r="R337" s="173">
        <v>45261</v>
      </c>
      <c r="S337" s="173"/>
      <c r="T337" s="173"/>
      <c r="U337" s="173"/>
      <c r="V337" s="173"/>
      <c r="W337" s="3">
        <f>VLOOKUP(Table1[[#This Row],[Status]],Auxiliar!$B$16:$D$23,3,0)*Table1[[#This Row],[Estimação (horas)]]</f>
        <v>0.1</v>
      </c>
      <c r="X337" s="3"/>
    </row>
    <row r="338" spans="2:24" ht="17.399999999999999" hidden="1">
      <c r="B338" s="3" t="s">
        <v>28</v>
      </c>
      <c r="C338" s="3" t="s">
        <v>54</v>
      </c>
      <c r="D338" s="3" t="s">
        <v>121</v>
      </c>
      <c r="E338" s="3" t="s">
        <v>38</v>
      </c>
      <c r="F338" s="3" t="s">
        <v>120</v>
      </c>
      <c r="G338" s="3" t="s">
        <v>137</v>
      </c>
      <c r="H338" s="63" t="str">
        <f>Table1[[#This Row],[Tabela]]&amp;Table1[[#This Row],[Campo]]</f>
        <v>cd_imv_out_certifvlr_alttt</v>
      </c>
      <c r="I338" s="3" t="s">
        <v>477</v>
      </c>
      <c r="J338" s="45">
        <f>VLOOKUP(Table1[[#This Row],[Status]],Auxiliar!$B$16:$C$23,2,0)</f>
        <v>1</v>
      </c>
      <c r="K338" s="3" t="s">
        <v>1137</v>
      </c>
      <c r="L338" s="30" t="s">
        <v>1135</v>
      </c>
      <c r="M338" s="22" t="s">
        <v>1145</v>
      </c>
      <c r="N338" s="53">
        <v>45485</v>
      </c>
      <c r="O338" s="22">
        <f>INDEX(Auxiliar!$D$5:$F$13,MATCH(Table1[[#This Row],[Tipologia_Testes]],Auxiliar!$B$5:$B$13,0),MATCH(Table1[[#This Row],[Complexidade]],Auxiliar!$D$4:$F$4,0))</f>
        <v>2</v>
      </c>
      <c r="P338" s="3" t="s">
        <v>1175</v>
      </c>
      <c r="Q338" s="3"/>
      <c r="R338" s="173">
        <v>45261</v>
      </c>
      <c r="S338" s="173"/>
      <c r="T338" s="173"/>
      <c r="U338" s="173"/>
      <c r="V338" s="173"/>
      <c r="W338" s="3">
        <f>VLOOKUP(Table1[[#This Row],[Status]],Auxiliar!$B$16:$D$23,3,0)*Table1[[#This Row],[Estimação (horas)]]</f>
        <v>2</v>
      </c>
      <c r="X338" s="3"/>
    </row>
    <row r="339" spans="2:24" ht="17.399999999999999" hidden="1">
      <c r="B339" s="3" t="s">
        <v>28</v>
      </c>
      <c r="C339" s="3" t="s">
        <v>54</v>
      </c>
      <c r="D339" s="3" t="s">
        <v>121</v>
      </c>
      <c r="E339" s="3" t="s">
        <v>38</v>
      </c>
      <c r="F339" s="3" t="s">
        <v>120</v>
      </c>
      <c r="G339" s="3" t="s">
        <v>137</v>
      </c>
      <c r="H339" s="63" t="str">
        <f>Table1[[#This Row],[Tabela]]&amp;Table1[[#This Row],[Campo]]</f>
        <v>cd_imv_out_certifvlr_alttt</v>
      </c>
      <c r="I339" s="3" t="s">
        <v>477</v>
      </c>
      <c r="J339" s="45">
        <f>VLOOKUP(Table1[[#This Row],[Status]],Auxiliar!$B$16:$C$23,2,0)</f>
        <v>1</v>
      </c>
      <c r="K339" s="3" t="s">
        <v>1138</v>
      </c>
      <c r="L339" s="30" t="s">
        <v>1135</v>
      </c>
      <c r="M339" s="22" t="s">
        <v>1145</v>
      </c>
      <c r="N339" s="53">
        <v>45485</v>
      </c>
      <c r="O339" s="22">
        <f>INDEX(Auxiliar!$D$5:$F$13,MATCH(Table1[[#This Row],[Tipologia_Testes]],Auxiliar!$B$5:$B$13,0),MATCH(Table1[[#This Row],[Complexidade]],Auxiliar!$D$4:$F$4,0))</f>
        <v>2</v>
      </c>
      <c r="P339" s="3" t="s">
        <v>1175</v>
      </c>
      <c r="Q339" s="3"/>
      <c r="R339" s="173">
        <v>45261</v>
      </c>
      <c r="S339" s="173"/>
      <c r="T339" s="173"/>
      <c r="U339" s="173"/>
      <c r="V339" s="173"/>
      <c r="W339" s="3">
        <f>VLOOKUP(Table1[[#This Row],[Status]],Auxiliar!$B$16:$D$23,3,0)*Table1[[#This Row],[Estimação (horas)]]</f>
        <v>2</v>
      </c>
      <c r="X339" s="3"/>
    </row>
    <row r="340" spans="2:24" ht="17.399999999999999" hidden="1">
      <c r="B340" s="3" t="s">
        <v>28</v>
      </c>
      <c r="C340" s="3" t="s">
        <v>54</v>
      </c>
      <c r="D340" s="3" t="s">
        <v>121</v>
      </c>
      <c r="E340" s="3" t="s">
        <v>38</v>
      </c>
      <c r="F340" s="3" t="s">
        <v>120</v>
      </c>
      <c r="G340" s="3" t="s">
        <v>137</v>
      </c>
      <c r="H340" s="63" t="str">
        <f>Table1[[#This Row],[Tabela]]&amp;Table1[[#This Row],[Campo]]</f>
        <v>cd_imv_out_certifvlr_alttt</v>
      </c>
      <c r="I340" s="3" t="s">
        <v>477</v>
      </c>
      <c r="J340" s="45">
        <f>VLOOKUP(Table1[[#This Row],[Status]],Auxiliar!$B$16:$C$23,2,0)</f>
        <v>1</v>
      </c>
      <c r="K340" s="3" t="s">
        <v>1141</v>
      </c>
      <c r="L340" s="30" t="s">
        <v>1135</v>
      </c>
      <c r="M340" s="22" t="s">
        <v>1145</v>
      </c>
      <c r="N340" s="53">
        <v>45485</v>
      </c>
      <c r="O340" s="22">
        <f>INDEX(Auxiliar!$D$5:$F$13,MATCH(Table1[[#This Row],[Tipologia_Testes]],Auxiliar!$B$5:$B$13,0),MATCH(Table1[[#This Row],[Complexidade]],Auxiliar!$D$4:$F$4,0))</f>
        <v>0.1</v>
      </c>
      <c r="P340" s="3" t="s">
        <v>1175</v>
      </c>
      <c r="Q340" s="3"/>
      <c r="R340" s="173">
        <v>45261</v>
      </c>
      <c r="S340" s="173"/>
      <c r="T340" s="173"/>
      <c r="U340" s="173"/>
      <c r="V340" s="173"/>
      <c r="W340" s="3">
        <f>VLOOKUP(Table1[[#This Row],[Status]],Auxiliar!$B$16:$D$23,3,0)*Table1[[#This Row],[Estimação (horas)]]</f>
        <v>0.1</v>
      </c>
      <c r="X340" s="3"/>
    </row>
    <row r="341" spans="2:24" ht="17.399999999999999" hidden="1">
      <c r="B341" s="3" t="s">
        <v>28</v>
      </c>
      <c r="C341" s="3" t="s">
        <v>54</v>
      </c>
      <c r="D341" s="3" t="s">
        <v>121</v>
      </c>
      <c r="E341" s="3" t="s">
        <v>38</v>
      </c>
      <c r="F341" s="3" t="s">
        <v>120</v>
      </c>
      <c r="G341" s="3" t="s">
        <v>138</v>
      </c>
      <c r="H341" s="63" t="str">
        <f>Table1[[#This Row],[Tabela]]&amp;Table1[[#This Row],[Campo]]</f>
        <v>cd_imv_out_certifvlr_aqcmnt_ambnt_edfc</v>
      </c>
      <c r="I341" s="3" t="s">
        <v>477</v>
      </c>
      <c r="J341" s="45">
        <f>VLOOKUP(Table1[[#This Row],[Status]],Auxiliar!$B$16:$C$23,2,0)</f>
        <v>1</v>
      </c>
      <c r="K341" s="3" t="s">
        <v>1137</v>
      </c>
      <c r="L341" s="30" t="s">
        <v>1135</v>
      </c>
      <c r="M341" s="22" t="s">
        <v>1145</v>
      </c>
      <c r="N341" s="53">
        <v>45485</v>
      </c>
      <c r="O341" s="22">
        <f>INDEX(Auxiliar!$D$5:$F$13,MATCH(Table1[[#This Row],[Tipologia_Testes]],Auxiliar!$B$5:$B$13,0),MATCH(Table1[[#This Row],[Complexidade]],Auxiliar!$D$4:$F$4,0))</f>
        <v>2</v>
      </c>
      <c r="P341" s="3" t="s">
        <v>1175</v>
      </c>
      <c r="Q341" s="3"/>
      <c r="R341" s="173">
        <v>45261</v>
      </c>
      <c r="S341" s="173"/>
      <c r="T341" s="173"/>
      <c r="U341" s="173"/>
      <c r="V341" s="173"/>
      <c r="W341" s="3">
        <f>VLOOKUP(Table1[[#This Row],[Status]],Auxiliar!$B$16:$D$23,3,0)*Table1[[#This Row],[Estimação (horas)]]</f>
        <v>2</v>
      </c>
      <c r="X341" s="3"/>
    </row>
    <row r="342" spans="2:24" ht="17.399999999999999" hidden="1">
      <c r="B342" s="3" t="s">
        <v>28</v>
      </c>
      <c r="C342" s="3" t="s">
        <v>54</v>
      </c>
      <c r="D342" s="3" t="s">
        <v>121</v>
      </c>
      <c r="E342" s="3" t="s">
        <v>38</v>
      </c>
      <c r="F342" s="3" t="s">
        <v>120</v>
      </c>
      <c r="G342" s="3" t="s">
        <v>138</v>
      </c>
      <c r="H342" s="63" t="str">
        <f>Table1[[#This Row],[Tabela]]&amp;Table1[[#This Row],[Campo]]</f>
        <v>cd_imv_out_certifvlr_aqcmnt_ambnt_edfc</v>
      </c>
      <c r="I342" s="3" t="s">
        <v>477</v>
      </c>
      <c r="J342" s="45">
        <f>VLOOKUP(Table1[[#This Row],[Status]],Auxiliar!$B$16:$C$23,2,0)</f>
        <v>1</v>
      </c>
      <c r="K342" s="3" t="s">
        <v>1138</v>
      </c>
      <c r="L342" s="30" t="s">
        <v>1135</v>
      </c>
      <c r="M342" s="22" t="s">
        <v>1145</v>
      </c>
      <c r="N342" s="53">
        <v>45485</v>
      </c>
      <c r="O342" s="22">
        <f>INDEX(Auxiliar!$D$5:$F$13,MATCH(Table1[[#This Row],[Tipologia_Testes]],Auxiliar!$B$5:$B$13,0),MATCH(Table1[[#This Row],[Complexidade]],Auxiliar!$D$4:$F$4,0))</f>
        <v>2</v>
      </c>
      <c r="P342" s="3" t="s">
        <v>1175</v>
      </c>
      <c r="Q342" s="3"/>
      <c r="R342" s="173">
        <v>45261</v>
      </c>
      <c r="S342" s="173"/>
      <c r="T342" s="173"/>
      <c r="U342" s="173"/>
      <c r="V342" s="173"/>
      <c r="W342" s="3">
        <f>VLOOKUP(Table1[[#This Row],[Status]],Auxiliar!$B$16:$D$23,3,0)*Table1[[#This Row],[Estimação (horas)]]</f>
        <v>2</v>
      </c>
      <c r="X342" s="3"/>
    </row>
    <row r="343" spans="2:24" ht="17.399999999999999" hidden="1">
      <c r="B343" s="3" t="s">
        <v>28</v>
      </c>
      <c r="C343" s="3" t="s">
        <v>54</v>
      </c>
      <c r="D343" s="3" t="s">
        <v>121</v>
      </c>
      <c r="E343" s="3" t="s">
        <v>38</v>
      </c>
      <c r="F343" s="3" t="s">
        <v>120</v>
      </c>
      <c r="G343" s="3" t="s">
        <v>138</v>
      </c>
      <c r="H343" s="63" t="str">
        <f>Table1[[#This Row],[Tabela]]&amp;Table1[[#This Row],[Campo]]</f>
        <v>cd_imv_out_certifvlr_aqcmnt_ambnt_edfc</v>
      </c>
      <c r="I343" s="3" t="s">
        <v>477</v>
      </c>
      <c r="J343" s="45">
        <f>VLOOKUP(Table1[[#This Row],[Status]],Auxiliar!$B$16:$C$23,2,0)</f>
        <v>1</v>
      </c>
      <c r="K343" s="3" t="s">
        <v>1141</v>
      </c>
      <c r="L343" s="30" t="s">
        <v>1135</v>
      </c>
      <c r="M343" s="22" t="s">
        <v>1145</v>
      </c>
      <c r="N343" s="53">
        <v>45485</v>
      </c>
      <c r="O343" s="22">
        <f>INDEX(Auxiliar!$D$5:$F$13,MATCH(Table1[[#This Row],[Tipologia_Testes]],Auxiliar!$B$5:$B$13,0),MATCH(Table1[[#This Row],[Complexidade]],Auxiliar!$D$4:$F$4,0))</f>
        <v>0.1</v>
      </c>
      <c r="P343" s="3" t="s">
        <v>1175</v>
      </c>
      <c r="Q343" s="3"/>
      <c r="R343" s="173">
        <v>45261</v>
      </c>
      <c r="S343" s="173"/>
      <c r="T343" s="173"/>
      <c r="U343" s="173"/>
      <c r="V343" s="173"/>
      <c r="W343" s="3">
        <f>VLOOKUP(Table1[[#This Row],[Status]],Auxiliar!$B$16:$D$23,3,0)*Table1[[#This Row],[Estimação (horas)]]</f>
        <v>0.1</v>
      </c>
      <c r="X343" s="3"/>
    </row>
    <row r="344" spans="2:24" ht="17.399999999999999" hidden="1">
      <c r="B344" s="3" t="s">
        <v>28</v>
      </c>
      <c r="C344" s="3" t="s">
        <v>54</v>
      </c>
      <c r="D344" s="3" t="s">
        <v>121</v>
      </c>
      <c r="E344" s="3" t="s">
        <v>38</v>
      </c>
      <c r="F344" s="3" t="s">
        <v>120</v>
      </c>
      <c r="G344" s="3" t="s">
        <v>139</v>
      </c>
      <c r="H344" s="63" t="str">
        <f>Table1[[#This Row],[Tabela]]&amp;Table1[[#This Row],[Campo]]</f>
        <v>cd_imv_out_certifvlr_aqcmnt_ambnt_rfrc</v>
      </c>
      <c r="I344" s="3" t="s">
        <v>477</v>
      </c>
      <c r="J344" s="45">
        <f>VLOOKUP(Table1[[#This Row],[Status]],Auxiliar!$B$16:$C$23,2,0)</f>
        <v>1</v>
      </c>
      <c r="K344" s="3" t="s">
        <v>1137</v>
      </c>
      <c r="L344" s="30" t="s">
        <v>1135</v>
      </c>
      <c r="M344" s="22" t="s">
        <v>1145</v>
      </c>
      <c r="N344" s="53">
        <v>45485</v>
      </c>
      <c r="O344" s="22">
        <f>INDEX(Auxiliar!$D$5:$F$13,MATCH(Table1[[#This Row],[Tipologia_Testes]],Auxiliar!$B$5:$B$13,0),MATCH(Table1[[#This Row],[Complexidade]],Auxiliar!$D$4:$F$4,0))</f>
        <v>2</v>
      </c>
      <c r="P344" s="3" t="s">
        <v>1175</v>
      </c>
      <c r="Q344" s="3"/>
      <c r="R344" s="173">
        <v>45261</v>
      </c>
      <c r="S344" s="173"/>
      <c r="T344" s="173"/>
      <c r="U344" s="173"/>
      <c r="V344" s="173"/>
      <c r="W344" s="3">
        <f>VLOOKUP(Table1[[#This Row],[Status]],Auxiliar!$B$16:$D$23,3,0)*Table1[[#This Row],[Estimação (horas)]]</f>
        <v>2</v>
      </c>
      <c r="X344" s="3"/>
    </row>
    <row r="345" spans="2:24" ht="17.399999999999999" hidden="1">
      <c r="B345" s="3" t="s">
        <v>28</v>
      </c>
      <c r="C345" s="3" t="s">
        <v>54</v>
      </c>
      <c r="D345" s="3" t="s">
        <v>121</v>
      </c>
      <c r="E345" s="3" t="s">
        <v>38</v>
      </c>
      <c r="F345" s="3" t="s">
        <v>120</v>
      </c>
      <c r="G345" s="3" t="s">
        <v>139</v>
      </c>
      <c r="H345" s="63" t="str">
        <f>Table1[[#This Row],[Tabela]]&amp;Table1[[#This Row],[Campo]]</f>
        <v>cd_imv_out_certifvlr_aqcmnt_ambnt_rfrc</v>
      </c>
      <c r="I345" s="3" t="s">
        <v>477</v>
      </c>
      <c r="J345" s="45">
        <f>VLOOKUP(Table1[[#This Row],[Status]],Auxiliar!$B$16:$C$23,2,0)</f>
        <v>1</v>
      </c>
      <c r="K345" s="3" t="s">
        <v>1138</v>
      </c>
      <c r="L345" s="30" t="s">
        <v>1135</v>
      </c>
      <c r="M345" s="22" t="s">
        <v>1145</v>
      </c>
      <c r="N345" s="53">
        <v>45485</v>
      </c>
      <c r="O345" s="22">
        <f>INDEX(Auxiliar!$D$5:$F$13,MATCH(Table1[[#This Row],[Tipologia_Testes]],Auxiliar!$B$5:$B$13,0),MATCH(Table1[[#This Row],[Complexidade]],Auxiliar!$D$4:$F$4,0))</f>
        <v>2</v>
      </c>
      <c r="P345" s="3" t="s">
        <v>1175</v>
      </c>
      <c r="Q345" s="3"/>
      <c r="R345" s="173">
        <v>45261</v>
      </c>
      <c r="S345" s="173"/>
      <c r="T345" s="173"/>
      <c r="U345" s="173"/>
      <c r="V345" s="173"/>
      <c r="W345" s="3">
        <f>VLOOKUP(Table1[[#This Row],[Status]],Auxiliar!$B$16:$D$23,3,0)*Table1[[#This Row],[Estimação (horas)]]</f>
        <v>2</v>
      </c>
      <c r="X345" s="3"/>
    </row>
    <row r="346" spans="2:24" ht="17.399999999999999" hidden="1">
      <c r="B346" s="3" t="s">
        <v>28</v>
      </c>
      <c r="C346" s="3" t="s">
        <v>54</v>
      </c>
      <c r="D346" s="3" t="s">
        <v>121</v>
      </c>
      <c r="E346" s="3" t="s">
        <v>38</v>
      </c>
      <c r="F346" s="3" t="s">
        <v>120</v>
      </c>
      <c r="G346" s="3" t="s">
        <v>139</v>
      </c>
      <c r="H346" s="63" t="str">
        <f>Table1[[#This Row],[Tabela]]&amp;Table1[[#This Row],[Campo]]</f>
        <v>cd_imv_out_certifvlr_aqcmnt_ambnt_rfrc</v>
      </c>
      <c r="I346" s="3" t="s">
        <v>477</v>
      </c>
      <c r="J346" s="45">
        <f>VLOOKUP(Table1[[#This Row],[Status]],Auxiliar!$B$16:$C$23,2,0)</f>
        <v>1</v>
      </c>
      <c r="K346" s="3" t="s">
        <v>1141</v>
      </c>
      <c r="L346" s="30" t="s">
        <v>1135</v>
      </c>
      <c r="M346" s="22" t="s">
        <v>1145</v>
      </c>
      <c r="N346" s="53">
        <v>45485</v>
      </c>
      <c r="O346" s="22">
        <f>INDEX(Auxiliar!$D$5:$F$13,MATCH(Table1[[#This Row],[Tipologia_Testes]],Auxiliar!$B$5:$B$13,0),MATCH(Table1[[#This Row],[Complexidade]],Auxiliar!$D$4:$F$4,0))</f>
        <v>0.1</v>
      </c>
      <c r="P346" s="3" t="s">
        <v>1175</v>
      </c>
      <c r="Q346" s="3"/>
      <c r="R346" s="173">
        <v>45261</v>
      </c>
      <c r="S346" s="173"/>
      <c r="T346" s="173"/>
      <c r="U346" s="173"/>
      <c r="V346" s="173"/>
      <c r="W346" s="3">
        <f>VLOOKUP(Table1[[#This Row],[Status]],Auxiliar!$B$16:$D$23,3,0)*Table1[[#This Row],[Estimação (horas)]]</f>
        <v>0.1</v>
      </c>
      <c r="X346" s="3"/>
    </row>
    <row r="347" spans="2:24" ht="17.399999999999999" hidden="1">
      <c r="B347" s="3" t="s">
        <v>28</v>
      </c>
      <c r="C347" s="3" t="s">
        <v>54</v>
      </c>
      <c r="D347" s="3" t="s">
        <v>121</v>
      </c>
      <c r="E347" s="3" t="s">
        <v>38</v>
      </c>
      <c r="F347" s="3" t="s">
        <v>120</v>
      </c>
      <c r="G347" s="3" t="s">
        <v>140</v>
      </c>
      <c r="H347" s="63" t="str">
        <f>Table1[[#This Row],[Tabela]]&amp;Table1[[#This Row],[Campo]]</f>
        <v>cd_imv_out_certifvlr_aqcmnt_ambnt_rnvv</v>
      </c>
      <c r="I347" s="3" t="s">
        <v>477</v>
      </c>
      <c r="J347" s="45">
        <f>VLOOKUP(Table1[[#This Row],[Status]],Auxiliar!$B$16:$C$23,2,0)</f>
        <v>1</v>
      </c>
      <c r="K347" s="3" t="s">
        <v>1137</v>
      </c>
      <c r="L347" s="30" t="s">
        <v>1135</v>
      </c>
      <c r="M347" s="22" t="s">
        <v>1145</v>
      </c>
      <c r="N347" s="53">
        <v>45485</v>
      </c>
      <c r="O347" s="22">
        <f>INDEX(Auxiliar!$D$5:$F$13,MATCH(Table1[[#This Row],[Tipologia_Testes]],Auxiliar!$B$5:$B$13,0),MATCH(Table1[[#This Row],[Complexidade]],Auxiliar!$D$4:$F$4,0))</f>
        <v>2</v>
      </c>
      <c r="P347" s="3" t="s">
        <v>1175</v>
      </c>
      <c r="Q347" s="3"/>
      <c r="R347" s="173">
        <v>45261</v>
      </c>
      <c r="S347" s="173"/>
      <c r="T347" s="173"/>
      <c r="U347" s="173"/>
      <c r="V347" s="173"/>
      <c r="W347" s="3">
        <f>VLOOKUP(Table1[[#This Row],[Status]],Auxiliar!$B$16:$D$23,3,0)*Table1[[#This Row],[Estimação (horas)]]</f>
        <v>2</v>
      </c>
      <c r="X347" s="3"/>
    </row>
    <row r="348" spans="2:24" ht="17.399999999999999" hidden="1">
      <c r="B348" s="3" t="s">
        <v>28</v>
      </c>
      <c r="C348" s="3" t="s">
        <v>54</v>
      </c>
      <c r="D348" s="3" t="s">
        <v>121</v>
      </c>
      <c r="E348" s="3" t="s">
        <v>38</v>
      </c>
      <c r="F348" s="3" t="s">
        <v>120</v>
      </c>
      <c r="G348" s="3" t="s">
        <v>140</v>
      </c>
      <c r="H348" s="63" t="str">
        <f>Table1[[#This Row],[Tabela]]&amp;Table1[[#This Row],[Campo]]</f>
        <v>cd_imv_out_certifvlr_aqcmnt_ambnt_rnvv</v>
      </c>
      <c r="I348" s="3" t="s">
        <v>477</v>
      </c>
      <c r="J348" s="45">
        <f>VLOOKUP(Table1[[#This Row],[Status]],Auxiliar!$B$16:$C$23,2,0)</f>
        <v>1</v>
      </c>
      <c r="K348" s="3" t="s">
        <v>1138</v>
      </c>
      <c r="L348" s="30" t="s">
        <v>1135</v>
      </c>
      <c r="M348" s="22" t="s">
        <v>1145</v>
      </c>
      <c r="N348" s="53">
        <v>45485</v>
      </c>
      <c r="O348" s="22">
        <f>INDEX(Auxiliar!$D$5:$F$13,MATCH(Table1[[#This Row],[Tipologia_Testes]],Auxiliar!$B$5:$B$13,0),MATCH(Table1[[#This Row],[Complexidade]],Auxiliar!$D$4:$F$4,0))</f>
        <v>2</v>
      </c>
      <c r="P348" s="3" t="s">
        <v>1175</v>
      </c>
      <c r="Q348" s="3"/>
      <c r="R348" s="173">
        <v>45261</v>
      </c>
      <c r="S348" s="173"/>
      <c r="T348" s="173"/>
      <c r="U348" s="173"/>
      <c r="V348" s="173"/>
      <c r="W348" s="3">
        <f>VLOOKUP(Table1[[#This Row],[Status]],Auxiliar!$B$16:$D$23,3,0)*Table1[[#This Row],[Estimação (horas)]]</f>
        <v>2</v>
      </c>
      <c r="X348" s="3"/>
    </row>
    <row r="349" spans="2:24" ht="17.399999999999999" hidden="1">
      <c r="B349" s="3" t="s">
        <v>28</v>
      </c>
      <c r="C349" s="3" t="s">
        <v>54</v>
      </c>
      <c r="D349" s="3" t="s">
        <v>121</v>
      </c>
      <c r="E349" s="3" t="s">
        <v>38</v>
      </c>
      <c r="F349" s="3" t="s">
        <v>120</v>
      </c>
      <c r="G349" s="3" t="s">
        <v>140</v>
      </c>
      <c r="H349" s="63" t="str">
        <f>Table1[[#This Row],[Tabela]]&amp;Table1[[#This Row],[Campo]]</f>
        <v>cd_imv_out_certifvlr_aqcmnt_ambnt_rnvv</v>
      </c>
      <c r="I349" s="3" t="s">
        <v>477</v>
      </c>
      <c r="J349" s="45">
        <f>VLOOKUP(Table1[[#This Row],[Status]],Auxiliar!$B$16:$C$23,2,0)</f>
        <v>1</v>
      </c>
      <c r="K349" s="3" t="s">
        <v>1141</v>
      </c>
      <c r="L349" s="30" t="s">
        <v>1135</v>
      </c>
      <c r="M349" s="22" t="s">
        <v>1145</v>
      </c>
      <c r="N349" s="53">
        <v>45485</v>
      </c>
      <c r="O349" s="22">
        <f>INDEX(Auxiliar!$D$5:$F$13,MATCH(Table1[[#This Row],[Tipologia_Testes]],Auxiliar!$B$5:$B$13,0),MATCH(Table1[[#This Row],[Complexidade]],Auxiliar!$D$4:$F$4,0))</f>
        <v>0.1</v>
      </c>
      <c r="P349" s="3" t="s">
        <v>1175</v>
      </c>
      <c r="Q349" s="3"/>
      <c r="R349" s="173">
        <v>45261</v>
      </c>
      <c r="S349" s="173"/>
      <c r="T349" s="173"/>
      <c r="U349" s="173"/>
      <c r="V349" s="173"/>
      <c r="W349" s="3">
        <f>VLOOKUP(Table1[[#This Row],[Status]],Auxiliar!$B$16:$D$23,3,0)*Table1[[#This Row],[Estimação (horas)]]</f>
        <v>0.1</v>
      </c>
      <c r="X349" s="3"/>
    </row>
    <row r="350" spans="2:24" ht="17.399999999999999" hidden="1">
      <c r="B350" s="3" t="s">
        <v>28</v>
      </c>
      <c r="C350" s="3" t="s">
        <v>54</v>
      </c>
      <c r="D350" s="3" t="s">
        <v>121</v>
      </c>
      <c r="E350" s="3" t="s">
        <v>38</v>
      </c>
      <c r="F350" s="3" t="s">
        <v>120</v>
      </c>
      <c r="G350" s="3" t="s">
        <v>141</v>
      </c>
      <c r="H350" s="63" t="str">
        <f>Table1[[#This Row],[Tabela]]&amp;Table1[[#This Row],[Campo]]</f>
        <v>cd_imv_out_certifvlr_arrfcmnt_ambnt_edfc</v>
      </c>
      <c r="I350" s="3" t="s">
        <v>477</v>
      </c>
      <c r="J350" s="45">
        <f>VLOOKUP(Table1[[#This Row],[Status]],Auxiliar!$B$16:$C$23,2,0)</f>
        <v>1</v>
      </c>
      <c r="K350" s="3" t="s">
        <v>1137</v>
      </c>
      <c r="L350" s="30" t="s">
        <v>1135</v>
      </c>
      <c r="M350" s="22" t="s">
        <v>1145</v>
      </c>
      <c r="N350" s="53">
        <v>45485</v>
      </c>
      <c r="O350" s="22">
        <f>INDEX(Auxiliar!$D$5:$F$13,MATCH(Table1[[#This Row],[Tipologia_Testes]],Auxiliar!$B$5:$B$13,0),MATCH(Table1[[#This Row],[Complexidade]],Auxiliar!$D$4:$F$4,0))</f>
        <v>2</v>
      </c>
      <c r="P350" s="3" t="s">
        <v>1175</v>
      </c>
      <c r="Q350" s="3"/>
      <c r="R350" s="173">
        <v>45261</v>
      </c>
      <c r="S350" s="173"/>
      <c r="T350" s="173"/>
      <c r="U350" s="173"/>
      <c r="V350" s="173"/>
      <c r="W350" s="3">
        <f>VLOOKUP(Table1[[#This Row],[Status]],Auxiliar!$B$16:$D$23,3,0)*Table1[[#This Row],[Estimação (horas)]]</f>
        <v>2</v>
      </c>
      <c r="X350" s="3"/>
    </row>
    <row r="351" spans="2:24" ht="17.399999999999999" hidden="1">
      <c r="B351" s="3" t="s">
        <v>28</v>
      </c>
      <c r="C351" s="3" t="s">
        <v>54</v>
      </c>
      <c r="D351" s="3" t="s">
        <v>121</v>
      </c>
      <c r="E351" s="3" t="s">
        <v>38</v>
      </c>
      <c r="F351" s="3" t="s">
        <v>120</v>
      </c>
      <c r="G351" s="3" t="s">
        <v>141</v>
      </c>
      <c r="H351" s="63" t="str">
        <f>Table1[[#This Row],[Tabela]]&amp;Table1[[#This Row],[Campo]]</f>
        <v>cd_imv_out_certifvlr_arrfcmnt_ambnt_edfc</v>
      </c>
      <c r="I351" s="3" t="s">
        <v>477</v>
      </c>
      <c r="J351" s="45">
        <f>VLOOKUP(Table1[[#This Row],[Status]],Auxiliar!$B$16:$C$23,2,0)</f>
        <v>1</v>
      </c>
      <c r="K351" s="3" t="s">
        <v>1138</v>
      </c>
      <c r="L351" s="30" t="s">
        <v>1135</v>
      </c>
      <c r="M351" s="22" t="s">
        <v>1145</v>
      </c>
      <c r="N351" s="53">
        <v>45485</v>
      </c>
      <c r="O351" s="22">
        <f>INDEX(Auxiliar!$D$5:$F$13,MATCH(Table1[[#This Row],[Tipologia_Testes]],Auxiliar!$B$5:$B$13,0),MATCH(Table1[[#This Row],[Complexidade]],Auxiliar!$D$4:$F$4,0))</f>
        <v>2</v>
      </c>
      <c r="P351" s="3" t="s">
        <v>1175</v>
      </c>
      <c r="Q351" s="3"/>
      <c r="R351" s="173">
        <v>45261</v>
      </c>
      <c r="S351" s="173"/>
      <c r="T351" s="173"/>
      <c r="U351" s="173"/>
      <c r="V351" s="173"/>
      <c r="W351" s="3">
        <f>VLOOKUP(Table1[[#This Row],[Status]],Auxiliar!$B$16:$D$23,3,0)*Table1[[#This Row],[Estimação (horas)]]</f>
        <v>2</v>
      </c>
      <c r="X351" s="3"/>
    </row>
    <row r="352" spans="2:24" ht="17.399999999999999" hidden="1">
      <c r="B352" s="3" t="s">
        <v>28</v>
      </c>
      <c r="C352" s="3" t="s">
        <v>54</v>
      </c>
      <c r="D352" s="3" t="s">
        <v>121</v>
      </c>
      <c r="E352" s="3" t="s">
        <v>38</v>
      </c>
      <c r="F352" s="3" t="s">
        <v>120</v>
      </c>
      <c r="G352" s="3" t="s">
        <v>141</v>
      </c>
      <c r="H352" s="63" t="str">
        <f>Table1[[#This Row],[Tabela]]&amp;Table1[[#This Row],[Campo]]</f>
        <v>cd_imv_out_certifvlr_arrfcmnt_ambnt_edfc</v>
      </c>
      <c r="I352" s="3" t="s">
        <v>477</v>
      </c>
      <c r="J352" s="45">
        <f>VLOOKUP(Table1[[#This Row],[Status]],Auxiliar!$B$16:$C$23,2,0)</f>
        <v>1</v>
      </c>
      <c r="K352" s="3" t="s">
        <v>1141</v>
      </c>
      <c r="L352" s="30" t="s">
        <v>1135</v>
      </c>
      <c r="M352" s="22" t="s">
        <v>1145</v>
      </c>
      <c r="N352" s="53">
        <v>45485</v>
      </c>
      <c r="O352" s="22">
        <f>INDEX(Auxiliar!$D$5:$F$13,MATCH(Table1[[#This Row],[Tipologia_Testes]],Auxiliar!$B$5:$B$13,0),MATCH(Table1[[#This Row],[Complexidade]],Auxiliar!$D$4:$F$4,0))</f>
        <v>0.1</v>
      </c>
      <c r="P352" s="3" t="s">
        <v>1175</v>
      </c>
      <c r="Q352" s="3"/>
      <c r="R352" s="173">
        <v>45261</v>
      </c>
      <c r="S352" s="173"/>
      <c r="T352" s="173"/>
      <c r="U352" s="173"/>
      <c r="V352" s="173"/>
      <c r="W352" s="3">
        <f>VLOOKUP(Table1[[#This Row],[Status]],Auxiliar!$B$16:$D$23,3,0)*Table1[[#This Row],[Estimação (horas)]]</f>
        <v>0.1</v>
      </c>
      <c r="X352" s="3"/>
    </row>
    <row r="353" spans="2:24" ht="17.399999999999999" hidden="1">
      <c r="B353" s="3" t="s">
        <v>28</v>
      </c>
      <c r="C353" s="3" t="s">
        <v>54</v>
      </c>
      <c r="D353" s="3" t="s">
        <v>121</v>
      </c>
      <c r="E353" s="3" t="s">
        <v>38</v>
      </c>
      <c r="F353" s="3" t="s">
        <v>120</v>
      </c>
      <c r="G353" s="3" t="s">
        <v>142</v>
      </c>
      <c r="H353" s="63" t="str">
        <f>Table1[[#This Row],[Tabela]]&amp;Table1[[#This Row],[Campo]]</f>
        <v>cd_imv_out_certifvlr_arrfcmnt_ambnt_renvv</v>
      </c>
      <c r="I353" s="3" t="s">
        <v>477</v>
      </c>
      <c r="J353" s="45">
        <f>VLOOKUP(Table1[[#This Row],[Status]],Auxiliar!$B$16:$C$23,2,0)</f>
        <v>1</v>
      </c>
      <c r="K353" s="3" t="s">
        <v>1137</v>
      </c>
      <c r="L353" s="30" t="s">
        <v>1135</v>
      </c>
      <c r="M353" s="22" t="s">
        <v>1145</v>
      </c>
      <c r="N353" s="53">
        <v>45485</v>
      </c>
      <c r="O353" s="22">
        <f>INDEX(Auxiliar!$D$5:$F$13,MATCH(Table1[[#This Row],[Tipologia_Testes]],Auxiliar!$B$5:$B$13,0),MATCH(Table1[[#This Row],[Complexidade]],Auxiliar!$D$4:$F$4,0))</f>
        <v>2</v>
      </c>
      <c r="P353" s="3" t="s">
        <v>1175</v>
      </c>
      <c r="Q353" s="3"/>
      <c r="R353" s="173">
        <v>45261</v>
      </c>
      <c r="S353" s="173"/>
      <c r="T353" s="173"/>
      <c r="U353" s="173"/>
      <c r="V353" s="173"/>
      <c r="W353" s="3">
        <f>VLOOKUP(Table1[[#This Row],[Status]],Auxiliar!$B$16:$D$23,3,0)*Table1[[#This Row],[Estimação (horas)]]</f>
        <v>2</v>
      </c>
      <c r="X353" s="3"/>
    </row>
    <row r="354" spans="2:24" ht="17.399999999999999" hidden="1">
      <c r="B354" s="3" t="s">
        <v>28</v>
      </c>
      <c r="C354" s="3" t="s">
        <v>54</v>
      </c>
      <c r="D354" s="3" t="s">
        <v>121</v>
      </c>
      <c r="E354" s="3" t="s">
        <v>38</v>
      </c>
      <c r="F354" s="3" t="s">
        <v>120</v>
      </c>
      <c r="G354" s="3" t="s">
        <v>142</v>
      </c>
      <c r="H354" s="63" t="str">
        <f>Table1[[#This Row],[Tabela]]&amp;Table1[[#This Row],[Campo]]</f>
        <v>cd_imv_out_certifvlr_arrfcmnt_ambnt_renvv</v>
      </c>
      <c r="I354" s="3" t="s">
        <v>477</v>
      </c>
      <c r="J354" s="45">
        <f>VLOOKUP(Table1[[#This Row],[Status]],Auxiliar!$B$16:$C$23,2,0)</f>
        <v>1</v>
      </c>
      <c r="K354" s="3" t="s">
        <v>1138</v>
      </c>
      <c r="L354" s="30" t="s">
        <v>1135</v>
      </c>
      <c r="M354" s="22" t="s">
        <v>1145</v>
      </c>
      <c r="N354" s="53">
        <v>45485</v>
      </c>
      <c r="O354" s="22">
        <f>INDEX(Auxiliar!$D$5:$F$13,MATCH(Table1[[#This Row],[Tipologia_Testes]],Auxiliar!$B$5:$B$13,0),MATCH(Table1[[#This Row],[Complexidade]],Auxiliar!$D$4:$F$4,0))</f>
        <v>2</v>
      </c>
      <c r="P354" s="3" t="s">
        <v>1175</v>
      </c>
      <c r="Q354" s="3"/>
      <c r="R354" s="173">
        <v>45261</v>
      </c>
      <c r="S354" s="173"/>
      <c r="T354" s="173"/>
      <c r="U354" s="173"/>
      <c r="V354" s="173"/>
      <c r="W354" s="3">
        <f>VLOOKUP(Table1[[#This Row],[Status]],Auxiliar!$B$16:$D$23,3,0)*Table1[[#This Row],[Estimação (horas)]]</f>
        <v>2</v>
      </c>
      <c r="X354" s="3"/>
    </row>
    <row r="355" spans="2:24" ht="17.399999999999999" hidden="1">
      <c r="B355" s="3" t="s">
        <v>28</v>
      </c>
      <c r="C355" s="3" t="s">
        <v>54</v>
      </c>
      <c r="D355" s="3" t="s">
        <v>121</v>
      </c>
      <c r="E355" s="3" t="s">
        <v>38</v>
      </c>
      <c r="F355" s="3" t="s">
        <v>120</v>
      </c>
      <c r="G355" s="3" t="s">
        <v>142</v>
      </c>
      <c r="H355" s="63" t="str">
        <f>Table1[[#This Row],[Tabela]]&amp;Table1[[#This Row],[Campo]]</f>
        <v>cd_imv_out_certifvlr_arrfcmnt_ambnt_renvv</v>
      </c>
      <c r="I355" s="3" t="s">
        <v>477</v>
      </c>
      <c r="J355" s="45">
        <f>VLOOKUP(Table1[[#This Row],[Status]],Auxiliar!$B$16:$C$23,2,0)</f>
        <v>1</v>
      </c>
      <c r="K355" s="3" t="s">
        <v>1141</v>
      </c>
      <c r="L355" s="30" t="s">
        <v>1135</v>
      </c>
      <c r="M355" s="22" t="s">
        <v>1145</v>
      </c>
      <c r="N355" s="53">
        <v>45485</v>
      </c>
      <c r="O355" s="22">
        <f>INDEX(Auxiliar!$D$5:$F$13,MATCH(Table1[[#This Row],[Tipologia_Testes]],Auxiliar!$B$5:$B$13,0),MATCH(Table1[[#This Row],[Complexidade]],Auxiliar!$D$4:$F$4,0))</f>
        <v>0.1</v>
      </c>
      <c r="P355" s="3" t="s">
        <v>1175</v>
      </c>
      <c r="Q355" s="3"/>
      <c r="R355" s="173">
        <v>45261</v>
      </c>
      <c r="S355" s="173"/>
      <c r="T355" s="173"/>
      <c r="U355" s="173"/>
      <c r="V355" s="173"/>
      <c r="W355" s="3">
        <f>VLOOKUP(Table1[[#This Row],[Status]],Auxiliar!$B$16:$D$23,3,0)*Table1[[#This Row],[Estimação (horas)]]</f>
        <v>0.1</v>
      </c>
      <c r="X355" s="3"/>
    </row>
    <row r="356" spans="2:24" ht="17.399999999999999" hidden="1">
      <c r="B356" s="3" t="s">
        <v>28</v>
      </c>
      <c r="C356" s="3" t="s">
        <v>54</v>
      </c>
      <c r="D356" s="3" t="s">
        <v>121</v>
      </c>
      <c r="E356" s="3" t="s">
        <v>38</v>
      </c>
      <c r="F356" s="3" t="s">
        <v>120</v>
      </c>
      <c r="G356" s="3" t="s">
        <v>143</v>
      </c>
      <c r="H356" s="63" t="str">
        <f>Table1[[#This Row],[Tabela]]&amp;Table1[[#This Row],[Campo]]</f>
        <v>cd_imv_out_certifvlr_arrfcmnt_ambnt_rfrc</v>
      </c>
      <c r="I356" s="3" t="s">
        <v>477</v>
      </c>
      <c r="J356" s="45">
        <f>VLOOKUP(Table1[[#This Row],[Status]],Auxiliar!$B$16:$C$23,2,0)</f>
        <v>1</v>
      </c>
      <c r="K356" s="3" t="s">
        <v>1137</v>
      </c>
      <c r="L356" s="30" t="s">
        <v>1135</v>
      </c>
      <c r="M356" s="22" t="s">
        <v>1145</v>
      </c>
      <c r="N356" s="53">
        <v>45485</v>
      </c>
      <c r="O356" s="22">
        <f>INDEX(Auxiliar!$D$5:$F$13,MATCH(Table1[[#This Row],[Tipologia_Testes]],Auxiliar!$B$5:$B$13,0),MATCH(Table1[[#This Row],[Complexidade]],Auxiliar!$D$4:$F$4,0))</f>
        <v>2</v>
      </c>
      <c r="P356" s="3" t="s">
        <v>1175</v>
      </c>
      <c r="Q356" s="3"/>
      <c r="R356" s="173">
        <v>45261</v>
      </c>
      <c r="S356" s="173"/>
      <c r="T356" s="173"/>
      <c r="U356" s="173"/>
      <c r="V356" s="173"/>
      <c r="W356" s="3">
        <f>VLOOKUP(Table1[[#This Row],[Status]],Auxiliar!$B$16:$D$23,3,0)*Table1[[#This Row],[Estimação (horas)]]</f>
        <v>2</v>
      </c>
      <c r="X356" s="3"/>
    </row>
    <row r="357" spans="2:24" ht="17.399999999999999" hidden="1">
      <c r="B357" s="3" t="s">
        <v>28</v>
      </c>
      <c r="C357" s="3" t="s">
        <v>54</v>
      </c>
      <c r="D357" s="3" t="s">
        <v>121</v>
      </c>
      <c r="E357" s="3" t="s">
        <v>38</v>
      </c>
      <c r="F357" s="3" t="s">
        <v>120</v>
      </c>
      <c r="G357" s="3" t="s">
        <v>143</v>
      </c>
      <c r="H357" s="63" t="str">
        <f>Table1[[#This Row],[Tabela]]&amp;Table1[[#This Row],[Campo]]</f>
        <v>cd_imv_out_certifvlr_arrfcmnt_ambnt_rfrc</v>
      </c>
      <c r="I357" s="3" t="s">
        <v>477</v>
      </c>
      <c r="J357" s="45">
        <f>VLOOKUP(Table1[[#This Row],[Status]],Auxiliar!$B$16:$C$23,2,0)</f>
        <v>1</v>
      </c>
      <c r="K357" s="3" t="s">
        <v>1138</v>
      </c>
      <c r="L357" s="30" t="s">
        <v>1135</v>
      </c>
      <c r="M357" s="22" t="s">
        <v>1145</v>
      </c>
      <c r="N357" s="53">
        <v>45485</v>
      </c>
      <c r="O357" s="22">
        <f>INDEX(Auxiliar!$D$5:$F$13,MATCH(Table1[[#This Row],[Tipologia_Testes]],Auxiliar!$B$5:$B$13,0),MATCH(Table1[[#This Row],[Complexidade]],Auxiliar!$D$4:$F$4,0))</f>
        <v>2</v>
      </c>
      <c r="P357" s="3" t="s">
        <v>1175</v>
      </c>
      <c r="Q357" s="3"/>
      <c r="R357" s="173">
        <v>45261</v>
      </c>
      <c r="S357" s="173"/>
      <c r="T357" s="173"/>
      <c r="U357" s="173"/>
      <c r="V357" s="173"/>
      <c r="W357" s="3">
        <f>VLOOKUP(Table1[[#This Row],[Status]],Auxiliar!$B$16:$D$23,3,0)*Table1[[#This Row],[Estimação (horas)]]</f>
        <v>2</v>
      </c>
      <c r="X357" s="3"/>
    </row>
    <row r="358" spans="2:24" ht="17.399999999999999" hidden="1">
      <c r="B358" s="3" t="s">
        <v>28</v>
      </c>
      <c r="C358" s="3" t="s">
        <v>54</v>
      </c>
      <c r="D358" s="3" t="s">
        <v>121</v>
      </c>
      <c r="E358" s="3" t="s">
        <v>38</v>
      </c>
      <c r="F358" s="3" t="s">
        <v>120</v>
      </c>
      <c r="G358" s="3" t="s">
        <v>143</v>
      </c>
      <c r="H358" s="63" t="str">
        <f>Table1[[#This Row],[Tabela]]&amp;Table1[[#This Row],[Campo]]</f>
        <v>cd_imv_out_certifvlr_arrfcmnt_ambnt_rfrc</v>
      </c>
      <c r="I358" s="3" t="s">
        <v>477</v>
      </c>
      <c r="J358" s="45">
        <f>VLOOKUP(Table1[[#This Row],[Status]],Auxiliar!$B$16:$C$23,2,0)</f>
        <v>1</v>
      </c>
      <c r="K358" s="3" t="s">
        <v>1141</v>
      </c>
      <c r="L358" s="30" t="s">
        <v>1135</v>
      </c>
      <c r="M358" s="22" t="s">
        <v>1145</v>
      </c>
      <c r="N358" s="53">
        <v>45485</v>
      </c>
      <c r="O358" s="22">
        <f>INDEX(Auxiliar!$D$5:$F$13,MATCH(Table1[[#This Row],[Tipologia_Testes]],Auxiliar!$B$5:$B$13,0),MATCH(Table1[[#This Row],[Complexidade]],Auxiliar!$D$4:$F$4,0))</f>
        <v>0.1</v>
      </c>
      <c r="P358" s="3" t="s">
        <v>1175</v>
      </c>
      <c r="Q358" s="3"/>
      <c r="R358" s="173">
        <v>45261</v>
      </c>
      <c r="S358" s="173"/>
      <c r="T358" s="173"/>
      <c r="U358" s="173"/>
      <c r="V358" s="173"/>
      <c r="W358" s="3">
        <f>VLOOKUP(Table1[[#This Row],[Status]],Auxiliar!$B$16:$D$23,3,0)*Table1[[#This Row],[Estimação (horas)]]</f>
        <v>0.1</v>
      </c>
      <c r="X358" s="3"/>
    </row>
    <row r="359" spans="2:24" ht="17.399999999999999" hidden="1">
      <c r="B359" s="3" t="s">
        <v>28</v>
      </c>
      <c r="C359" s="3" t="s">
        <v>54</v>
      </c>
      <c r="D359" s="3" t="s">
        <v>121</v>
      </c>
      <c r="E359" s="3" t="s">
        <v>38</v>
      </c>
      <c r="F359" s="3" t="s">
        <v>120</v>
      </c>
      <c r="G359" s="3" t="s">
        <v>144</v>
      </c>
      <c r="H359" s="63" t="str">
        <f>Table1[[#This Row],[Tabela]]&amp;Table1[[#This Row],[Campo]]</f>
        <v>cd_imv_out_certifvlr_class_enrg_aps_mdd</v>
      </c>
      <c r="I359" s="3" t="s">
        <v>477</v>
      </c>
      <c r="J359" s="45">
        <f>VLOOKUP(Table1[[#This Row],[Status]],Auxiliar!$B$16:$C$23,2,0)</f>
        <v>1</v>
      </c>
      <c r="K359" s="3" t="s">
        <v>1137</v>
      </c>
      <c r="L359" s="30" t="s">
        <v>1135</v>
      </c>
      <c r="M359" s="22" t="s">
        <v>1145</v>
      </c>
      <c r="N359" s="53">
        <v>45485</v>
      </c>
      <c r="O359" s="22">
        <f>INDEX(Auxiliar!$D$5:$F$13,MATCH(Table1[[#This Row],[Tipologia_Testes]],Auxiliar!$B$5:$B$13,0),MATCH(Table1[[#This Row],[Complexidade]],Auxiliar!$D$4:$F$4,0))</f>
        <v>2</v>
      </c>
      <c r="P359" s="3" t="s">
        <v>1175</v>
      </c>
      <c r="Q359" s="3"/>
      <c r="R359" s="173">
        <v>45261</v>
      </c>
      <c r="S359" s="173"/>
      <c r="T359" s="173"/>
      <c r="U359" s="173"/>
      <c r="V359" s="173"/>
      <c r="W359" s="3">
        <f>VLOOKUP(Table1[[#This Row],[Status]],Auxiliar!$B$16:$D$23,3,0)*Table1[[#This Row],[Estimação (horas)]]</f>
        <v>2</v>
      </c>
      <c r="X359" s="3"/>
    </row>
    <row r="360" spans="2:24" ht="17.399999999999999" hidden="1">
      <c r="B360" s="3" t="s">
        <v>28</v>
      </c>
      <c r="C360" s="3" t="s">
        <v>54</v>
      </c>
      <c r="D360" s="3" t="s">
        <v>121</v>
      </c>
      <c r="E360" s="3" t="s">
        <v>38</v>
      </c>
      <c r="F360" s="3" t="s">
        <v>120</v>
      </c>
      <c r="G360" s="3" t="s">
        <v>144</v>
      </c>
      <c r="H360" s="63" t="str">
        <f>Table1[[#This Row],[Tabela]]&amp;Table1[[#This Row],[Campo]]</f>
        <v>cd_imv_out_certifvlr_class_enrg_aps_mdd</v>
      </c>
      <c r="I360" s="3" t="s">
        <v>477</v>
      </c>
      <c r="J360" s="45">
        <f>VLOOKUP(Table1[[#This Row],[Status]],Auxiliar!$B$16:$C$23,2,0)</f>
        <v>1</v>
      </c>
      <c r="K360" s="3" t="s">
        <v>1138</v>
      </c>
      <c r="L360" s="30" t="s">
        <v>1135</v>
      </c>
      <c r="M360" s="22" t="s">
        <v>1145</v>
      </c>
      <c r="N360" s="53">
        <v>45485</v>
      </c>
      <c r="O360" s="22">
        <f>INDEX(Auxiliar!$D$5:$F$13,MATCH(Table1[[#This Row],[Tipologia_Testes]],Auxiliar!$B$5:$B$13,0),MATCH(Table1[[#This Row],[Complexidade]],Auxiliar!$D$4:$F$4,0))</f>
        <v>2</v>
      </c>
      <c r="P360" s="3" t="s">
        <v>1175</v>
      </c>
      <c r="Q360" s="3"/>
      <c r="R360" s="173">
        <v>45261</v>
      </c>
      <c r="S360" s="173"/>
      <c r="T360" s="173"/>
      <c r="U360" s="173"/>
      <c r="V360" s="173"/>
      <c r="W360" s="3">
        <f>VLOOKUP(Table1[[#This Row],[Status]],Auxiliar!$B$16:$D$23,3,0)*Table1[[#This Row],[Estimação (horas)]]</f>
        <v>2</v>
      </c>
      <c r="X360" s="3"/>
    </row>
    <row r="361" spans="2:24" ht="17.399999999999999" hidden="1">
      <c r="B361" s="3" t="s">
        <v>28</v>
      </c>
      <c r="C361" s="3" t="s">
        <v>54</v>
      </c>
      <c r="D361" s="3" t="s">
        <v>121</v>
      </c>
      <c r="E361" s="3" t="s">
        <v>38</v>
      </c>
      <c r="F361" s="3" t="s">
        <v>120</v>
      </c>
      <c r="G361" s="3" t="s">
        <v>144</v>
      </c>
      <c r="H361" s="63" t="str">
        <f>Table1[[#This Row],[Tabela]]&amp;Table1[[#This Row],[Campo]]</f>
        <v>cd_imv_out_certifvlr_class_enrg_aps_mdd</v>
      </c>
      <c r="I361" s="3" t="s">
        <v>477</v>
      </c>
      <c r="J361" s="45">
        <f>VLOOKUP(Table1[[#This Row],[Status]],Auxiliar!$B$16:$C$23,2,0)</f>
        <v>1</v>
      </c>
      <c r="K361" s="3" t="s">
        <v>1141</v>
      </c>
      <c r="L361" s="30" t="s">
        <v>1135</v>
      </c>
      <c r="M361" s="22" t="s">
        <v>1145</v>
      </c>
      <c r="N361" s="53">
        <v>45485</v>
      </c>
      <c r="O361" s="22">
        <f>INDEX(Auxiliar!$D$5:$F$13,MATCH(Table1[[#This Row],[Tipologia_Testes]],Auxiliar!$B$5:$B$13,0),MATCH(Table1[[#This Row],[Complexidade]],Auxiliar!$D$4:$F$4,0))</f>
        <v>0.1</v>
      </c>
      <c r="P361" s="3" t="s">
        <v>1175</v>
      </c>
      <c r="Q361" s="3"/>
      <c r="R361" s="173">
        <v>45261</v>
      </c>
      <c r="S361" s="173"/>
      <c r="T361" s="173"/>
      <c r="U361" s="173"/>
      <c r="V361" s="173"/>
      <c r="W361" s="3">
        <f>VLOOKUP(Table1[[#This Row],[Status]],Auxiliar!$B$16:$D$23,3,0)*Table1[[#This Row],[Estimação (horas)]]</f>
        <v>0.1</v>
      </c>
      <c r="X361" s="3"/>
    </row>
    <row r="362" spans="2:24" ht="17.399999999999999">
      <c r="B362" s="3" t="s">
        <v>28</v>
      </c>
      <c r="C362" s="3" t="s">
        <v>54</v>
      </c>
      <c r="D362" s="3" t="s">
        <v>121</v>
      </c>
      <c r="E362" s="3" t="s">
        <v>38</v>
      </c>
      <c r="F362" s="3" t="s">
        <v>120</v>
      </c>
      <c r="G362" s="3" t="s">
        <v>51</v>
      </c>
      <c r="H362" s="63" t="str">
        <f>Table1[[#This Row],[Tabela]]&amp;Table1[[#This Row],[Campo]]</f>
        <v>cd_imv_out_certifvlr_cnsm_ano</v>
      </c>
      <c r="I362" s="3" t="s">
        <v>482</v>
      </c>
      <c r="J362" s="45">
        <f>VLOOKUP(Table1[[#This Row],[Status]],Auxiliar!$B$16:$C$23,2,0)</f>
        <v>6</v>
      </c>
      <c r="K362" s="3" t="s">
        <v>1137</v>
      </c>
      <c r="L362" s="30" t="s">
        <v>1135</v>
      </c>
      <c r="M362" s="22" t="s">
        <v>1145</v>
      </c>
      <c r="N362" s="53">
        <v>45562</v>
      </c>
      <c r="O362" s="22">
        <f>INDEX(Auxiliar!$D$5:$F$13,MATCH(Table1[[#This Row],[Tipologia_Testes]],Auxiliar!$B$5:$B$13,0),MATCH(Table1[[#This Row],[Complexidade]],Auxiliar!$D$4:$F$4,0))</f>
        <v>2</v>
      </c>
      <c r="P362" s="3" t="s">
        <v>1175</v>
      </c>
      <c r="Q362" s="3"/>
      <c r="R362" s="173">
        <v>45562</v>
      </c>
      <c r="S362" s="173"/>
      <c r="T362" s="173">
        <v>45562</v>
      </c>
      <c r="U362" s="173"/>
      <c r="V362" s="173"/>
      <c r="W362" s="3">
        <f>VLOOKUP(Table1[[#This Row],[Status]],Auxiliar!$B$16:$D$23,3,0)*Table1[[#This Row],[Estimação (horas)]]</f>
        <v>0.5</v>
      </c>
      <c r="X362" s="3"/>
    </row>
    <row r="363" spans="2:24" ht="17.399999999999999">
      <c r="B363" s="3" t="s">
        <v>28</v>
      </c>
      <c r="C363" s="3" t="s">
        <v>54</v>
      </c>
      <c r="D363" s="3" t="s">
        <v>121</v>
      </c>
      <c r="E363" s="3" t="s">
        <v>38</v>
      </c>
      <c r="F363" s="3" t="s">
        <v>120</v>
      </c>
      <c r="G363" s="3" t="s">
        <v>51</v>
      </c>
      <c r="H363" s="63" t="str">
        <f>Table1[[#This Row],[Tabela]]&amp;Table1[[#This Row],[Campo]]</f>
        <v>cd_imv_out_certifvlr_cnsm_ano</v>
      </c>
      <c r="I363" s="3" t="s">
        <v>482</v>
      </c>
      <c r="J363" s="45">
        <f>VLOOKUP(Table1[[#This Row],[Status]],Auxiliar!$B$16:$C$23,2,0)</f>
        <v>6</v>
      </c>
      <c r="K363" s="3" t="s">
        <v>1138</v>
      </c>
      <c r="L363" s="30" t="s">
        <v>1135</v>
      </c>
      <c r="M363" s="22" t="s">
        <v>1145</v>
      </c>
      <c r="N363" s="53">
        <v>45562</v>
      </c>
      <c r="O363" s="22">
        <f>INDEX(Auxiliar!$D$5:$F$13,MATCH(Table1[[#This Row],[Tipologia_Testes]],Auxiliar!$B$5:$B$13,0),MATCH(Table1[[#This Row],[Complexidade]],Auxiliar!$D$4:$F$4,0))</f>
        <v>2</v>
      </c>
      <c r="P363" s="3" t="s">
        <v>1175</v>
      </c>
      <c r="Q363" s="3"/>
      <c r="R363" s="173">
        <v>45562</v>
      </c>
      <c r="S363" s="173"/>
      <c r="T363" s="173">
        <v>45562</v>
      </c>
      <c r="U363" s="173"/>
      <c r="V363" s="173"/>
      <c r="W363" s="3">
        <f>VLOOKUP(Table1[[#This Row],[Status]],Auxiliar!$B$16:$D$23,3,0)*Table1[[#This Row],[Estimação (horas)]]</f>
        <v>0.5</v>
      </c>
      <c r="X363" s="3"/>
    </row>
    <row r="364" spans="2:24" ht="17.399999999999999">
      <c r="B364" s="3" t="s">
        <v>28</v>
      </c>
      <c r="C364" s="3" t="s">
        <v>54</v>
      </c>
      <c r="D364" s="3" t="s">
        <v>121</v>
      </c>
      <c r="E364" s="3" t="s">
        <v>38</v>
      </c>
      <c r="F364" s="3" t="s">
        <v>120</v>
      </c>
      <c r="G364" s="3" t="s">
        <v>51</v>
      </c>
      <c r="H364" s="63" t="str">
        <f>Table1[[#This Row],[Tabela]]&amp;Table1[[#This Row],[Campo]]</f>
        <v>cd_imv_out_certifvlr_cnsm_ano</v>
      </c>
      <c r="I364" s="3" t="s">
        <v>482</v>
      </c>
      <c r="J364" s="45">
        <f>VLOOKUP(Table1[[#This Row],[Status]],Auxiliar!$B$16:$C$23,2,0)</f>
        <v>6</v>
      </c>
      <c r="K364" s="3" t="s">
        <v>1141</v>
      </c>
      <c r="L364" s="30" t="s">
        <v>1135</v>
      </c>
      <c r="M364" s="22" t="s">
        <v>1145</v>
      </c>
      <c r="N364" s="53">
        <v>45562</v>
      </c>
      <c r="O364" s="22">
        <f>INDEX(Auxiliar!$D$5:$F$13,MATCH(Table1[[#This Row],[Tipologia_Testes]],Auxiliar!$B$5:$B$13,0),MATCH(Table1[[#This Row],[Complexidade]],Auxiliar!$D$4:$F$4,0))</f>
        <v>0.1</v>
      </c>
      <c r="P364" s="3" t="s">
        <v>1175</v>
      </c>
      <c r="Q364" s="3"/>
      <c r="R364" s="173">
        <v>45562</v>
      </c>
      <c r="S364" s="173"/>
      <c r="T364" s="173">
        <v>45562</v>
      </c>
      <c r="U364" s="173"/>
      <c r="V364" s="173"/>
      <c r="W364" s="3">
        <f>VLOOKUP(Table1[[#This Row],[Status]],Auxiliar!$B$16:$D$23,3,0)*Table1[[#This Row],[Estimação (horas)]]</f>
        <v>2.5000000000000001E-2</v>
      </c>
      <c r="X364" s="3"/>
    </row>
    <row r="365" spans="2:24" ht="17.399999999999999" hidden="1">
      <c r="B365" s="3" t="s">
        <v>28</v>
      </c>
      <c r="C365" s="3" t="s">
        <v>54</v>
      </c>
      <c r="D365" s="3" t="s">
        <v>121</v>
      </c>
      <c r="E365" s="3" t="s">
        <v>38</v>
      </c>
      <c r="F365" s="3" t="s">
        <v>120</v>
      </c>
      <c r="G365" s="3" t="s">
        <v>145</v>
      </c>
      <c r="H365" s="63" t="str">
        <f>Table1[[#This Row],[Tabela]]&amp;Table1[[#This Row],[Campo]]</f>
        <v>cd_imv_out_certifvlr_comp_trmc_cbrtrs</v>
      </c>
      <c r="I365" s="3" t="s">
        <v>477</v>
      </c>
      <c r="J365" s="45">
        <f>VLOOKUP(Table1[[#This Row],[Status]],Auxiliar!$B$16:$C$23,2,0)</f>
        <v>1</v>
      </c>
      <c r="K365" s="3" t="s">
        <v>1137</v>
      </c>
      <c r="L365" s="30" t="s">
        <v>1135</v>
      </c>
      <c r="M365" s="22" t="s">
        <v>1145</v>
      </c>
      <c r="N365" s="53">
        <v>45485</v>
      </c>
      <c r="O365" s="22">
        <f>INDEX(Auxiliar!$D$5:$F$13,MATCH(Table1[[#This Row],[Tipologia_Testes]],Auxiliar!$B$5:$B$13,0),MATCH(Table1[[#This Row],[Complexidade]],Auxiliar!$D$4:$F$4,0))</f>
        <v>2</v>
      </c>
      <c r="P365" s="3" t="s">
        <v>1175</v>
      </c>
      <c r="Q365" s="3"/>
      <c r="R365" s="173">
        <v>45261</v>
      </c>
      <c r="S365" s="173"/>
      <c r="T365" s="173"/>
      <c r="U365" s="173"/>
      <c r="V365" s="173"/>
      <c r="W365" s="3">
        <f>VLOOKUP(Table1[[#This Row],[Status]],Auxiliar!$B$16:$D$23,3,0)*Table1[[#This Row],[Estimação (horas)]]</f>
        <v>2</v>
      </c>
      <c r="X365" s="3"/>
    </row>
    <row r="366" spans="2:24" ht="17.399999999999999" hidden="1">
      <c r="B366" s="3" t="s">
        <v>28</v>
      </c>
      <c r="C366" s="3" t="s">
        <v>54</v>
      </c>
      <c r="D366" s="3" t="s">
        <v>121</v>
      </c>
      <c r="E366" s="3" t="s">
        <v>38</v>
      </c>
      <c r="F366" s="3" t="s">
        <v>120</v>
      </c>
      <c r="G366" s="3" t="s">
        <v>145</v>
      </c>
      <c r="H366" s="63" t="str">
        <f>Table1[[#This Row],[Tabela]]&amp;Table1[[#This Row],[Campo]]</f>
        <v>cd_imv_out_certifvlr_comp_trmc_cbrtrs</v>
      </c>
      <c r="I366" s="3" t="s">
        <v>477</v>
      </c>
      <c r="J366" s="45">
        <f>VLOOKUP(Table1[[#This Row],[Status]],Auxiliar!$B$16:$C$23,2,0)</f>
        <v>1</v>
      </c>
      <c r="K366" s="3" t="s">
        <v>1138</v>
      </c>
      <c r="L366" s="30" t="s">
        <v>1135</v>
      </c>
      <c r="M366" s="22" t="s">
        <v>1145</v>
      </c>
      <c r="N366" s="53">
        <v>45485</v>
      </c>
      <c r="O366" s="22">
        <f>INDEX(Auxiliar!$D$5:$F$13,MATCH(Table1[[#This Row],[Tipologia_Testes]],Auxiliar!$B$5:$B$13,0),MATCH(Table1[[#This Row],[Complexidade]],Auxiliar!$D$4:$F$4,0))</f>
        <v>2</v>
      </c>
      <c r="P366" s="3" t="s">
        <v>1175</v>
      </c>
      <c r="Q366" s="3"/>
      <c r="R366" s="173">
        <v>45261</v>
      </c>
      <c r="S366" s="173"/>
      <c r="T366" s="173"/>
      <c r="U366" s="173"/>
      <c r="V366" s="173"/>
      <c r="W366" s="3">
        <f>VLOOKUP(Table1[[#This Row],[Status]],Auxiliar!$B$16:$D$23,3,0)*Table1[[#This Row],[Estimação (horas)]]</f>
        <v>2</v>
      </c>
      <c r="X366" s="3"/>
    </row>
    <row r="367" spans="2:24" ht="17.399999999999999" hidden="1">
      <c r="B367" s="3" t="s">
        <v>28</v>
      </c>
      <c r="C367" s="3" t="s">
        <v>54</v>
      </c>
      <c r="D367" s="3" t="s">
        <v>121</v>
      </c>
      <c r="E367" s="3" t="s">
        <v>38</v>
      </c>
      <c r="F367" s="3" t="s">
        <v>120</v>
      </c>
      <c r="G367" s="3" t="s">
        <v>145</v>
      </c>
      <c r="H367" s="63" t="str">
        <f>Table1[[#This Row],[Tabela]]&amp;Table1[[#This Row],[Campo]]</f>
        <v>cd_imv_out_certifvlr_comp_trmc_cbrtrs</v>
      </c>
      <c r="I367" s="3" t="s">
        <v>477</v>
      </c>
      <c r="J367" s="45">
        <f>VLOOKUP(Table1[[#This Row],[Status]],Auxiliar!$B$16:$C$23,2,0)</f>
        <v>1</v>
      </c>
      <c r="K367" s="3" t="s">
        <v>1141</v>
      </c>
      <c r="L367" s="30" t="s">
        <v>1135</v>
      </c>
      <c r="M367" s="22" t="s">
        <v>1145</v>
      </c>
      <c r="N367" s="53">
        <v>45485</v>
      </c>
      <c r="O367" s="22">
        <f>INDEX(Auxiliar!$D$5:$F$13,MATCH(Table1[[#This Row],[Tipologia_Testes]],Auxiliar!$B$5:$B$13,0),MATCH(Table1[[#This Row],[Complexidade]],Auxiliar!$D$4:$F$4,0))</f>
        <v>0.1</v>
      </c>
      <c r="P367" s="3" t="s">
        <v>1175</v>
      </c>
      <c r="Q367" s="3"/>
      <c r="R367" s="173">
        <v>45261</v>
      </c>
      <c r="S367" s="173"/>
      <c r="T367" s="173"/>
      <c r="U367" s="173"/>
      <c r="V367" s="173"/>
      <c r="W367" s="3">
        <f>VLOOKUP(Table1[[#This Row],[Status]],Auxiliar!$B$16:$D$23,3,0)*Table1[[#This Row],[Estimação (horas)]]</f>
        <v>0.1</v>
      </c>
      <c r="X367" s="3"/>
    </row>
    <row r="368" spans="2:24" ht="17.399999999999999" hidden="1">
      <c r="B368" s="3" t="s">
        <v>28</v>
      </c>
      <c r="C368" s="3" t="s">
        <v>54</v>
      </c>
      <c r="D368" s="3" t="s">
        <v>121</v>
      </c>
      <c r="E368" s="3" t="s">
        <v>38</v>
      </c>
      <c r="F368" s="3" t="s">
        <v>120</v>
      </c>
      <c r="G368" s="3" t="s">
        <v>146</v>
      </c>
      <c r="H368" s="63" t="str">
        <f>Table1[[#This Row],[Tabela]]&amp;Table1[[#This Row],[Campo]]</f>
        <v>cd_imv_out_certifvlr_comp_trmc_jnls</v>
      </c>
      <c r="I368" s="3" t="s">
        <v>477</v>
      </c>
      <c r="J368" s="45">
        <f>VLOOKUP(Table1[[#This Row],[Status]],Auxiliar!$B$16:$C$23,2,0)</f>
        <v>1</v>
      </c>
      <c r="K368" s="3" t="s">
        <v>1137</v>
      </c>
      <c r="L368" s="30" t="s">
        <v>1135</v>
      </c>
      <c r="M368" s="22" t="s">
        <v>1145</v>
      </c>
      <c r="N368" s="53">
        <v>45485</v>
      </c>
      <c r="O368" s="22">
        <f>INDEX(Auxiliar!$D$5:$F$13,MATCH(Table1[[#This Row],[Tipologia_Testes]],Auxiliar!$B$5:$B$13,0),MATCH(Table1[[#This Row],[Complexidade]],Auxiliar!$D$4:$F$4,0))</f>
        <v>2</v>
      </c>
      <c r="P368" s="3" t="s">
        <v>1175</v>
      </c>
      <c r="Q368" s="3"/>
      <c r="R368" s="173">
        <v>45261</v>
      </c>
      <c r="S368" s="173"/>
      <c r="T368" s="173"/>
      <c r="U368" s="173"/>
      <c r="V368" s="173"/>
      <c r="W368" s="3">
        <f>VLOOKUP(Table1[[#This Row],[Status]],Auxiliar!$B$16:$D$23,3,0)*Table1[[#This Row],[Estimação (horas)]]</f>
        <v>2</v>
      </c>
      <c r="X368" s="3"/>
    </row>
    <row r="369" spans="2:24" ht="17.399999999999999" hidden="1">
      <c r="B369" s="3" t="s">
        <v>28</v>
      </c>
      <c r="C369" s="3" t="s">
        <v>54</v>
      </c>
      <c r="D369" s="3" t="s">
        <v>121</v>
      </c>
      <c r="E369" s="3" t="s">
        <v>38</v>
      </c>
      <c r="F369" s="3" t="s">
        <v>120</v>
      </c>
      <c r="G369" s="3" t="s">
        <v>146</v>
      </c>
      <c r="H369" s="63" t="str">
        <f>Table1[[#This Row],[Tabela]]&amp;Table1[[#This Row],[Campo]]</f>
        <v>cd_imv_out_certifvlr_comp_trmc_jnls</v>
      </c>
      <c r="I369" s="3" t="s">
        <v>477</v>
      </c>
      <c r="J369" s="45">
        <f>VLOOKUP(Table1[[#This Row],[Status]],Auxiliar!$B$16:$C$23,2,0)</f>
        <v>1</v>
      </c>
      <c r="K369" s="3" t="s">
        <v>1138</v>
      </c>
      <c r="L369" s="30" t="s">
        <v>1135</v>
      </c>
      <c r="M369" s="22" t="s">
        <v>1145</v>
      </c>
      <c r="N369" s="53">
        <v>45485</v>
      </c>
      <c r="O369" s="22">
        <f>INDEX(Auxiliar!$D$5:$F$13,MATCH(Table1[[#This Row],[Tipologia_Testes]],Auxiliar!$B$5:$B$13,0),MATCH(Table1[[#This Row],[Complexidade]],Auxiliar!$D$4:$F$4,0))</f>
        <v>2</v>
      </c>
      <c r="P369" s="3" t="s">
        <v>1175</v>
      </c>
      <c r="Q369" s="3"/>
      <c r="R369" s="173">
        <v>45261</v>
      </c>
      <c r="S369" s="173"/>
      <c r="T369" s="173"/>
      <c r="U369" s="173"/>
      <c r="V369" s="173"/>
      <c r="W369" s="3">
        <f>VLOOKUP(Table1[[#This Row],[Status]],Auxiliar!$B$16:$D$23,3,0)*Table1[[#This Row],[Estimação (horas)]]</f>
        <v>2</v>
      </c>
      <c r="X369" s="3"/>
    </row>
    <row r="370" spans="2:24" ht="17.399999999999999" hidden="1">
      <c r="B370" s="3" t="s">
        <v>28</v>
      </c>
      <c r="C370" s="3" t="s">
        <v>54</v>
      </c>
      <c r="D370" s="3" t="s">
        <v>121</v>
      </c>
      <c r="E370" s="3" t="s">
        <v>38</v>
      </c>
      <c r="F370" s="3" t="s">
        <v>120</v>
      </c>
      <c r="G370" s="3" t="s">
        <v>146</v>
      </c>
      <c r="H370" s="63" t="str">
        <f>Table1[[#This Row],[Tabela]]&amp;Table1[[#This Row],[Campo]]</f>
        <v>cd_imv_out_certifvlr_comp_trmc_jnls</v>
      </c>
      <c r="I370" s="3" t="s">
        <v>477</v>
      </c>
      <c r="J370" s="45">
        <f>VLOOKUP(Table1[[#This Row],[Status]],Auxiliar!$B$16:$C$23,2,0)</f>
        <v>1</v>
      </c>
      <c r="K370" s="3" t="s">
        <v>1141</v>
      </c>
      <c r="L370" s="30" t="s">
        <v>1135</v>
      </c>
      <c r="M370" s="22" t="s">
        <v>1145</v>
      </c>
      <c r="N370" s="53">
        <v>45485</v>
      </c>
      <c r="O370" s="22">
        <f>INDEX(Auxiliar!$D$5:$F$13,MATCH(Table1[[#This Row],[Tipologia_Testes]],Auxiliar!$B$5:$B$13,0),MATCH(Table1[[#This Row],[Complexidade]],Auxiliar!$D$4:$F$4,0))</f>
        <v>0.1</v>
      </c>
      <c r="P370" s="3" t="s">
        <v>1175</v>
      </c>
      <c r="Q370" s="3"/>
      <c r="R370" s="173">
        <v>45261</v>
      </c>
      <c r="S370" s="173"/>
      <c r="T370" s="173"/>
      <c r="U370" s="173"/>
      <c r="V370" s="173"/>
      <c r="W370" s="3">
        <f>VLOOKUP(Table1[[#This Row],[Status]],Auxiliar!$B$16:$D$23,3,0)*Table1[[#This Row],[Estimação (horas)]]</f>
        <v>0.1</v>
      </c>
      <c r="X370" s="3"/>
    </row>
    <row r="371" spans="2:24" ht="17.399999999999999" hidden="1">
      <c r="B371" s="3" t="s">
        <v>28</v>
      </c>
      <c r="C371" s="3" t="s">
        <v>54</v>
      </c>
      <c r="D371" s="3" t="s">
        <v>121</v>
      </c>
      <c r="E371" s="3" t="s">
        <v>38</v>
      </c>
      <c r="F371" s="3" t="s">
        <v>120</v>
      </c>
      <c r="G371" s="3" t="s">
        <v>147</v>
      </c>
      <c r="H371" s="63" t="str">
        <f>Table1[[#This Row],[Tabela]]&amp;Table1[[#This Row],[Campo]]</f>
        <v>cd_imv_out_certifvlr_comp_trmc_prds</v>
      </c>
      <c r="I371" s="3" t="s">
        <v>477</v>
      </c>
      <c r="J371" s="45">
        <f>VLOOKUP(Table1[[#This Row],[Status]],Auxiliar!$B$16:$C$23,2,0)</f>
        <v>1</v>
      </c>
      <c r="K371" s="3" t="s">
        <v>1137</v>
      </c>
      <c r="L371" s="30" t="s">
        <v>1135</v>
      </c>
      <c r="M371" s="22" t="s">
        <v>1145</v>
      </c>
      <c r="N371" s="53">
        <v>45485</v>
      </c>
      <c r="O371" s="22">
        <f>INDEX(Auxiliar!$D$5:$F$13,MATCH(Table1[[#This Row],[Tipologia_Testes]],Auxiliar!$B$5:$B$13,0),MATCH(Table1[[#This Row],[Complexidade]],Auxiliar!$D$4:$F$4,0))</f>
        <v>2</v>
      </c>
      <c r="P371" s="3" t="s">
        <v>1175</v>
      </c>
      <c r="Q371" s="3"/>
      <c r="R371" s="173">
        <v>45261</v>
      </c>
      <c r="S371" s="173"/>
      <c r="T371" s="173"/>
      <c r="U371" s="173"/>
      <c r="V371" s="173"/>
      <c r="W371" s="3">
        <f>VLOOKUP(Table1[[#This Row],[Status]],Auxiliar!$B$16:$D$23,3,0)*Table1[[#This Row],[Estimação (horas)]]</f>
        <v>2</v>
      </c>
      <c r="X371" s="3"/>
    </row>
    <row r="372" spans="2:24" ht="17.399999999999999" hidden="1">
      <c r="B372" s="3" t="s">
        <v>28</v>
      </c>
      <c r="C372" s="3" t="s">
        <v>54</v>
      </c>
      <c r="D372" s="3" t="s">
        <v>121</v>
      </c>
      <c r="E372" s="3" t="s">
        <v>38</v>
      </c>
      <c r="F372" s="3" t="s">
        <v>120</v>
      </c>
      <c r="G372" s="3" t="s">
        <v>147</v>
      </c>
      <c r="H372" s="63" t="str">
        <f>Table1[[#This Row],[Tabela]]&amp;Table1[[#This Row],[Campo]]</f>
        <v>cd_imv_out_certifvlr_comp_trmc_prds</v>
      </c>
      <c r="I372" s="3" t="s">
        <v>477</v>
      </c>
      <c r="J372" s="45">
        <f>VLOOKUP(Table1[[#This Row],[Status]],Auxiliar!$B$16:$C$23,2,0)</f>
        <v>1</v>
      </c>
      <c r="K372" s="3" t="s">
        <v>1138</v>
      </c>
      <c r="L372" s="30" t="s">
        <v>1135</v>
      </c>
      <c r="M372" s="22" t="s">
        <v>1145</v>
      </c>
      <c r="N372" s="53">
        <v>45485</v>
      </c>
      <c r="O372" s="22">
        <f>INDEX(Auxiliar!$D$5:$F$13,MATCH(Table1[[#This Row],[Tipologia_Testes]],Auxiliar!$B$5:$B$13,0),MATCH(Table1[[#This Row],[Complexidade]],Auxiliar!$D$4:$F$4,0))</f>
        <v>2</v>
      </c>
      <c r="P372" s="3" t="s">
        <v>1175</v>
      </c>
      <c r="Q372" s="3"/>
      <c r="R372" s="173">
        <v>45261</v>
      </c>
      <c r="S372" s="173"/>
      <c r="T372" s="173"/>
      <c r="U372" s="173"/>
      <c r="V372" s="173"/>
      <c r="W372" s="3">
        <f>VLOOKUP(Table1[[#This Row],[Status]],Auxiliar!$B$16:$D$23,3,0)*Table1[[#This Row],[Estimação (horas)]]</f>
        <v>2</v>
      </c>
      <c r="X372" s="3"/>
    </row>
    <row r="373" spans="2:24" ht="17.399999999999999" hidden="1">
      <c r="B373" s="3" t="s">
        <v>28</v>
      </c>
      <c r="C373" s="3" t="s">
        <v>54</v>
      </c>
      <c r="D373" s="3" t="s">
        <v>121</v>
      </c>
      <c r="E373" s="3" t="s">
        <v>38</v>
      </c>
      <c r="F373" s="3" t="s">
        <v>120</v>
      </c>
      <c r="G373" s="3" t="s">
        <v>147</v>
      </c>
      <c r="H373" s="63" t="str">
        <f>Table1[[#This Row],[Tabela]]&amp;Table1[[#This Row],[Campo]]</f>
        <v>cd_imv_out_certifvlr_comp_trmc_prds</v>
      </c>
      <c r="I373" s="3" t="s">
        <v>477</v>
      </c>
      <c r="J373" s="45">
        <f>VLOOKUP(Table1[[#This Row],[Status]],Auxiliar!$B$16:$C$23,2,0)</f>
        <v>1</v>
      </c>
      <c r="K373" s="3" t="s">
        <v>1141</v>
      </c>
      <c r="L373" s="30" t="s">
        <v>1135</v>
      </c>
      <c r="M373" s="22" t="s">
        <v>1145</v>
      </c>
      <c r="N373" s="53">
        <v>45485</v>
      </c>
      <c r="O373" s="22">
        <f>INDEX(Auxiliar!$D$5:$F$13,MATCH(Table1[[#This Row],[Tipologia_Testes]],Auxiliar!$B$5:$B$13,0),MATCH(Table1[[#This Row],[Complexidade]],Auxiliar!$D$4:$F$4,0))</f>
        <v>0.1</v>
      </c>
      <c r="P373" s="3" t="s">
        <v>1175</v>
      </c>
      <c r="Q373" s="3"/>
      <c r="R373" s="173">
        <v>45261</v>
      </c>
      <c r="S373" s="173"/>
      <c r="T373" s="173"/>
      <c r="U373" s="173"/>
      <c r="V373" s="173"/>
      <c r="W373" s="3">
        <f>VLOOKUP(Table1[[#This Row],[Status]],Auxiliar!$B$16:$D$23,3,0)*Table1[[#This Row],[Estimação (horas)]]</f>
        <v>0.1</v>
      </c>
      <c r="X373" s="3"/>
    </row>
    <row r="374" spans="2:24" ht="17.399999999999999" hidden="1">
      <c r="B374" s="3" t="s">
        <v>28</v>
      </c>
      <c r="C374" s="3" t="s">
        <v>54</v>
      </c>
      <c r="D374" s="3" t="s">
        <v>121</v>
      </c>
      <c r="E374" s="3" t="s">
        <v>38</v>
      </c>
      <c r="F374" s="3" t="s">
        <v>120</v>
      </c>
      <c r="G374" s="3" t="s">
        <v>148</v>
      </c>
      <c r="H374" s="63" t="str">
        <f>Table1[[#This Row],[Tabela]]&amp;Table1[[#This Row],[Campo]]</f>
        <v>cd_imv_out_certifvlr_comp_trmc_pvmnts</v>
      </c>
      <c r="I374" s="3" t="s">
        <v>477</v>
      </c>
      <c r="J374" s="45">
        <f>VLOOKUP(Table1[[#This Row],[Status]],Auxiliar!$B$16:$C$23,2,0)</f>
        <v>1</v>
      </c>
      <c r="K374" s="3" t="s">
        <v>1137</v>
      </c>
      <c r="L374" s="30" t="s">
        <v>1135</v>
      </c>
      <c r="M374" s="22" t="s">
        <v>1145</v>
      </c>
      <c r="N374" s="53">
        <v>45485</v>
      </c>
      <c r="O374" s="22">
        <f>INDEX(Auxiliar!$D$5:$F$13,MATCH(Table1[[#This Row],[Tipologia_Testes]],Auxiliar!$B$5:$B$13,0),MATCH(Table1[[#This Row],[Complexidade]],Auxiliar!$D$4:$F$4,0))</f>
        <v>2</v>
      </c>
      <c r="P374" s="3" t="s">
        <v>1175</v>
      </c>
      <c r="Q374" s="3"/>
      <c r="R374" s="173">
        <v>45261</v>
      </c>
      <c r="S374" s="173"/>
      <c r="T374" s="173"/>
      <c r="U374" s="173"/>
      <c r="V374" s="173"/>
      <c r="W374" s="3">
        <f>VLOOKUP(Table1[[#This Row],[Status]],Auxiliar!$B$16:$D$23,3,0)*Table1[[#This Row],[Estimação (horas)]]</f>
        <v>2</v>
      </c>
      <c r="X374" s="3"/>
    </row>
    <row r="375" spans="2:24" ht="17.399999999999999" hidden="1">
      <c r="B375" s="3" t="s">
        <v>28</v>
      </c>
      <c r="C375" s="3" t="s">
        <v>54</v>
      </c>
      <c r="D375" s="3" t="s">
        <v>121</v>
      </c>
      <c r="E375" s="3" t="s">
        <v>38</v>
      </c>
      <c r="F375" s="3" t="s">
        <v>120</v>
      </c>
      <c r="G375" s="3" t="s">
        <v>148</v>
      </c>
      <c r="H375" s="63" t="str">
        <f>Table1[[#This Row],[Tabela]]&amp;Table1[[#This Row],[Campo]]</f>
        <v>cd_imv_out_certifvlr_comp_trmc_pvmnts</v>
      </c>
      <c r="I375" s="3" t="s">
        <v>477</v>
      </c>
      <c r="J375" s="45">
        <f>VLOOKUP(Table1[[#This Row],[Status]],Auxiliar!$B$16:$C$23,2,0)</f>
        <v>1</v>
      </c>
      <c r="K375" s="3" t="s">
        <v>1138</v>
      </c>
      <c r="L375" s="30" t="s">
        <v>1135</v>
      </c>
      <c r="M375" s="22" t="s">
        <v>1145</v>
      </c>
      <c r="N375" s="53">
        <v>45485</v>
      </c>
      <c r="O375" s="22">
        <f>INDEX(Auxiliar!$D$5:$F$13,MATCH(Table1[[#This Row],[Tipologia_Testes]],Auxiliar!$B$5:$B$13,0),MATCH(Table1[[#This Row],[Complexidade]],Auxiliar!$D$4:$F$4,0))</f>
        <v>2</v>
      </c>
      <c r="P375" s="3" t="s">
        <v>1175</v>
      </c>
      <c r="Q375" s="3"/>
      <c r="R375" s="173">
        <v>45261</v>
      </c>
      <c r="S375" s="173"/>
      <c r="T375" s="173"/>
      <c r="U375" s="173"/>
      <c r="V375" s="173"/>
      <c r="W375" s="3">
        <f>VLOOKUP(Table1[[#This Row],[Status]],Auxiliar!$B$16:$D$23,3,0)*Table1[[#This Row],[Estimação (horas)]]</f>
        <v>2</v>
      </c>
      <c r="X375" s="3"/>
    </row>
    <row r="376" spans="2:24" ht="17.399999999999999" hidden="1">
      <c r="B376" s="3" t="s">
        <v>28</v>
      </c>
      <c r="C376" s="3" t="s">
        <v>54</v>
      </c>
      <c r="D376" s="3" t="s">
        <v>121</v>
      </c>
      <c r="E376" s="3" t="s">
        <v>38</v>
      </c>
      <c r="F376" s="3" t="s">
        <v>120</v>
      </c>
      <c r="G376" s="3" t="s">
        <v>148</v>
      </c>
      <c r="H376" s="63" t="str">
        <f>Table1[[#This Row],[Tabela]]&amp;Table1[[#This Row],[Campo]]</f>
        <v>cd_imv_out_certifvlr_comp_trmc_pvmnts</v>
      </c>
      <c r="I376" s="3" t="s">
        <v>477</v>
      </c>
      <c r="J376" s="45">
        <f>VLOOKUP(Table1[[#This Row],[Status]],Auxiliar!$B$16:$C$23,2,0)</f>
        <v>1</v>
      </c>
      <c r="K376" s="3" t="s">
        <v>1141</v>
      </c>
      <c r="L376" s="30" t="s">
        <v>1135</v>
      </c>
      <c r="M376" s="22" t="s">
        <v>1145</v>
      </c>
      <c r="N376" s="53">
        <v>45485</v>
      </c>
      <c r="O376" s="22">
        <f>INDEX(Auxiliar!$D$5:$F$13,MATCH(Table1[[#This Row],[Tipologia_Testes]],Auxiliar!$B$5:$B$13,0),MATCH(Table1[[#This Row],[Complexidade]],Auxiliar!$D$4:$F$4,0))</f>
        <v>0.1</v>
      </c>
      <c r="P376" s="3" t="s">
        <v>1175</v>
      </c>
      <c r="Q376" s="3"/>
      <c r="R376" s="173">
        <v>45261</v>
      </c>
      <c r="S376" s="173"/>
      <c r="T376" s="173"/>
      <c r="U376" s="173"/>
      <c r="V376" s="173"/>
      <c r="W376" s="3">
        <f>VLOOKUP(Table1[[#This Row],[Status]],Auxiliar!$B$16:$D$23,3,0)*Table1[[#This Row],[Estimação (horas)]]</f>
        <v>0.1</v>
      </c>
      <c r="X376" s="3"/>
    </row>
    <row r="377" spans="2:24" ht="17.399999999999999" hidden="1">
      <c r="B377" s="3" t="s">
        <v>28</v>
      </c>
      <c r="C377" s="3" t="s">
        <v>54</v>
      </c>
      <c r="D377" s="3" t="s">
        <v>121</v>
      </c>
      <c r="E377" s="3" t="s">
        <v>38</v>
      </c>
      <c r="F377" s="3" t="s">
        <v>120</v>
      </c>
      <c r="G377" s="3" t="s">
        <v>149</v>
      </c>
      <c r="H377" s="63" t="str">
        <f>Table1[[#This Row],[Tabela]]&amp;Table1[[#This Row],[Campo]]</f>
        <v>cd_imv_out_certifvlr_comp_trmc_sstmtcn_vntld</v>
      </c>
      <c r="I377" s="3" t="s">
        <v>477</v>
      </c>
      <c r="J377" s="45">
        <f>VLOOKUP(Table1[[#This Row],[Status]],Auxiliar!$B$16:$C$23,2,0)</f>
        <v>1</v>
      </c>
      <c r="K377" s="3" t="s">
        <v>1137</v>
      </c>
      <c r="L377" s="30" t="s">
        <v>1135</v>
      </c>
      <c r="M377" s="22" t="s">
        <v>1145</v>
      </c>
      <c r="N377" s="53">
        <v>45485</v>
      </c>
      <c r="O377" s="22">
        <f>INDEX(Auxiliar!$D$5:$F$13,MATCH(Table1[[#This Row],[Tipologia_Testes]],Auxiliar!$B$5:$B$13,0),MATCH(Table1[[#This Row],[Complexidade]],Auxiliar!$D$4:$F$4,0))</f>
        <v>2</v>
      </c>
      <c r="P377" s="3" t="s">
        <v>1175</v>
      </c>
      <c r="Q377" s="3"/>
      <c r="R377" s="173">
        <v>45261</v>
      </c>
      <c r="S377" s="173"/>
      <c r="T377" s="173"/>
      <c r="U377" s="173"/>
      <c r="V377" s="173"/>
      <c r="W377" s="3">
        <f>VLOOKUP(Table1[[#This Row],[Status]],Auxiliar!$B$16:$D$23,3,0)*Table1[[#This Row],[Estimação (horas)]]</f>
        <v>2</v>
      </c>
      <c r="X377" s="3"/>
    </row>
    <row r="378" spans="2:24" ht="17.399999999999999" hidden="1">
      <c r="B378" s="3" t="s">
        <v>28</v>
      </c>
      <c r="C378" s="3" t="s">
        <v>54</v>
      </c>
      <c r="D378" s="3" t="s">
        <v>121</v>
      </c>
      <c r="E378" s="3" t="s">
        <v>38</v>
      </c>
      <c r="F378" s="3" t="s">
        <v>120</v>
      </c>
      <c r="G378" s="3" t="s">
        <v>149</v>
      </c>
      <c r="H378" s="63" t="str">
        <f>Table1[[#This Row],[Tabela]]&amp;Table1[[#This Row],[Campo]]</f>
        <v>cd_imv_out_certifvlr_comp_trmc_sstmtcn_vntld</v>
      </c>
      <c r="I378" s="3" t="s">
        <v>477</v>
      </c>
      <c r="J378" s="45">
        <f>VLOOKUP(Table1[[#This Row],[Status]],Auxiliar!$B$16:$C$23,2,0)</f>
        <v>1</v>
      </c>
      <c r="K378" s="3" t="s">
        <v>1138</v>
      </c>
      <c r="L378" s="30" t="s">
        <v>1135</v>
      </c>
      <c r="M378" s="22" t="s">
        <v>1145</v>
      </c>
      <c r="N378" s="53">
        <v>45485</v>
      </c>
      <c r="O378" s="22">
        <f>INDEX(Auxiliar!$D$5:$F$13,MATCH(Table1[[#This Row],[Tipologia_Testes]],Auxiliar!$B$5:$B$13,0),MATCH(Table1[[#This Row],[Complexidade]],Auxiliar!$D$4:$F$4,0))</f>
        <v>2</v>
      </c>
      <c r="P378" s="3" t="s">
        <v>1175</v>
      </c>
      <c r="Q378" s="3"/>
      <c r="R378" s="173">
        <v>45261</v>
      </c>
      <c r="S378" s="173"/>
      <c r="T378" s="173"/>
      <c r="U378" s="173"/>
      <c r="V378" s="173"/>
      <c r="W378" s="3">
        <f>VLOOKUP(Table1[[#This Row],[Status]],Auxiliar!$B$16:$D$23,3,0)*Table1[[#This Row],[Estimação (horas)]]</f>
        <v>2</v>
      </c>
      <c r="X378" s="3"/>
    </row>
    <row r="379" spans="2:24" ht="17.399999999999999" hidden="1">
      <c r="B379" s="3" t="s">
        <v>28</v>
      </c>
      <c r="C379" s="3" t="s">
        <v>54</v>
      </c>
      <c r="D379" s="3" t="s">
        <v>121</v>
      </c>
      <c r="E379" s="3" t="s">
        <v>38</v>
      </c>
      <c r="F379" s="3" t="s">
        <v>120</v>
      </c>
      <c r="G379" s="3" t="s">
        <v>149</v>
      </c>
      <c r="H379" s="63" t="str">
        <f>Table1[[#This Row],[Tabela]]&amp;Table1[[#This Row],[Campo]]</f>
        <v>cd_imv_out_certifvlr_comp_trmc_sstmtcn_vntld</v>
      </c>
      <c r="I379" s="3" t="s">
        <v>477</v>
      </c>
      <c r="J379" s="45">
        <f>VLOOKUP(Table1[[#This Row],[Status]],Auxiliar!$B$16:$C$23,2,0)</f>
        <v>1</v>
      </c>
      <c r="K379" s="3" t="s">
        <v>1141</v>
      </c>
      <c r="L379" s="30" t="s">
        <v>1135</v>
      </c>
      <c r="M379" s="22" t="s">
        <v>1145</v>
      </c>
      <c r="N379" s="53">
        <v>45485</v>
      </c>
      <c r="O379" s="22">
        <f>INDEX(Auxiliar!$D$5:$F$13,MATCH(Table1[[#This Row],[Tipologia_Testes]],Auxiliar!$B$5:$B$13,0),MATCH(Table1[[#This Row],[Complexidade]],Auxiliar!$D$4:$F$4,0))</f>
        <v>0.1</v>
      </c>
      <c r="P379" s="3" t="s">
        <v>1175</v>
      </c>
      <c r="Q379" s="3"/>
      <c r="R379" s="173">
        <v>45261</v>
      </c>
      <c r="S379" s="173"/>
      <c r="T379" s="173"/>
      <c r="U379" s="173"/>
      <c r="V379" s="173"/>
      <c r="W379" s="3">
        <f>VLOOKUP(Table1[[#This Row],[Status]],Auxiliar!$B$16:$D$23,3,0)*Table1[[#This Row],[Estimação (horas)]]</f>
        <v>0.1</v>
      </c>
      <c r="X379" s="3"/>
    </row>
    <row r="380" spans="2:24" ht="17.399999999999999" hidden="1">
      <c r="B380" s="3" t="s">
        <v>28</v>
      </c>
      <c r="C380" s="3" t="s">
        <v>54</v>
      </c>
      <c r="D380" s="3" t="s">
        <v>121</v>
      </c>
      <c r="E380" s="3" t="s">
        <v>38</v>
      </c>
      <c r="F380" s="3" t="s">
        <v>120</v>
      </c>
      <c r="G380" s="3" t="s">
        <v>150</v>
      </c>
      <c r="H380" s="63" t="str">
        <f>Table1[[#This Row],[Tabela]]&amp;Table1[[#This Row],[Campo]]</f>
        <v>cd_imv_out_certifvlr_cst_ttl_invstmnt_estmd</v>
      </c>
      <c r="I380" s="3" t="s">
        <v>477</v>
      </c>
      <c r="J380" s="45">
        <f>VLOOKUP(Table1[[#This Row],[Status]],Auxiliar!$B$16:$C$23,2,0)</f>
        <v>1</v>
      </c>
      <c r="K380" s="3" t="s">
        <v>1137</v>
      </c>
      <c r="L380" s="30" t="s">
        <v>1135</v>
      </c>
      <c r="M380" s="22" t="s">
        <v>1145</v>
      </c>
      <c r="N380" s="53">
        <v>45485</v>
      </c>
      <c r="O380" s="22">
        <f>INDEX(Auxiliar!$D$5:$F$13,MATCH(Table1[[#This Row],[Tipologia_Testes]],Auxiliar!$B$5:$B$13,0),MATCH(Table1[[#This Row],[Complexidade]],Auxiliar!$D$4:$F$4,0))</f>
        <v>2</v>
      </c>
      <c r="P380" s="3" t="s">
        <v>1175</v>
      </c>
      <c r="Q380" s="3"/>
      <c r="R380" s="173">
        <v>45261</v>
      </c>
      <c r="S380" s="173"/>
      <c r="T380" s="173"/>
      <c r="U380" s="173"/>
      <c r="V380" s="173"/>
      <c r="W380" s="3">
        <f>VLOOKUP(Table1[[#This Row],[Status]],Auxiliar!$B$16:$D$23,3,0)*Table1[[#This Row],[Estimação (horas)]]</f>
        <v>2</v>
      </c>
      <c r="X380" s="3"/>
    </row>
    <row r="381" spans="2:24" ht="17.399999999999999" hidden="1">
      <c r="B381" s="3" t="s">
        <v>28</v>
      </c>
      <c r="C381" s="3" t="s">
        <v>54</v>
      </c>
      <c r="D381" s="3" t="s">
        <v>121</v>
      </c>
      <c r="E381" s="3" t="s">
        <v>38</v>
      </c>
      <c r="F381" s="3" t="s">
        <v>120</v>
      </c>
      <c r="G381" s="3" t="s">
        <v>150</v>
      </c>
      <c r="H381" s="63" t="str">
        <f>Table1[[#This Row],[Tabela]]&amp;Table1[[#This Row],[Campo]]</f>
        <v>cd_imv_out_certifvlr_cst_ttl_invstmnt_estmd</v>
      </c>
      <c r="I381" s="3" t="s">
        <v>477</v>
      </c>
      <c r="J381" s="45">
        <f>VLOOKUP(Table1[[#This Row],[Status]],Auxiliar!$B$16:$C$23,2,0)</f>
        <v>1</v>
      </c>
      <c r="K381" s="3" t="s">
        <v>1138</v>
      </c>
      <c r="L381" s="30" t="s">
        <v>1135</v>
      </c>
      <c r="M381" s="22" t="s">
        <v>1145</v>
      </c>
      <c r="N381" s="53">
        <v>45485</v>
      </c>
      <c r="O381" s="22">
        <f>INDEX(Auxiliar!$D$5:$F$13,MATCH(Table1[[#This Row],[Tipologia_Testes]],Auxiliar!$B$5:$B$13,0),MATCH(Table1[[#This Row],[Complexidade]],Auxiliar!$D$4:$F$4,0))</f>
        <v>2</v>
      </c>
      <c r="P381" s="3" t="s">
        <v>1175</v>
      </c>
      <c r="Q381" s="3"/>
      <c r="R381" s="173">
        <v>45261</v>
      </c>
      <c r="S381" s="173"/>
      <c r="T381" s="173"/>
      <c r="U381" s="173"/>
      <c r="V381" s="173"/>
      <c r="W381" s="3">
        <f>VLOOKUP(Table1[[#This Row],[Status]],Auxiliar!$B$16:$D$23,3,0)*Table1[[#This Row],[Estimação (horas)]]</f>
        <v>2</v>
      </c>
      <c r="X381" s="3"/>
    </row>
    <row r="382" spans="2:24" ht="17.399999999999999" hidden="1">
      <c r="B382" s="3" t="s">
        <v>28</v>
      </c>
      <c r="C382" s="3" t="s">
        <v>54</v>
      </c>
      <c r="D382" s="3" t="s">
        <v>121</v>
      </c>
      <c r="E382" s="3" t="s">
        <v>38</v>
      </c>
      <c r="F382" s="3" t="s">
        <v>120</v>
      </c>
      <c r="G382" s="3" t="s">
        <v>150</v>
      </c>
      <c r="H382" s="63" t="str">
        <f>Table1[[#This Row],[Tabela]]&amp;Table1[[#This Row],[Campo]]</f>
        <v>cd_imv_out_certifvlr_cst_ttl_invstmnt_estmd</v>
      </c>
      <c r="I382" s="3" t="s">
        <v>477</v>
      </c>
      <c r="J382" s="45">
        <f>VLOOKUP(Table1[[#This Row],[Status]],Auxiliar!$B$16:$C$23,2,0)</f>
        <v>1</v>
      </c>
      <c r="K382" s="3" t="s">
        <v>1141</v>
      </c>
      <c r="L382" s="30" t="s">
        <v>1135</v>
      </c>
      <c r="M382" s="22" t="s">
        <v>1145</v>
      </c>
      <c r="N382" s="53">
        <v>45485</v>
      </c>
      <c r="O382" s="22">
        <f>INDEX(Auxiliar!$D$5:$F$13,MATCH(Table1[[#This Row],[Tipologia_Testes]],Auxiliar!$B$5:$B$13,0),MATCH(Table1[[#This Row],[Complexidade]],Auxiliar!$D$4:$F$4,0))</f>
        <v>0.1</v>
      </c>
      <c r="P382" s="3" t="s">
        <v>1175</v>
      </c>
      <c r="Q382" s="3"/>
      <c r="R382" s="173">
        <v>45261</v>
      </c>
      <c r="S382" s="173"/>
      <c r="T382" s="173"/>
      <c r="U382" s="173"/>
      <c r="V382" s="173"/>
      <c r="W382" s="3">
        <f>VLOOKUP(Table1[[#This Row],[Status]],Auxiliar!$B$16:$D$23,3,0)*Table1[[#This Row],[Estimação (horas)]]</f>
        <v>0.1</v>
      </c>
      <c r="X382" s="3"/>
    </row>
    <row r="383" spans="2:24" ht="17.399999999999999" hidden="1">
      <c r="B383" s="3" t="s">
        <v>28</v>
      </c>
      <c r="C383" s="3" t="s">
        <v>54</v>
      </c>
      <c r="D383" s="3" t="s">
        <v>121</v>
      </c>
      <c r="E383" s="3" t="s">
        <v>38</v>
      </c>
      <c r="F383" s="3" t="s">
        <v>120</v>
      </c>
      <c r="G383" s="3" t="s">
        <v>151</v>
      </c>
      <c r="H383" s="63" t="str">
        <f>Table1[[#This Row],[Tabela]]&amp;Table1[[#This Row],[Campo]]</f>
        <v>cd_imv_out_certifvlr_drc_estc_aqcmnt</v>
      </c>
      <c r="I383" s="3" t="s">
        <v>477</v>
      </c>
      <c r="J383" s="45">
        <f>VLOOKUP(Table1[[#This Row],[Status]],Auxiliar!$B$16:$C$23,2,0)</f>
        <v>1</v>
      </c>
      <c r="K383" s="3" t="s">
        <v>1137</v>
      </c>
      <c r="L383" s="30" t="s">
        <v>1135</v>
      </c>
      <c r="M383" s="22" t="s">
        <v>1145</v>
      </c>
      <c r="N383" s="53">
        <v>45485</v>
      </c>
      <c r="O383" s="22">
        <f>INDEX(Auxiliar!$D$5:$F$13,MATCH(Table1[[#This Row],[Tipologia_Testes]],Auxiliar!$B$5:$B$13,0),MATCH(Table1[[#This Row],[Complexidade]],Auxiliar!$D$4:$F$4,0))</f>
        <v>2</v>
      </c>
      <c r="P383" s="3" t="s">
        <v>1175</v>
      </c>
      <c r="Q383" s="3"/>
      <c r="R383" s="173">
        <v>45261</v>
      </c>
      <c r="S383" s="173"/>
      <c r="T383" s="173"/>
      <c r="U383" s="173"/>
      <c r="V383" s="173"/>
      <c r="W383" s="3">
        <f>VLOOKUP(Table1[[#This Row],[Status]],Auxiliar!$B$16:$D$23,3,0)*Table1[[#This Row],[Estimação (horas)]]</f>
        <v>2</v>
      </c>
      <c r="X383" s="3"/>
    </row>
    <row r="384" spans="2:24" ht="17.399999999999999" hidden="1">
      <c r="B384" s="3" t="s">
        <v>28</v>
      </c>
      <c r="C384" s="3" t="s">
        <v>54</v>
      </c>
      <c r="D384" s="3" t="s">
        <v>121</v>
      </c>
      <c r="E384" s="3" t="s">
        <v>38</v>
      </c>
      <c r="F384" s="3" t="s">
        <v>120</v>
      </c>
      <c r="G384" s="3" t="s">
        <v>151</v>
      </c>
      <c r="H384" s="63" t="str">
        <f>Table1[[#This Row],[Tabela]]&amp;Table1[[#This Row],[Campo]]</f>
        <v>cd_imv_out_certifvlr_drc_estc_aqcmnt</v>
      </c>
      <c r="I384" s="3" t="s">
        <v>477</v>
      </c>
      <c r="J384" s="45">
        <f>VLOOKUP(Table1[[#This Row],[Status]],Auxiliar!$B$16:$C$23,2,0)</f>
        <v>1</v>
      </c>
      <c r="K384" s="3" t="s">
        <v>1138</v>
      </c>
      <c r="L384" s="30" t="s">
        <v>1135</v>
      </c>
      <c r="M384" s="22" t="s">
        <v>1145</v>
      </c>
      <c r="N384" s="53">
        <v>45485</v>
      </c>
      <c r="O384" s="22">
        <f>INDEX(Auxiliar!$D$5:$F$13,MATCH(Table1[[#This Row],[Tipologia_Testes]],Auxiliar!$B$5:$B$13,0),MATCH(Table1[[#This Row],[Complexidade]],Auxiliar!$D$4:$F$4,0))</f>
        <v>2</v>
      </c>
      <c r="P384" s="3" t="s">
        <v>1175</v>
      </c>
      <c r="Q384" s="3"/>
      <c r="R384" s="173">
        <v>45261</v>
      </c>
      <c r="S384" s="173"/>
      <c r="T384" s="173"/>
      <c r="U384" s="173"/>
      <c r="V384" s="173"/>
      <c r="W384" s="3">
        <f>VLOOKUP(Table1[[#This Row],[Status]],Auxiliar!$B$16:$D$23,3,0)*Table1[[#This Row],[Estimação (horas)]]</f>
        <v>2</v>
      </c>
      <c r="X384" s="3"/>
    </row>
    <row r="385" spans="2:24" ht="17.399999999999999" hidden="1">
      <c r="B385" s="3" t="s">
        <v>28</v>
      </c>
      <c r="C385" s="3" t="s">
        <v>54</v>
      </c>
      <c r="D385" s="3" t="s">
        <v>121</v>
      </c>
      <c r="E385" s="3" t="s">
        <v>38</v>
      </c>
      <c r="F385" s="3" t="s">
        <v>120</v>
      </c>
      <c r="G385" s="3" t="s">
        <v>151</v>
      </c>
      <c r="H385" s="63" t="str">
        <f>Table1[[#This Row],[Tabela]]&amp;Table1[[#This Row],[Campo]]</f>
        <v>cd_imv_out_certifvlr_drc_estc_aqcmnt</v>
      </c>
      <c r="I385" s="3" t="s">
        <v>477</v>
      </c>
      <c r="J385" s="45">
        <f>VLOOKUP(Table1[[#This Row],[Status]],Auxiliar!$B$16:$C$23,2,0)</f>
        <v>1</v>
      </c>
      <c r="K385" s="3" t="s">
        <v>1141</v>
      </c>
      <c r="L385" s="30" t="s">
        <v>1135</v>
      </c>
      <c r="M385" s="22" t="s">
        <v>1145</v>
      </c>
      <c r="N385" s="53">
        <v>45485</v>
      </c>
      <c r="O385" s="22">
        <f>INDEX(Auxiliar!$D$5:$F$13,MATCH(Table1[[#This Row],[Tipologia_Testes]],Auxiliar!$B$5:$B$13,0),MATCH(Table1[[#This Row],[Complexidade]],Auxiliar!$D$4:$F$4,0))</f>
        <v>0.1</v>
      </c>
      <c r="P385" s="3" t="s">
        <v>1175</v>
      </c>
      <c r="Q385" s="3"/>
      <c r="R385" s="173">
        <v>45261</v>
      </c>
      <c r="S385" s="173"/>
      <c r="T385" s="173"/>
      <c r="U385" s="173"/>
      <c r="V385" s="173"/>
      <c r="W385" s="3">
        <f>VLOOKUP(Table1[[#This Row],[Status]],Auxiliar!$B$16:$D$23,3,0)*Table1[[#This Row],[Estimação (horas)]]</f>
        <v>0.1</v>
      </c>
      <c r="X385" s="3"/>
    </row>
    <row r="386" spans="2:24" ht="17.399999999999999" hidden="1">
      <c r="B386" s="3" t="s">
        <v>28</v>
      </c>
      <c r="C386" s="3" t="s">
        <v>54</v>
      </c>
      <c r="D386" s="3" t="s">
        <v>121</v>
      </c>
      <c r="E386" s="3" t="s">
        <v>38</v>
      </c>
      <c r="F386" s="3" t="s">
        <v>120</v>
      </c>
      <c r="G386" s="3" t="s">
        <v>152</v>
      </c>
      <c r="H386" s="63" t="str">
        <f>Table1[[#This Row],[Tabela]]&amp;Table1[[#This Row],[Campo]]</f>
        <v>cd_imv_out_certifvlr_drc_estc_arrfcmnt</v>
      </c>
      <c r="I386" s="3" t="s">
        <v>477</v>
      </c>
      <c r="J386" s="45">
        <f>VLOOKUP(Table1[[#This Row],[Status]],Auxiliar!$B$16:$C$23,2,0)</f>
        <v>1</v>
      </c>
      <c r="K386" s="3" t="s">
        <v>1137</v>
      </c>
      <c r="L386" s="30" t="s">
        <v>1135</v>
      </c>
      <c r="M386" s="22" t="s">
        <v>1145</v>
      </c>
      <c r="N386" s="53">
        <v>45485</v>
      </c>
      <c r="O386" s="22">
        <f>INDEX(Auxiliar!$D$5:$F$13,MATCH(Table1[[#This Row],[Tipologia_Testes]],Auxiliar!$B$5:$B$13,0),MATCH(Table1[[#This Row],[Complexidade]],Auxiliar!$D$4:$F$4,0))</f>
        <v>2</v>
      </c>
      <c r="P386" s="3" t="s">
        <v>1175</v>
      </c>
      <c r="Q386" s="3"/>
      <c r="R386" s="173">
        <v>45261</v>
      </c>
      <c r="S386" s="173"/>
      <c r="T386" s="173"/>
      <c r="U386" s="173"/>
      <c r="V386" s="173"/>
      <c r="W386" s="3">
        <f>VLOOKUP(Table1[[#This Row],[Status]],Auxiliar!$B$16:$D$23,3,0)*Table1[[#This Row],[Estimação (horas)]]</f>
        <v>2</v>
      </c>
      <c r="X386" s="3"/>
    </row>
    <row r="387" spans="2:24" ht="17.399999999999999" hidden="1">
      <c r="B387" s="3" t="s">
        <v>28</v>
      </c>
      <c r="C387" s="3" t="s">
        <v>54</v>
      </c>
      <c r="D387" s="3" t="s">
        <v>121</v>
      </c>
      <c r="E387" s="3" t="s">
        <v>38</v>
      </c>
      <c r="F387" s="3" t="s">
        <v>120</v>
      </c>
      <c r="G387" s="3" t="s">
        <v>152</v>
      </c>
      <c r="H387" s="63" t="str">
        <f>Table1[[#This Row],[Tabela]]&amp;Table1[[#This Row],[Campo]]</f>
        <v>cd_imv_out_certifvlr_drc_estc_arrfcmnt</v>
      </c>
      <c r="I387" s="3" t="s">
        <v>477</v>
      </c>
      <c r="J387" s="45">
        <f>VLOOKUP(Table1[[#This Row],[Status]],Auxiliar!$B$16:$C$23,2,0)</f>
        <v>1</v>
      </c>
      <c r="K387" s="3" t="s">
        <v>1138</v>
      </c>
      <c r="L387" s="30" t="s">
        <v>1135</v>
      </c>
      <c r="M387" s="22" t="s">
        <v>1145</v>
      </c>
      <c r="N387" s="53">
        <v>45485</v>
      </c>
      <c r="O387" s="22">
        <f>INDEX(Auxiliar!$D$5:$F$13,MATCH(Table1[[#This Row],[Tipologia_Testes]],Auxiliar!$B$5:$B$13,0),MATCH(Table1[[#This Row],[Complexidade]],Auxiliar!$D$4:$F$4,0))</f>
        <v>2</v>
      </c>
      <c r="P387" s="3" t="s">
        <v>1175</v>
      </c>
      <c r="Q387" s="3"/>
      <c r="R387" s="173">
        <v>45261</v>
      </c>
      <c r="S387" s="173"/>
      <c r="T387" s="173"/>
      <c r="U387" s="173"/>
      <c r="V387" s="173"/>
      <c r="W387" s="3">
        <f>VLOOKUP(Table1[[#This Row],[Status]],Auxiliar!$B$16:$D$23,3,0)*Table1[[#This Row],[Estimação (horas)]]</f>
        <v>2</v>
      </c>
      <c r="X387" s="3"/>
    </row>
    <row r="388" spans="2:24" ht="17.399999999999999" hidden="1">
      <c r="B388" s="3" t="s">
        <v>28</v>
      </c>
      <c r="C388" s="3" t="s">
        <v>54</v>
      </c>
      <c r="D388" s="3" t="s">
        <v>121</v>
      </c>
      <c r="E388" s="3" t="s">
        <v>38</v>
      </c>
      <c r="F388" s="3" t="s">
        <v>120</v>
      </c>
      <c r="G388" s="3" t="s">
        <v>152</v>
      </c>
      <c r="H388" s="63" t="str">
        <f>Table1[[#This Row],[Tabela]]&amp;Table1[[#This Row],[Campo]]</f>
        <v>cd_imv_out_certifvlr_drc_estc_arrfcmnt</v>
      </c>
      <c r="I388" s="3" t="s">
        <v>477</v>
      </c>
      <c r="J388" s="45">
        <f>VLOOKUP(Table1[[#This Row],[Status]],Auxiliar!$B$16:$C$23,2,0)</f>
        <v>1</v>
      </c>
      <c r="K388" s="3" t="s">
        <v>1141</v>
      </c>
      <c r="L388" s="30" t="s">
        <v>1135</v>
      </c>
      <c r="M388" s="22" t="s">
        <v>1145</v>
      </c>
      <c r="N388" s="53">
        <v>45485</v>
      </c>
      <c r="O388" s="22">
        <f>INDEX(Auxiliar!$D$5:$F$13,MATCH(Table1[[#This Row],[Tipologia_Testes]],Auxiliar!$B$5:$B$13,0),MATCH(Table1[[#This Row],[Complexidade]],Auxiliar!$D$4:$F$4,0))</f>
        <v>0.1</v>
      </c>
      <c r="P388" s="3" t="s">
        <v>1175</v>
      </c>
      <c r="Q388" s="3"/>
      <c r="R388" s="173">
        <v>45261</v>
      </c>
      <c r="S388" s="173"/>
      <c r="T388" s="173"/>
      <c r="U388" s="173"/>
      <c r="V388" s="173"/>
      <c r="W388" s="3">
        <f>VLOOKUP(Table1[[#This Row],[Status]],Auxiliar!$B$16:$D$23,3,0)*Table1[[#This Row],[Estimação (horas)]]</f>
        <v>0.1</v>
      </c>
      <c r="X388" s="3"/>
    </row>
    <row r="389" spans="2:24" ht="17.399999999999999">
      <c r="B389" s="3" t="s">
        <v>28</v>
      </c>
      <c r="C389" s="3" t="s">
        <v>54</v>
      </c>
      <c r="D389" s="3" t="s">
        <v>121</v>
      </c>
      <c r="E389" s="3" t="s">
        <v>38</v>
      </c>
      <c r="F389" s="3" t="s">
        <v>120</v>
      </c>
      <c r="G389" s="3" t="s">
        <v>52</v>
      </c>
      <c r="H389" s="63" t="str">
        <f>Table1[[#This Row],[Tabela]]&amp;Table1[[#This Row],[Campo]]</f>
        <v>cd_imv_out_certifvlr_emss_ano</v>
      </c>
      <c r="I389" s="3" t="s">
        <v>482</v>
      </c>
      <c r="J389" s="45">
        <f>VLOOKUP(Table1[[#This Row],[Status]],Auxiliar!$B$16:$C$23,2,0)</f>
        <v>6</v>
      </c>
      <c r="K389" s="3" t="s">
        <v>1137</v>
      </c>
      <c r="L389" s="30" t="s">
        <v>1135</v>
      </c>
      <c r="M389" s="22" t="s">
        <v>1145</v>
      </c>
      <c r="N389" s="53">
        <v>45485</v>
      </c>
      <c r="O389" s="22">
        <f>INDEX(Auxiliar!$D$5:$F$13,MATCH(Table1[[#This Row],[Tipologia_Testes]],Auxiliar!$B$5:$B$13,0),MATCH(Table1[[#This Row],[Complexidade]],Auxiliar!$D$4:$F$4,0))</f>
        <v>2</v>
      </c>
      <c r="P389" s="3" t="s">
        <v>1175</v>
      </c>
      <c r="Q389" s="3"/>
      <c r="R389" s="173">
        <v>45261</v>
      </c>
      <c r="S389" s="173"/>
      <c r="T389" s="173">
        <v>45562</v>
      </c>
      <c r="U389" s="173"/>
      <c r="V389" s="173"/>
      <c r="W389" s="3">
        <f>VLOOKUP(Table1[[#This Row],[Status]],Auxiliar!$B$16:$D$23,3,0)*Table1[[#This Row],[Estimação (horas)]]</f>
        <v>0.5</v>
      </c>
      <c r="X389" s="3"/>
    </row>
    <row r="390" spans="2:24" ht="17.399999999999999">
      <c r="B390" s="3" t="s">
        <v>28</v>
      </c>
      <c r="C390" s="3" t="s">
        <v>54</v>
      </c>
      <c r="D390" s="3" t="s">
        <v>121</v>
      </c>
      <c r="E390" s="3" t="s">
        <v>38</v>
      </c>
      <c r="F390" s="3" t="s">
        <v>120</v>
      </c>
      <c r="G390" s="3" t="s">
        <v>52</v>
      </c>
      <c r="H390" s="63" t="str">
        <f>Table1[[#This Row],[Tabela]]&amp;Table1[[#This Row],[Campo]]</f>
        <v>cd_imv_out_certifvlr_emss_ano</v>
      </c>
      <c r="I390" s="3" t="s">
        <v>482</v>
      </c>
      <c r="J390" s="45">
        <f>VLOOKUP(Table1[[#This Row],[Status]],Auxiliar!$B$16:$C$23,2,0)</f>
        <v>6</v>
      </c>
      <c r="K390" s="3" t="s">
        <v>1138</v>
      </c>
      <c r="L390" s="30" t="s">
        <v>1135</v>
      </c>
      <c r="M390" s="22" t="s">
        <v>1145</v>
      </c>
      <c r="N390" s="53">
        <v>45485</v>
      </c>
      <c r="O390" s="22">
        <f>INDEX(Auxiliar!$D$5:$F$13,MATCH(Table1[[#This Row],[Tipologia_Testes]],Auxiliar!$B$5:$B$13,0),MATCH(Table1[[#This Row],[Complexidade]],Auxiliar!$D$4:$F$4,0))</f>
        <v>2</v>
      </c>
      <c r="P390" s="3" t="s">
        <v>1175</v>
      </c>
      <c r="Q390" s="3"/>
      <c r="R390" s="173">
        <v>45261</v>
      </c>
      <c r="S390" s="173"/>
      <c r="T390" s="173">
        <v>45562</v>
      </c>
      <c r="U390" s="173"/>
      <c r="V390" s="173"/>
      <c r="W390" s="3">
        <f>VLOOKUP(Table1[[#This Row],[Status]],Auxiliar!$B$16:$D$23,3,0)*Table1[[#This Row],[Estimação (horas)]]</f>
        <v>0.5</v>
      </c>
      <c r="X390" s="3"/>
    </row>
    <row r="391" spans="2:24" ht="17.399999999999999">
      <c r="B391" s="3" t="s">
        <v>28</v>
      </c>
      <c r="C391" s="3" t="s">
        <v>54</v>
      </c>
      <c r="D391" s="3" t="s">
        <v>121</v>
      </c>
      <c r="E391" s="3" t="s">
        <v>38</v>
      </c>
      <c r="F391" s="3" t="s">
        <v>120</v>
      </c>
      <c r="G391" s="3" t="s">
        <v>52</v>
      </c>
      <c r="H391" s="63" t="str">
        <f>Table1[[#This Row],[Tabela]]&amp;Table1[[#This Row],[Campo]]</f>
        <v>cd_imv_out_certifvlr_emss_ano</v>
      </c>
      <c r="I391" s="3" t="s">
        <v>482</v>
      </c>
      <c r="J391" s="45">
        <f>VLOOKUP(Table1[[#This Row],[Status]],Auxiliar!$B$16:$C$23,2,0)</f>
        <v>6</v>
      </c>
      <c r="K391" s="3" t="s">
        <v>1141</v>
      </c>
      <c r="L391" s="30" t="s">
        <v>1135</v>
      </c>
      <c r="M391" s="22" t="s">
        <v>1145</v>
      </c>
      <c r="N391" s="53">
        <v>45485</v>
      </c>
      <c r="O391" s="22">
        <f>INDEX(Auxiliar!$D$5:$F$13,MATCH(Table1[[#This Row],[Tipologia_Testes]],Auxiliar!$B$5:$B$13,0),MATCH(Table1[[#This Row],[Complexidade]],Auxiliar!$D$4:$F$4,0))</f>
        <v>0.1</v>
      </c>
      <c r="P391" s="3" t="s">
        <v>1175</v>
      </c>
      <c r="Q391" s="3"/>
      <c r="R391" s="173">
        <v>45261</v>
      </c>
      <c r="S391" s="173"/>
      <c r="T391" s="173">
        <v>45562</v>
      </c>
      <c r="U391" s="173"/>
      <c r="V391" s="173"/>
      <c r="W391" s="3">
        <f>VLOOKUP(Table1[[#This Row],[Status]],Auxiliar!$B$16:$D$23,3,0)*Table1[[#This Row],[Estimação (horas)]]</f>
        <v>2.5000000000000001E-2</v>
      </c>
      <c r="X391" s="3"/>
    </row>
    <row r="392" spans="2:24" ht="17.399999999999999" hidden="1">
      <c r="B392" s="3" t="s">
        <v>28</v>
      </c>
      <c r="C392" s="3" t="s">
        <v>54</v>
      </c>
      <c r="D392" s="3" t="s">
        <v>121</v>
      </c>
      <c r="E392" s="3" t="s">
        <v>38</v>
      </c>
      <c r="F392" s="3" t="s">
        <v>120</v>
      </c>
      <c r="G392" s="3" t="s">
        <v>153</v>
      </c>
      <c r="H392" s="63" t="str">
        <f>Table1[[#This Row],[Tabela]]&amp;Table1[[#This Row],[Campo]]</f>
        <v>cd_imv_out_certifvlr_emss_co2</v>
      </c>
      <c r="I392" s="3" t="s">
        <v>477</v>
      </c>
      <c r="J392" s="45">
        <f>VLOOKUP(Table1[[#This Row],[Status]],Auxiliar!$B$16:$C$23,2,0)</f>
        <v>1</v>
      </c>
      <c r="K392" s="3" t="s">
        <v>1137</v>
      </c>
      <c r="L392" s="30" t="s">
        <v>1135</v>
      </c>
      <c r="M392" s="22" t="s">
        <v>1145</v>
      </c>
      <c r="N392" s="53">
        <v>45485</v>
      </c>
      <c r="O392" s="22">
        <f>INDEX(Auxiliar!$D$5:$F$13,MATCH(Table1[[#This Row],[Tipologia_Testes]],Auxiliar!$B$5:$B$13,0),MATCH(Table1[[#This Row],[Complexidade]],Auxiliar!$D$4:$F$4,0))</f>
        <v>2</v>
      </c>
      <c r="P392" s="3" t="s">
        <v>1175</v>
      </c>
      <c r="Q392" s="3"/>
      <c r="R392" s="173">
        <v>45261</v>
      </c>
      <c r="S392" s="173"/>
      <c r="T392" s="173"/>
      <c r="U392" s="173"/>
      <c r="V392" s="173"/>
      <c r="W392" s="3">
        <f>VLOOKUP(Table1[[#This Row],[Status]],Auxiliar!$B$16:$D$23,3,0)*Table1[[#This Row],[Estimação (horas)]]</f>
        <v>2</v>
      </c>
      <c r="X392" s="3"/>
    </row>
    <row r="393" spans="2:24" ht="17.399999999999999" hidden="1">
      <c r="B393" s="3" t="s">
        <v>28</v>
      </c>
      <c r="C393" s="3" t="s">
        <v>54</v>
      </c>
      <c r="D393" s="3" t="s">
        <v>121</v>
      </c>
      <c r="E393" s="3" t="s">
        <v>38</v>
      </c>
      <c r="F393" s="3" t="s">
        <v>120</v>
      </c>
      <c r="G393" s="3" t="s">
        <v>153</v>
      </c>
      <c r="H393" s="63" t="str">
        <f>Table1[[#This Row],[Tabela]]&amp;Table1[[#This Row],[Campo]]</f>
        <v>cd_imv_out_certifvlr_emss_co2</v>
      </c>
      <c r="I393" s="3" t="s">
        <v>477</v>
      </c>
      <c r="J393" s="45">
        <f>VLOOKUP(Table1[[#This Row],[Status]],Auxiliar!$B$16:$C$23,2,0)</f>
        <v>1</v>
      </c>
      <c r="K393" s="3" t="s">
        <v>1138</v>
      </c>
      <c r="L393" s="30" t="s">
        <v>1135</v>
      </c>
      <c r="M393" s="22" t="s">
        <v>1145</v>
      </c>
      <c r="N393" s="53">
        <v>45485</v>
      </c>
      <c r="O393" s="22">
        <f>INDEX(Auxiliar!$D$5:$F$13,MATCH(Table1[[#This Row],[Tipologia_Testes]],Auxiliar!$B$5:$B$13,0),MATCH(Table1[[#This Row],[Complexidade]],Auxiliar!$D$4:$F$4,0))</f>
        <v>2</v>
      </c>
      <c r="P393" s="3" t="s">
        <v>1175</v>
      </c>
      <c r="Q393" s="3"/>
      <c r="R393" s="173">
        <v>45261</v>
      </c>
      <c r="S393" s="173"/>
      <c r="T393" s="173"/>
      <c r="U393" s="173"/>
      <c r="V393" s="173"/>
      <c r="W393" s="3">
        <f>VLOOKUP(Table1[[#This Row],[Status]],Auxiliar!$B$16:$D$23,3,0)*Table1[[#This Row],[Estimação (horas)]]</f>
        <v>2</v>
      </c>
      <c r="X393" s="3"/>
    </row>
    <row r="394" spans="2:24" ht="17.399999999999999" hidden="1">
      <c r="B394" s="3" t="s">
        <v>28</v>
      </c>
      <c r="C394" s="3" t="s">
        <v>54</v>
      </c>
      <c r="D394" s="3" t="s">
        <v>121</v>
      </c>
      <c r="E394" s="3" t="s">
        <v>38</v>
      </c>
      <c r="F394" s="3" t="s">
        <v>120</v>
      </c>
      <c r="G394" s="3" t="s">
        <v>153</v>
      </c>
      <c r="H394" s="63" t="str">
        <f>Table1[[#This Row],[Tabela]]&amp;Table1[[#This Row],[Campo]]</f>
        <v>cd_imv_out_certifvlr_emss_co2</v>
      </c>
      <c r="I394" s="3" t="s">
        <v>477</v>
      </c>
      <c r="J394" s="45">
        <f>VLOOKUP(Table1[[#This Row],[Status]],Auxiliar!$B$16:$C$23,2,0)</f>
        <v>1</v>
      </c>
      <c r="K394" s="3" t="s">
        <v>1141</v>
      </c>
      <c r="L394" s="30" t="s">
        <v>1135</v>
      </c>
      <c r="M394" s="22" t="s">
        <v>1145</v>
      </c>
      <c r="N394" s="53">
        <v>45485</v>
      </c>
      <c r="O394" s="22">
        <f>INDEX(Auxiliar!$D$5:$F$13,MATCH(Table1[[#This Row],[Tipologia_Testes]],Auxiliar!$B$5:$B$13,0),MATCH(Table1[[#This Row],[Complexidade]],Auxiliar!$D$4:$F$4,0))</f>
        <v>0.1</v>
      </c>
      <c r="P394" s="3" t="s">
        <v>1175</v>
      </c>
      <c r="Q394" s="3"/>
      <c r="R394" s="173">
        <v>45261</v>
      </c>
      <c r="S394" s="173"/>
      <c r="T394" s="173"/>
      <c r="U394" s="173"/>
      <c r="V394" s="173"/>
      <c r="W394" s="3">
        <f>VLOOKUP(Table1[[#This Row],[Status]],Auxiliar!$B$16:$D$23,3,0)*Table1[[#This Row],[Estimação (horas)]]</f>
        <v>0.1</v>
      </c>
      <c r="X394" s="3"/>
    </row>
    <row r="395" spans="2:24" ht="17.399999999999999" hidden="1">
      <c r="B395" s="3" t="s">
        <v>28</v>
      </c>
      <c r="C395" s="3" t="s">
        <v>54</v>
      </c>
      <c r="D395" s="3" t="s">
        <v>121</v>
      </c>
      <c r="E395" s="3" t="s">
        <v>38</v>
      </c>
      <c r="F395" s="3" t="s">
        <v>120</v>
      </c>
      <c r="G395" s="3" t="s">
        <v>154</v>
      </c>
      <c r="H395" s="63" t="str">
        <f>Table1[[#This Row],[Tabela]]&amp;Table1[[#This Row],[Campo]]</f>
        <v>cd_imv_out_certifvlr_enrg_eltc_vntldr</v>
      </c>
      <c r="I395" s="3" t="s">
        <v>477</v>
      </c>
      <c r="J395" s="45">
        <f>VLOOKUP(Table1[[#This Row],[Status]],Auxiliar!$B$16:$C$23,2,0)</f>
        <v>1</v>
      </c>
      <c r="K395" s="3" t="s">
        <v>1137</v>
      </c>
      <c r="L395" s="30" t="s">
        <v>1135</v>
      </c>
      <c r="M395" s="22" t="s">
        <v>1145</v>
      </c>
      <c r="N395" s="53">
        <v>45485</v>
      </c>
      <c r="O395" s="22">
        <f>INDEX(Auxiliar!$D$5:$F$13,MATCH(Table1[[#This Row],[Tipologia_Testes]],Auxiliar!$B$5:$B$13,0),MATCH(Table1[[#This Row],[Complexidade]],Auxiliar!$D$4:$F$4,0))</f>
        <v>2</v>
      </c>
      <c r="P395" s="3" t="s">
        <v>1175</v>
      </c>
      <c r="Q395" s="3"/>
      <c r="R395" s="173">
        <v>45261</v>
      </c>
      <c r="S395" s="173"/>
      <c r="T395" s="173"/>
      <c r="U395" s="173"/>
      <c r="V395" s="173"/>
      <c r="W395" s="3">
        <f>VLOOKUP(Table1[[#This Row],[Status]],Auxiliar!$B$16:$D$23,3,0)*Table1[[#This Row],[Estimação (horas)]]</f>
        <v>2</v>
      </c>
      <c r="X395" s="3"/>
    </row>
    <row r="396" spans="2:24" ht="17.399999999999999" hidden="1">
      <c r="B396" s="3" t="s">
        <v>28</v>
      </c>
      <c r="C396" s="3" t="s">
        <v>54</v>
      </c>
      <c r="D396" s="3" t="s">
        <v>121</v>
      </c>
      <c r="E396" s="3" t="s">
        <v>38</v>
      </c>
      <c r="F396" s="3" t="s">
        <v>120</v>
      </c>
      <c r="G396" s="3" t="s">
        <v>154</v>
      </c>
      <c r="H396" s="63" t="str">
        <f>Table1[[#This Row],[Tabela]]&amp;Table1[[#This Row],[Campo]]</f>
        <v>cd_imv_out_certifvlr_enrg_eltc_vntldr</v>
      </c>
      <c r="I396" s="3" t="s">
        <v>477</v>
      </c>
      <c r="J396" s="45">
        <f>VLOOKUP(Table1[[#This Row],[Status]],Auxiliar!$B$16:$C$23,2,0)</f>
        <v>1</v>
      </c>
      <c r="K396" s="3" t="s">
        <v>1138</v>
      </c>
      <c r="L396" s="30" t="s">
        <v>1135</v>
      </c>
      <c r="M396" s="22" t="s">
        <v>1145</v>
      </c>
      <c r="N396" s="53">
        <v>45485</v>
      </c>
      <c r="O396" s="22">
        <f>INDEX(Auxiliar!$D$5:$F$13,MATCH(Table1[[#This Row],[Tipologia_Testes]],Auxiliar!$B$5:$B$13,0),MATCH(Table1[[#This Row],[Complexidade]],Auxiliar!$D$4:$F$4,0))</f>
        <v>2</v>
      </c>
      <c r="P396" s="3" t="s">
        <v>1175</v>
      </c>
      <c r="Q396" s="3"/>
      <c r="R396" s="173">
        <v>45261</v>
      </c>
      <c r="S396" s="173"/>
      <c r="T396" s="173"/>
      <c r="U396" s="173"/>
      <c r="V396" s="173"/>
      <c r="W396" s="3">
        <f>VLOOKUP(Table1[[#This Row],[Status]],Auxiliar!$B$16:$D$23,3,0)*Table1[[#This Row],[Estimação (horas)]]</f>
        <v>2</v>
      </c>
      <c r="X396" s="3"/>
    </row>
    <row r="397" spans="2:24" ht="17.399999999999999" hidden="1">
      <c r="B397" s="3" t="s">
        <v>28</v>
      </c>
      <c r="C397" s="3" t="s">
        <v>54</v>
      </c>
      <c r="D397" s="3" t="s">
        <v>121</v>
      </c>
      <c r="E397" s="3" t="s">
        <v>38</v>
      </c>
      <c r="F397" s="3" t="s">
        <v>120</v>
      </c>
      <c r="G397" s="3" t="s">
        <v>154</v>
      </c>
      <c r="H397" s="63" t="str">
        <f>Table1[[#This Row],[Tabela]]&amp;Table1[[#This Row],[Campo]]</f>
        <v>cd_imv_out_certifvlr_enrg_eltc_vntldr</v>
      </c>
      <c r="I397" s="3" t="s">
        <v>477</v>
      </c>
      <c r="J397" s="45">
        <f>VLOOKUP(Table1[[#This Row],[Status]],Auxiliar!$B$16:$C$23,2,0)</f>
        <v>1</v>
      </c>
      <c r="K397" s="3" t="s">
        <v>1141</v>
      </c>
      <c r="L397" s="30" t="s">
        <v>1135</v>
      </c>
      <c r="M397" s="22" t="s">
        <v>1145</v>
      </c>
      <c r="N397" s="53">
        <v>45485</v>
      </c>
      <c r="O397" s="22">
        <f>INDEX(Auxiliar!$D$5:$F$13,MATCH(Table1[[#This Row],[Tipologia_Testes]],Auxiliar!$B$5:$B$13,0),MATCH(Table1[[#This Row],[Complexidade]],Auxiliar!$D$4:$F$4,0))</f>
        <v>0.1</v>
      </c>
      <c r="P397" s="3" t="s">
        <v>1175</v>
      </c>
      <c r="Q397" s="3"/>
      <c r="R397" s="173">
        <v>45261</v>
      </c>
      <c r="S397" s="173"/>
      <c r="T397" s="173"/>
      <c r="U397" s="173"/>
      <c r="V397" s="173"/>
      <c r="W397" s="3">
        <f>VLOOKUP(Table1[[#This Row],[Status]],Auxiliar!$B$16:$D$23,3,0)*Table1[[#This Row],[Estimação (horas)]]</f>
        <v>0.1</v>
      </c>
      <c r="X397" s="3"/>
    </row>
    <row r="398" spans="2:24" ht="17.399999999999999" hidden="1">
      <c r="B398" s="3" t="s">
        <v>28</v>
      </c>
      <c r="C398" s="3" t="s">
        <v>54</v>
      </c>
      <c r="D398" s="3" t="s">
        <v>121</v>
      </c>
      <c r="E398" s="3" t="s">
        <v>38</v>
      </c>
      <c r="F398" s="3" t="s">
        <v>120</v>
      </c>
      <c r="G398" s="3" t="s">
        <v>155</v>
      </c>
      <c r="H398" s="63" t="str">
        <f>Table1[[#This Row],[Tabela]]&amp;Table1[[#This Row],[Campo]]</f>
        <v>cd_imv_out_certifvlr_enrg_fnts_rnvv_otr_uso</v>
      </c>
      <c r="I398" s="3" t="s">
        <v>477</v>
      </c>
      <c r="J398" s="45">
        <f>VLOOKUP(Table1[[#This Row],[Status]],Auxiliar!$B$16:$C$23,2,0)</f>
        <v>1</v>
      </c>
      <c r="K398" s="3" t="s">
        <v>1137</v>
      </c>
      <c r="L398" s="30" t="s">
        <v>1135</v>
      </c>
      <c r="M398" s="22" t="s">
        <v>1145</v>
      </c>
      <c r="N398" s="53">
        <v>45485</v>
      </c>
      <c r="O398" s="22">
        <f>INDEX(Auxiliar!$D$5:$F$13,MATCH(Table1[[#This Row],[Tipologia_Testes]],Auxiliar!$B$5:$B$13,0),MATCH(Table1[[#This Row],[Complexidade]],Auxiliar!$D$4:$F$4,0))</f>
        <v>2</v>
      </c>
      <c r="P398" s="3" t="s">
        <v>1175</v>
      </c>
      <c r="Q398" s="3"/>
      <c r="R398" s="173">
        <v>45261</v>
      </c>
      <c r="S398" s="173"/>
      <c r="T398" s="173"/>
      <c r="U398" s="173"/>
      <c r="V398" s="173"/>
      <c r="W398" s="3">
        <f>VLOOKUP(Table1[[#This Row],[Status]],Auxiliar!$B$16:$D$23,3,0)*Table1[[#This Row],[Estimação (horas)]]</f>
        <v>2</v>
      </c>
      <c r="X398" s="3"/>
    </row>
    <row r="399" spans="2:24" ht="17.399999999999999" hidden="1">
      <c r="B399" s="3" t="s">
        <v>28</v>
      </c>
      <c r="C399" s="3" t="s">
        <v>54</v>
      </c>
      <c r="D399" s="3" t="s">
        <v>121</v>
      </c>
      <c r="E399" s="3" t="s">
        <v>38</v>
      </c>
      <c r="F399" s="3" t="s">
        <v>120</v>
      </c>
      <c r="G399" s="3" t="s">
        <v>155</v>
      </c>
      <c r="H399" s="63" t="str">
        <f>Table1[[#This Row],[Tabela]]&amp;Table1[[#This Row],[Campo]]</f>
        <v>cd_imv_out_certifvlr_enrg_fnts_rnvv_otr_uso</v>
      </c>
      <c r="I399" s="3" t="s">
        <v>477</v>
      </c>
      <c r="J399" s="45">
        <f>VLOOKUP(Table1[[#This Row],[Status]],Auxiliar!$B$16:$C$23,2,0)</f>
        <v>1</v>
      </c>
      <c r="K399" s="3" t="s">
        <v>1138</v>
      </c>
      <c r="L399" s="30" t="s">
        <v>1135</v>
      </c>
      <c r="M399" s="22" t="s">
        <v>1145</v>
      </c>
      <c r="N399" s="53">
        <v>45485</v>
      </c>
      <c r="O399" s="22">
        <f>INDEX(Auxiliar!$D$5:$F$13,MATCH(Table1[[#This Row],[Tipologia_Testes]],Auxiliar!$B$5:$B$13,0),MATCH(Table1[[#This Row],[Complexidade]],Auxiliar!$D$4:$F$4,0))</f>
        <v>2</v>
      </c>
      <c r="P399" s="3" t="s">
        <v>1175</v>
      </c>
      <c r="Q399" s="3"/>
      <c r="R399" s="173">
        <v>45261</v>
      </c>
      <c r="S399" s="173"/>
      <c r="T399" s="173"/>
      <c r="U399" s="173"/>
      <c r="V399" s="173"/>
      <c r="W399" s="3">
        <f>VLOOKUP(Table1[[#This Row],[Status]],Auxiliar!$B$16:$D$23,3,0)*Table1[[#This Row],[Estimação (horas)]]</f>
        <v>2</v>
      </c>
      <c r="X399" s="3"/>
    </row>
    <row r="400" spans="2:24" ht="17.399999999999999" hidden="1">
      <c r="B400" s="3" t="s">
        <v>28</v>
      </c>
      <c r="C400" s="3" t="s">
        <v>54</v>
      </c>
      <c r="D400" s="3" t="s">
        <v>121</v>
      </c>
      <c r="E400" s="3" t="s">
        <v>38</v>
      </c>
      <c r="F400" s="3" t="s">
        <v>120</v>
      </c>
      <c r="G400" s="3" t="s">
        <v>155</v>
      </c>
      <c r="H400" s="63" t="str">
        <f>Table1[[#This Row],[Tabela]]&amp;Table1[[#This Row],[Campo]]</f>
        <v>cd_imv_out_certifvlr_enrg_fnts_rnvv_otr_uso</v>
      </c>
      <c r="I400" s="3" t="s">
        <v>477</v>
      </c>
      <c r="J400" s="45">
        <f>VLOOKUP(Table1[[#This Row],[Status]],Auxiliar!$B$16:$C$23,2,0)</f>
        <v>1</v>
      </c>
      <c r="K400" s="3" t="s">
        <v>1141</v>
      </c>
      <c r="L400" s="30" t="s">
        <v>1135</v>
      </c>
      <c r="M400" s="22" t="s">
        <v>1145</v>
      </c>
      <c r="N400" s="53">
        <v>45485</v>
      </c>
      <c r="O400" s="22">
        <f>INDEX(Auxiliar!$D$5:$F$13,MATCH(Table1[[#This Row],[Tipologia_Testes]],Auxiliar!$B$5:$B$13,0),MATCH(Table1[[#This Row],[Complexidade]],Auxiliar!$D$4:$F$4,0))</f>
        <v>0.1</v>
      </c>
      <c r="P400" s="3" t="s">
        <v>1175</v>
      </c>
      <c r="Q400" s="3"/>
      <c r="R400" s="173">
        <v>45261</v>
      </c>
      <c r="S400" s="173"/>
      <c r="T400" s="173"/>
      <c r="U400" s="173"/>
      <c r="V400" s="173"/>
      <c r="W400" s="3">
        <f>VLOOKUP(Table1[[#This Row],[Status]],Auxiliar!$B$16:$D$23,3,0)*Table1[[#This Row],[Estimação (horas)]]</f>
        <v>0.1</v>
      </c>
      <c r="X400" s="3"/>
    </row>
    <row r="401" spans="2:24" ht="17.399999999999999" hidden="1">
      <c r="B401" s="3" t="s">
        <v>28</v>
      </c>
      <c r="C401" s="3" t="s">
        <v>54</v>
      </c>
      <c r="D401" s="3" t="s">
        <v>121</v>
      </c>
      <c r="E401" s="3" t="s">
        <v>38</v>
      </c>
      <c r="F401" s="3" t="s">
        <v>120</v>
      </c>
      <c r="G401" s="3" t="s">
        <v>156</v>
      </c>
      <c r="H401" s="63" t="str">
        <f>Table1[[#This Row],[Tabela]]&amp;Table1[[#This Row],[Campo]]</f>
        <v>cd_imv_out_certifvlr_enrg_fnts_rnvv_regl</v>
      </c>
      <c r="I401" s="3" t="s">
        <v>477</v>
      </c>
      <c r="J401" s="45">
        <f>VLOOKUP(Table1[[#This Row],[Status]],Auxiliar!$B$16:$C$23,2,0)</f>
        <v>1</v>
      </c>
      <c r="K401" s="3" t="s">
        <v>1137</v>
      </c>
      <c r="L401" s="30" t="s">
        <v>1135</v>
      </c>
      <c r="M401" s="22" t="s">
        <v>1145</v>
      </c>
      <c r="N401" s="53">
        <v>45485</v>
      </c>
      <c r="O401" s="22">
        <f>INDEX(Auxiliar!$D$5:$F$13,MATCH(Table1[[#This Row],[Tipologia_Testes]],Auxiliar!$B$5:$B$13,0),MATCH(Table1[[#This Row],[Complexidade]],Auxiliar!$D$4:$F$4,0))</f>
        <v>2</v>
      </c>
      <c r="P401" s="3" t="s">
        <v>1175</v>
      </c>
      <c r="Q401" s="3"/>
      <c r="R401" s="173">
        <v>45261</v>
      </c>
      <c r="S401" s="173"/>
      <c r="T401" s="173"/>
      <c r="U401" s="173"/>
      <c r="V401" s="173"/>
      <c r="W401" s="3">
        <f>VLOOKUP(Table1[[#This Row],[Status]],Auxiliar!$B$16:$D$23,3,0)*Table1[[#This Row],[Estimação (horas)]]</f>
        <v>2</v>
      </c>
      <c r="X401" s="3"/>
    </row>
    <row r="402" spans="2:24" ht="17.399999999999999" hidden="1">
      <c r="B402" s="3" t="s">
        <v>28</v>
      </c>
      <c r="C402" s="3" t="s">
        <v>54</v>
      </c>
      <c r="D402" s="3" t="s">
        <v>121</v>
      </c>
      <c r="E402" s="3" t="s">
        <v>38</v>
      </c>
      <c r="F402" s="3" t="s">
        <v>120</v>
      </c>
      <c r="G402" s="3" t="s">
        <v>156</v>
      </c>
      <c r="H402" s="63" t="str">
        <f>Table1[[#This Row],[Tabela]]&amp;Table1[[#This Row],[Campo]]</f>
        <v>cd_imv_out_certifvlr_enrg_fnts_rnvv_regl</v>
      </c>
      <c r="I402" s="3" t="s">
        <v>477</v>
      </c>
      <c r="J402" s="45">
        <f>VLOOKUP(Table1[[#This Row],[Status]],Auxiliar!$B$16:$C$23,2,0)</f>
        <v>1</v>
      </c>
      <c r="K402" s="3" t="s">
        <v>1138</v>
      </c>
      <c r="L402" s="30" t="s">
        <v>1135</v>
      </c>
      <c r="M402" s="22" t="s">
        <v>1145</v>
      </c>
      <c r="N402" s="53">
        <v>45485</v>
      </c>
      <c r="O402" s="22">
        <f>INDEX(Auxiliar!$D$5:$F$13,MATCH(Table1[[#This Row],[Tipologia_Testes]],Auxiliar!$B$5:$B$13,0),MATCH(Table1[[#This Row],[Complexidade]],Auxiliar!$D$4:$F$4,0))</f>
        <v>2</v>
      </c>
      <c r="P402" s="3" t="s">
        <v>1175</v>
      </c>
      <c r="Q402" s="3"/>
      <c r="R402" s="173">
        <v>45261</v>
      </c>
      <c r="S402" s="173"/>
      <c r="T402" s="173"/>
      <c r="U402" s="173"/>
      <c r="V402" s="173"/>
      <c r="W402" s="3">
        <f>VLOOKUP(Table1[[#This Row],[Status]],Auxiliar!$B$16:$D$23,3,0)*Table1[[#This Row],[Estimação (horas)]]</f>
        <v>2</v>
      </c>
      <c r="X402" s="3"/>
    </row>
    <row r="403" spans="2:24" ht="17.399999999999999" hidden="1">
      <c r="B403" s="3" t="s">
        <v>28</v>
      </c>
      <c r="C403" s="3" t="s">
        <v>54</v>
      </c>
      <c r="D403" s="3" t="s">
        <v>121</v>
      </c>
      <c r="E403" s="3" t="s">
        <v>38</v>
      </c>
      <c r="F403" s="3" t="s">
        <v>120</v>
      </c>
      <c r="G403" s="3" t="s">
        <v>156</v>
      </c>
      <c r="H403" s="63" t="str">
        <f>Table1[[#This Row],[Tabela]]&amp;Table1[[#This Row],[Campo]]</f>
        <v>cd_imv_out_certifvlr_enrg_fnts_rnvv_regl</v>
      </c>
      <c r="I403" s="3" t="s">
        <v>477</v>
      </c>
      <c r="J403" s="45">
        <f>VLOOKUP(Table1[[#This Row],[Status]],Auxiliar!$B$16:$C$23,2,0)</f>
        <v>1</v>
      </c>
      <c r="K403" s="3" t="s">
        <v>1141</v>
      </c>
      <c r="L403" s="30" t="s">
        <v>1135</v>
      </c>
      <c r="M403" s="22" t="s">
        <v>1145</v>
      </c>
      <c r="N403" s="53">
        <v>45485</v>
      </c>
      <c r="O403" s="22">
        <f>INDEX(Auxiliar!$D$5:$F$13,MATCH(Table1[[#This Row],[Tipologia_Testes]],Auxiliar!$B$5:$B$13,0),MATCH(Table1[[#This Row],[Complexidade]],Auxiliar!$D$4:$F$4,0))</f>
        <v>0.1</v>
      </c>
      <c r="P403" s="3" t="s">
        <v>1175</v>
      </c>
      <c r="Q403" s="3"/>
      <c r="R403" s="173">
        <v>45261</v>
      </c>
      <c r="S403" s="173"/>
      <c r="T403" s="173"/>
      <c r="U403" s="173"/>
      <c r="V403" s="173"/>
      <c r="W403" s="3">
        <f>VLOOKUP(Table1[[#This Row],[Status]],Auxiliar!$B$16:$D$23,3,0)*Table1[[#This Row],[Estimação (horas)]]</f>
        <v>0.1</v>
      </c>
      <c r="X403" s="3"/>
    </row>
    <row r="404" spans="2:24" ht="17.399999999999999">
      <c r="B404" s="3" t="s">
        <v>28</v>
      </c>
      <c r="C404" s="3" t="s">
        <v>54</v>
      </c>
      <c r="D404" s="3" t="s">
        <v>121</v>
      </c>
      <c r="E404" s="3" t="s">
        <v>38</v>
      </c>
      <c r="F404" s="3" t="s">
        <v>120</v>
      </c>
      <c r="G404" s="3" t="s">
        <v>157</v>
      </c>
      <c r="H404" s="63" t="str">
        <f>Table1[[#This Row],[Tabela]]&amp;Table1[[#This Row],[Campo]]</f>
        <v>cd_imv_out_certifvlr_enrg_renew</v>
      </c>
      <c r="I404" s="3" t="s">
        <v>482</v>
      </c>
      <c r="J404" s="45">
        <f>VLOOKUP(Table1[[#This Row],[Status]],Auxiliar!$B$16:$C$23,2,0)</f>
        <v>6</v>
      </c>
      <c r="K404" s="3" t="s">
        <v>1137</v>
      </c>
      <c r="L404" s="30" t="s">
        <v>1135</v>
      </c>
      <c r="M404" s="22" t="s">
        <v>1145</v>
      </c>
      <c r="N404" s="53">
        <v>45485</v>
      </c>
      <c r="O404" s="22">
        <f>INDEX(Auxiliar!$D$5:$F$13,MATCH(Table1[[#This Row],[Tipologia_Testes]],Auxiliar!$B$5:$B$13,0),MATCH(Table1[[#This Row],[Complexidade]],Auxiliar!$D$4:$F$4,0))</f>
        <v>2</v>
      </c>
      <c r="P404" s="3" t="s">
        <v>1175</v>
      </c>
      <c r="Q404" s="3"/>
      <c r="R404" s="173">
        <v>45261</v>
      </c>
      <c r="S404" s="173"/>
      <c r="T404" s="173">
        <v>45562</v>
      </c>
      <c r="U404" s="173"/>
      <c r="V404" s="173"/>
      <c r="W404" s="3">
        <f>VLOOKUP(Table1[[#This Row],[Status]],Auxiliar!$B$16:$D$23,3,0)*Table1[[#This Row],[Estimação (horas)]]</f>
        <v>0.5</v>
      </c>
      <c r="X404" s="3"/>
    </row>
    <row r="405" spans="2:24" ht="17.399999999999999">
      <c r="B405" s="3" t="s">
        <v>28</v>
      </c>
      <c r="C405" s="3" t="s">
        <v>54</v>
      </c>
      <c r="D405" s="3" t="s">
        <v>121</v>
      </c>
      <c r="E405" s="3" t="s">
        <v>38</v>
      </c>
      <c r="F405" s="3" t="s">
        <v>120</v>
      </c>
      <c r="G405" s="3" t="s">
        <v>157</v>
      </c>
      <c r="H405" s="63" t="str">
        <f>Table1[[#This Row],[Tabela]]&amp;Table1[[#This Row],[Campo]]</f>
        <v>cd_imv_out_certifvlr_enrg_renew</v>
      </c>
      <c r="I405" s="3" t="s">
        <v>482</v>
      </c>
      <c r="J405" s="45">
        <f>VLOOKUP(Table1[[#This Row],[Status]],Auxiliar!$B$16:$C$23,2,0)</f>
        <v>6</v>
      </c>
      <c r="K405" s="3" t="s">
        <v>1138</v>
      </c>
      <c r="L405" s="30" t="s">
        <v>1135</v>
      </c>
      <c r="M405" s="22" t="s">
        <v>1145</v>
      </c>
      <c r="N405" s="53">
        <v>45485</v>
      </c>
      <c r="O405" s="22">
        <f>INDEX(Auxiliar!$D$5:$F$13,MATCH(Table1[[#This Row],[Tipologia_Testes]],Auxiliar!$B$5:$B$13,0),MATCH(Table1[[#This Row],[Complexidade]],Auxiliar!$D$4:$F$4,0))</f>
        <v>2</v>
      </c>
      <c r="P405" s="3" t="s">
        <v>1175</v>
      </c>
      <c r="Q405" s="3"/>
      <c r="R405" s="173">
        <v>45261</v>
      </c>
      <c r="S405" s="173"/>
      <c r="T405" s="173">
        <v>45562</v>
      </c>
      <c r="U405" s="173"/>
      <c r="V405" s="173"/>
      <c r="W405" s="3">
        <f>VLOOKUP(Table1[[#This Row],[Status]],Auxiliar!$B$16:$D$23,3,0)*Table1[[#This Row],[Estimação (horas)]]</f>
        <v>0.5</v>
      </c>
      <c r="X405" s="3"/>
    </row>
    <row r="406" spans="2:24" ht="17.399999999999999">
      <c r="B406" s="3" t="s">
        <v>28</v>
      </c>
      <c r="C406" s="3" t="s">
        <v>54</v>
      </c>
      <c r="D406" s="3" t="s">
        <v>121</v>
      </c>
      <c r="E406" s="3" t="s">
        <v>38</v>
      </c>
      <c r="F406" s="3" t="s">
        <v>120</v>
      </c>
      <c r="G406" s="3" t="s">
        <v>157</v>
      </c>
      <c r="H406" s="63" t="str">
        <f>Table1[[#This Row],[Tabela]]&amp;Table1[[#This Row],[Campo]]</f>
        <v>cd_imv_out_certifvlr_enrg_renew</v>
      </c>
      <c r="I406" s="3" t="s">
        <v>482</v>
      </c>
      <c r="J406" s="45">
        <f>VLOOKUP(Table1[[#This Row],[Status]],Auxiliar!$B$16:$C$23,2,0)</f>
        <v>6</v>
      </c>
      <c r="K406" s="3" t="s">
        <v>1141</v>
      </c>
      <c r="L406" s="30" t="s">
        <v>1135</v>
      </c>
      <c r="M406" s="22" t="s">
        <v>1145</v>
      </c>
      <c r="N406" s="53">
        <v>45485</v>
      </c>
      <c r="O406" s="22">
        <f>INDEX(Auxiliar!$D$5:$F$13,MATCH(Table1[[#This Row],[Tipologia_Testes]],Auxiliar!$B$5:$B$13,0),MATCH(Table1[[#This Row],[Complexidade]],Auxiliar!$D$4:$F$4,0))</f>
        <v>0.1</v>
      </c>
      <c r="P406" s="3" t="s">
        <v>1175</v>
      </c>
      <c r="Q406" s="3"/>
      <c r="R406" s="173">
        <v>45261</v>
      </c>
      <c r="S406" s="173"/>
      <c r="T406" s="173">
        <v>45562</v>
      </c>
      <c r="U406" s="173"/>
      <c r="V406" s="173"/>
      <c r="W406" s="3">
        <f>VLOOKUP(Table1[[#This Row],[Status]],Auxiliar!$B$16:$D$23,3,0)*Table1[[#This Row],[Estimação (horas)]]</f>
        <v>2.5000000000000001E-2</v>
      </c>
      <c r="X406" s="3"/>
    </row>
    <row r="407" spans="2:24" ht="17.399999999999999" hidden="1">
      <c r="B407" s="3" t="s">
        <v>28</v>
      </c>
      <c r="C407" s="3" t="s">
        <v>54</v>
      </c>
      <c r="D407" s="3" t="s">
        <v>121</v>
      </c>
      <c r="E407" s="3" t="s">
        <v>38</v>
      </c>
      <c r="F407" s="3" t="s">
        <v>120</v>
      </c>
      <c r="G407" s="3" t="s">
        <v>158</v>
      </c>
      <c r="H407" s="63" t="str">
        <f>Table1[[#This Row],[Tabela]]&amp;Table1[[#This Row],[Campo]]</f>
        <v>cd_imv_out_certifvlr_enrg_utl_agua_qt_snt</v>
      </c>
      <c r="I407" s="3" t="s">
        <v>477</v>
      </c>
      <c r="J407" s="45">
        <f>VLOOKUP(Table1[[#This Row],[Status]],Auxiliar!$B$16:$C$23,2,0)</f>
        <v>1</v>
      </c>
      <c r="K407" s="3" t="s">
        <v>1137</v>
      </c>
      <c r="L407" s="30" t="s">
        <v>1135</v>
      </c>
      <c r="M407" s="22" t="s">
        <v>1145</v>
      </c>
      <c r="N407" s="53">
        <v>45485</v>
      </c>
      <c r="O407" s="22">
        <f>INDEX(Auxiliar!$D$5:$F$13,MATCH(Table1[[#This Row],[Tipologia_Testes]],Auxiliar!$B$5:$B$13,0),MATCH(Table1[[#This Row],[Complexidade]],Auxiliar!$D$4:$F$4,0))</f>
        <v>2</v>
      </c>
      <c r="P407" s="3" t="s">
        <v>1175</v>
      </c>
      <c r="Q407" s="3"/>
      <c r="R407" s="173">
        <v>45261</v>
      </c>
      <c r="S407" s="173"/>
      <c r="T407" s="173"/>
      <c r="U407" s="173"/>
      <c r="V407" s="173"/>
      <c r="W407" s="3">
        <f>VLOOKUP(Table1[[#This Row],[Status]],Auxiliar!$B$16:$D$23,3,0)*Table1[[#This Row],[Estimação (horas)]]</f>
        <v>2</v>
      </c>
      <c r="X407" s="3"/>
    </row>
    <row r="408" spans="2:24" ht="17.399999999999999" hidden="1">
      <c r="B408" s="3" t="s">
        <v>28</v>
      </c>
      <c r="C408" s="3" t="s">
        <v>54</v>
      </c>
      <c r="D408" s="3" t="s">
        <v>121</v>
      </c>
      <c r="E408" s="3" t="s">
        <v>38</v>
      </c>
      <c r="F408" s="3" t="s">
        <v>120</v>
      </c>
      <c r="G408" s="3" t="s">
        <v>158</v>
      </c>
      <c r="H408" s="63" t="str">
        <f>Table1[[#This Row],[Tabela]]&amp;Table1[[#This Row],[Campo]]</f>
        <v>cd_imv_out_certifvlr_enrg_utl_agua_qt_snt</v>
      </c>
      <c r="I408" s="3" t="s">
        <v>477</v>
      </c>
      <c r="J408" s="45">
        <f>VLOOKUP(Table1[[#This Row],[Status]],Auxiliar!$B$16:$C$23,2,0)</f>
        <v>1</v>
      </c>
      <c r="K408" s="3" t="s">
        <v>1138</v>
      </c>
      <c r="L408" s="30" t="s">
        <v>1135</v>
      </c>
      <c r="M408" s="22" t="s">
        <v>1145</v>
      </c>
      <c r="N408" s="53">
        <v>45485</v>
      </c>
      <c r="O408" s="22">
        <f>INDEX(Auxiliar!$D$5:$F$13,MATCH(Table1[[#This Row],[Tipologia_Testes]],Auxiliar!$B$5:$B$13,0),MATCH(Table1[[#This Row],[Complexidade]],Auxiliar!$D$4:$F$4,0))</f>
        <v>2</v>
      </c>
      <c r="P408" s="3" t="s">
        <v>1175</v>
      </c>
      <c r="Q408" s="3"/>
      <c r="R408" s="173">
        <v>45261</v>
      </c>
      <c r="S408" s="173"/>
      <c r="T408" s="173"/>
      <c r="U408" s="173"/>
      <c r="V408" s="173"/>
      <c r="W408" s="3">
        <f>VLOOKUP(Table1[[#This Row],[Status]],Auxiliar!$B$16:$D$23,3,0)*Table1[[#This Row],[Estimação (horas)]]</f>
        <v>2</v>
      </c>
      <c r="X408" s="3"/>
    </row>
    <row r="409" spans="2:24" ht="17.399999999999999" hidden="1">
      <c r="B409" s="3" t="s">
        <v>28</v>
      </c>
      <c r="C409" s="3" t="s">
        <v>54</v>
      </c>
      <c r="D409" s="3" t="s">
        <v>121</v>
      </c>
      <c r="E409" s="3" t="s">
        <v>38</v>
      </c>
      <c r="F409" s="3" t="s">
        <v>120</v>
      </c>
      <c r="G409" s="3" t="s">
        <v>158</v>
      </c>
      <c r="H409" s="63" t="str">
        <f>Table1[[#This Row],[Tabela]]&amp;Table1[[#This Row],[Campo]]</f>
        <v>cd_imv_out_certifvlr_enrg_utl_agua_qt_snt</v>
      </c>
      <c r="I409" s="3" t="s">
        <v>477</v>
      </c>
      <c r="J409" s="45">
        <f>VLOOKUP(Table1[[#This Row],[Status]],Auxiliar!$B$16:$C$23,2,0)</f>
        <v>1</v>
      </c>
      <c r="K409" s="3" t="s">
        <v>1141</v>
      </c>
      <c r="L409" s="30" t="s">
        <v>1135</v>
      </c>
      <c r="M409" s="22" t="s">
        <v>1145</v>
      </c>
      <c r="N409" s="53">
        <v>45485</v>
      </c>
      <c r="O409" s="22">
        <f>INDEX(Auxiliar!$D$5:$F$13,MATCH(Table1[[#This Row],[Tipologia_Testes]],Auxiliar!$B$5:$B$13,0),MATCH(Table1[[#This Row],[Complexidade]],Auxiliar!$D$4:$F$4,0))</f>
        <v>0.1</v>
      </c>
      <c r="P409" s="3" t="s">
        <v>1175</v>
      </c>
      <c r="Q409" s="3"/>
      <c r="R409" s="173">
        <v>45261</v>
      </c>
      <c r="S409" s="173"/>
      <c r="T409" s="173"/>
      <c r="U409" s="173"/>
      <c r="V409" s="173"/>
      <c r="W409" s="3">
        <f>VLOOKUP(Table1[[#This Row],[Status]],Auxiliar!$B$16:$D$23,3,0)*Table1[[#This Row],[Estimação (horas)]]</f>
        <v>0.1</v>
      </c>
      <c r="X409" s="3"/>
    </row>
    <row r="410" spans="2:24" ht="17.399999999999999" hidden="1">
      <c r="B410" s="3" t="s">
        <v>28</v>
      </c>
      <c r="C410" s="3" t="s">
        <v>54</v>
      </c>
      <c r="D410" s="3" t="s">
        <v>121</v>
      </c>
      <c r="E410" s="3" t="s">
        <v>38</v>
      </c>
      <c r="F410" s="3" t="s">
        <v>120</v>
      </c>
      <c r="G410" s="3" t="s">
        <v>159</v>
      </c>
      <c r="H410" s="63" t="str">
        <f>Table1[[#This Row],[Tabela]]&amp;Table1[[#This Row],[Campo]]</f>
        <v>cd_imv_out_certifvlr_enrg_utl_arrfcmnt</v>
      </c>
      <c r="I410" s="3" t="s">
        <v>477</v>
      </c>
      <c r="J410" s="45">
        <f>VLOOKUP(Table1[[#This Row],[Status]],Auxiliar!$B$16:$C$23,2,0)</f>
        <v>1</v>
      </c>
      <c r="K410" s="3" t="s">
        <v>1137</v>
      </c>
      <c r="L410" s="30" t="s">
        <v>1135</v>
      </c>
      <c r="M410" s="22" t="s">
        <v>1145</v>
      </c>
      <c r="N410" s="53">
        <v>45485</v>
      </c>
      <c r="O410" s="22">
        <f>INDEX(Auxiliar!$D$5:$F$13,MATCH(Table1[[#This Row],[Tipologia_Testes]],Auxiliar!$B$5:$B$13,0),MATCH(Table1[[#This Row],[Complexidade]],Auxiliar!$D$4:$F$4,0))</f>
        <v>2</v>
      </c>
      <c r="P410" s="3" t="s">
        <v>1175</v>
      </c>
      <c r="Q410" s="3"/>
      <c r="R410" s="173">
        <v>45261</v>
      </c>
      <c r="S410" s="173"/>
      <c r="T410" s="173"/>
      <c r="U410" s="173"/>
      <c r="V410" s="173"/>
      <c r="W410" s="3">
        <f>VLOOKUP(Table1[[#This Row],[Status]],Auxiliar!$B$16:$D$23,3,0)*Table1[[#This Row],[Estimação (horas)]]</f>
        <v>2</v>
      </c>
      <c r="X410" s="3"/>
    </row>
    <row r="411" spans="2:24" ht="17.399999999999999" hidden="1">
      <c r="B411" s="3" t="s">
        <v>28</v>
      </c>
      <c r="C411" s="3" t="s">
        <v>54</v>
      </c>
      <c r="D411" s="3" t="s">
        <v>121</v>
      </c>
      <c r="E411" s="3" t="s">
        <v>38</v>
      </c>
      <c r="F411" s="3" t="s">
        <v>120</v>
      </c>
      <c r="G411" s="3" t="s">
        <v>159</v>
      </c>
      <c r="H411" s="63" t="str">
        <f>Table1[[#This Row],[Tabela]]&amp;Table1[[#This Row],[Campo]]</f>
        <v>cd_imv_out_certifvlr_enrg_utl_arrfcmnt</v>
      </c>
      <c r="I411" s="3" t="s">
        <v>477</v>
      </c>
      <c r="J411" s="45">
        <f>VLOOKUP(Table1[[#This Row],[Status]],Auxiliar!$B$16:$C$23,2,0)</f>
        <v>1</v>
      </c>
      <c r="K411" s="3" t="s">
        <v>1138</v>
      </c>
      <c r="L411" s="30" t="s">
        <v>1135</v>
      </c>
      <c r="M411" s="22" t="s">
        <v>1145</v>
      </c>
      <c r="N411" s="53">
        <v>45485</v>
      </c>
      <c r="O411" s="22">
        <f>INDEX(Auxiliar!$D$5:$F$13,MATCH(Table1[[#This Row],[Tipologia_Testes]],Auxiliar!$B$5:$B$13,0),MATCH(Table1[[#This Row],[Complexidade]],Auxiliar!$D$4:$F$4,0))</f>
        <v>2</v>
      </c>
      <c r="P411" s="3" t="s">
        <v>1175</v>
      </c>
      <c r="Q411" s="3"/>
      <c r="R411" s="173">
        <v>45261</v>
      </c>
      <c r="S411" s="173"/>
      <c r="T411" s="173"/>
      <c r="U411" s="173"/>
      <c r="V411" s="173"/>
      <c r="W411" s="3">
        <f>VLOOKUP(Table1[[#This Row],[Status]],Auxiliar!$B$16:$D$23,3,0)*Table1[[#This Row],[Estimação (horas)]]</f>
        <v>2</v>
      </c>
      <c r="X411" s="3"/>
    </row>
    <row r="412" spans="2:24" ht="17.399999999999999" hidden="1">
      <c r="B412" s="3" t="s">
        <v>28</v>
      </c>
      <c r="C412" s="3" t="s">
        <v>54</v>
      </c>
      <c r="D412" s="3" t="s">
        <v>121</v>
      </c>
      <c r="E412" s="3" t="s">
        <v>38</v>
      </c>
      <c r="F412" s="3" t="s">
        <v>120</v>
      </c>
      <c r="G412" s="3" t="s">
        <v>159</v>
      </c>
      <c r="H412" s="63" t="str">
        <f>Table1[[#This Row],[Tabela]]&amp;Table1[[#This Row],[Campo]]</f>
        <v>cd_imv_out_certifvlr_enrg_utl_arrfcmnt</v>
      </c>
      <c r="I412" s="3" t="s">
        <v>477</v>
      </c>
      <c r="J412" s="45">
        <f>VLOOKUP(Table1[[#This Row],[Status]],Auxiliar!$B$16:$C$23,2,0)</f>
        <v>1</v>
      </c>
      <c r="K412" s="3" t="s">
        <v>1141</v>
      </c>
      <c r="L412" s="30" t="s">
        <v>1135</v>
      </c>
      <c r="M412" s="22" t="s">
        <v>1145</v>
      </c>
      <c r="N412" s="53">
        <v>45485</v>
      </c>
      <c r="O412" s="22">
        <f>INDEX(Auxiliar!$D$5:$F$13,MATCH(Table1[[#This Row],[Tipologia_Testes]],Auxiliar!$B$5:$B$13,0),MATCH(Table1[[#This Row],[Complexidade]],Auxiliar!$D$4:$F$4,0))</f>
        <v>0.1</v>
      </c>
      <c r="P412" s="3" t="s">
        <v>1175</v>
      </c>
      <c r="Q412" s="3"/>
      <c r="R412" s="173">
        <v>45261</v>
      </c>
      <c r="S412" s="173"/>
      <c r="T412" s="173"/>
      <c r="U412" s="173"/>
      <c r="V412" s="173"/>
      <c r="W412" s="3">
        <f>VLOOKUP(Table1[[#This Row],[Status]],Auxiliar!$B$16:$D$23,3,0)*Table1[[#This Row],[Estimação (horas)]]</f>
        <v>0.1</v>
      </c>
      <c r="X412" s="3"/>
    </row>
    <row r="413" spans="2:24" ht="17.399999999999999" hidden="1">
      <c r="B413" s="3" t="s">
        <v>28</v>
      </c>
      <c r="C413" s="3" t="s">
        <v>54</v>
      </c>
      <c r="D413" s="3" t="s">
        <v>121</v>
      </c>
      <c r="E413" s="3" t="s">
        <v>38</v>
      </c>
      <c r="F413" s="3" t="s">
        <v>120</v>
      </c>
      <c r="G413" s="3" t="s">
        <v>160</v>
      </c>
      <c r="H413" s="63" t="str">
        <f>Table1[[#This Row],[Tabela]]&amp;Table1[[#This Row],[Campo]]</f>
        <v>cd_imv_out_certifvlr_grs_dia</v>
      </c>
      <c r="I413" s="3" t="s">
        <v>477</v>
      </c>
      <c r="J413" s="45">
        <f>VLOOKUP(Table1[[#This Row],[Status]],Auxiliar!$B$16:$C$23,2,0)</f>
        <v>1</v>
      </c>
      <c r="K413" s="3" t="s">
        <v>1137</v>
      </c>
      <c r="L413" s="30" t="s">
        <v>1135</v>
      </c>
      <c r="M413" s="22" t="s">
        <v>1145</v>
      </c>
      <c r="N413" s="53">
        <v>45485</v>
      </c>
      <c r="O413" s="22">
        <f>INDEX(Auxiliar!$D$5:$F$13,MATCH(Table1[[#This Row],[Tipologia_Testes]],Auxiliar!$B$5:$B$13,0),MATCH(Table1[[#This Row],[Complexidade]],Auxiliar!$D$4:$F$4,0))</f>
        <v>2</v>
      </c>
      <c r="P413" s="3" t="s">
        <v>1175</v>
      </c>
      <c r="Q413" s="3"/>
      <c r="R413" s="173">
        <v>45261</v>
      </c>
      <c r="S413" s="173"/>
      <c r="T413" s="173"/>
      <c r="U413" s="173"/>
      <c r="V413" s="173"/>
      <c r="W413" s="3">
        <f>VLOOKUP(Table1[[#This Row],[Status]],Auxiliar!$B$16:$D$23,3,0)*Table1[[#This Row],[Estimação (horas)]]</f>
        <v>2</v>
      </c>
      <c r="X413" s="3"/>
    </row>
    <row r="414" spans="2:24" ht="17.399999999999999" hidden="1">
      <c r="B414" s="3" t="s">
        <v>28</v>
      </c>
      <c r="C414" s="3" t="s">
        <v>54</v>
      </c>
      <c r="D414" s="3" t="s">
        <v>121</v>
      </c>
      <c r="E414" s="3" t="s">
        <v>38</v>
      </c>
      <c r="F414" s="3" t="s">
        <v>120</v>
      </c>
      <c r="G414" s="3" t="s">
        <v>160</v>
      </c>
      <c r="H414" s="63" t="str">
        <f>Table1[[#This Row],[Tabela]]&amp;Table1[[#This Row],[Campo]]</f>
        <v>cd_imv_out_certifvlr_grs_dia</v>
      </c>
      <c r="I414" s="3" t="s">
        <v>477</v>
      </c>
      <c r="J414" s="45">
        <f>VLOOKUP(Table1[[#This Row],[Status]],Auxiliar!$B$16:$C$23,2,0)</f>
        <v>1</v>
      </c>
      <c r="K414" s="3" t="s">
        <v>1138</v>
      </c>
      <c r="L414" s="30" t="s">
        <v>1135</v>
      </c>
      <c r="M414" s="22" t="s">
        <v>1145</v>
      </c>
      <c r="N414" s="53">
        <v>45485</v>
      </c>
      <c r="O414" s="22">
        <f>INDEX(Auxiliar!$D$5:$F$13,MATCH(Table1[[#This Row],[Tipologia_Testes]],Auxiliar!$B$5:$B$13,0),MATCH(Table1[[#This Row],[Complexidade]],Auxiliar!$D$4:$F$4,0))</f>
        <v>2</v>
      </c>
      <c r="P414" s="3" t="s">
        <v>1175</v>
      </c>
      <c r="Q414" s="3"/>
      <c r="R414" s="173">
        <v>45261</v>
      </c>
      <c r="S414" s="173"/>
      <c r="T414" s="173"/>
      <c r="U414" s="173"/>
      <c r="V414" s="173"/>
      <c r="W414" s="3">
        <f>VLOOKUP(Table1[[#This Row],[Status]],Auxiliar!$B$16:$D$23,3,0)*Table1[[#This Row],[Estimação (horas)]]</f>
        <v>2</v>
      </c>
      <c r="X414" s="3"/>
    </row>
    <row r="415" spans="2:24" ht="17.399999999999999" hidden="1">
      <c r="B415" s="3" t="s">
        <v>28</v>
      </c>
      <c r="C415" s="3" t="s">
        <v>54</v>
      </c>
      <c r="D415" s="3" t="s">
        <v>121</v>
      </c>
      <c r="E415" s="3" t="s">
        <v>38</v>
      </c>
      <c r="F415" s="3" t="s">
        <v>120</v>
      </c>
      <c r="G415" s="3" t="s">
        <v>160</v>
      </c>
      <c r="H415" s="63" t="str">
        <f>Table1[[#This Row],[Tabela]]&amp;Table1[[#This Row],[Campo]]</f>
        <v>cd_imv_out_certifvlr_grs_dia</v>
      </c>
      <c r="I415" s="3" t="s">
        <v>477</v>
      </c>
      <c r="J415" s="45">
        <f>VLOOKUP(Table1[[#This Row],[Status]],Auxiliar!$B$16:$C$23,2,0)</f>
        <v>1</v>
      </c>
      <c r="K415" s="3" t="s">
        <v>1141</v>
      </c>
      <c r="L415" s="30" t="s">
        <v>1135</v>
      </c>
      <c r="M415" s="22" t="s">
        <v>1145</v>
      </c>
      <c r="N415" s="53">
        <v>45485</v>
      </c>
      <c r="O415" s="22">
        <f>INDEX(Auxiliar!$D$5:$F$13,MATCH(Table1[[#This Row],[Tipologia_Testes]],Auxiliar!$B$5:$B$13,0),MATCH(Table1[[#This Row],[Complexidade]],Auxiliar!$D$4:$F$4,0))</f>
        <v>0.1</v>
      </c>
      <c r="P415" s="3" t="s">
        <v>1175</v>
      </c>
      <c r="Q415" s="3"/>
      <c r="R415" s="173">
        <v>45261</v>
      </c>
      <c r="S415" s="173"/>
      <c r="T415" s="173"/>
      <c r="U415" s="173"/>
      <c r="V415" s="173"/>
      <c r="W415" s="3">
        <f>VLOOKUP(Table1[[#This Row],[Status]],Auxiliar!$B$16:$D$23,3,0)*Table1[[#This Row],[Estimação (horas)]]</f>
        <v>0.1</v>
      </c>
      <c r="X415" s="3"/>
    </row>
    <row r="416" spans="2:24" ht="17.399999999999999">
      <c r="B416" s="3" t="s">
        <v>28</v>
      </c>
      <c r="C416" s="3" t="s">
        <v>54</v>
      </c>
      <c r="D416" s="3" t="s">
        <v>121</v>
      </c>
      <c r="E416" s="3" t="s">
        <v>38</v>
      </c>
      <c r="F416" s="3" t="s">
        <v>120</v>
      </c>
      <c r="G416" s="3" t="s">
        <v>161</v>
      </c>
      <c r="H416" s="63" t="str">
        <f>Table1[[#This Row],[Tabela]]&amp;Table1[[#This Row],[Campo]]</f>
        <v>cd_imv_out_certifvlr_ncssdd_enrg_prmr</v>
      </c>
      <c r="I416" s="3" t="s">
        <v>482</v>
      </c>
      <c r="J416" s="45">
        <f>VLOOKUP(Table1[[#This Row],[Status]],Auxiliar!$B$16:$C$23,2,0)</f>
        <v>6</v>
      </c>
      <c r="K416" s="3" t="s">
        <v>1137</v>
      </c>
      <c r="L416" s="30" t="s">
        <v>1135</v>
      </c>
      <c r="M416" s="22" t="s">
        <v>1145</v>
      </c>
      <c r="N416" s="53">
        <v>45485</v>
      </c>
      <c r="O416" s="22">
        <f>INDEX(Auxiliar!$D$5:$F$13,MATCH(Table1[[#This Row],[Tipologia_Testes]],Auxiliar!$B$5:$B$13,0),MATCH(Table1[[#This Row],[Complexidade]],Auxiliar!$D$4:$F$4,0))</f>
        <v>2</v>
      </c>
      <c r="P416" s="3" t="s">
        <v>1175</v>
      </c>
      <c r="Q416" s="3"/>
      <c r="R416" s="173">
        <v>45261</v>
      </c>
      <c r="S416" s="173"/>
      <c r="T416" s="173">
        <v>45562</v>
      </c>
      <c r="U416" s="173"/>
      <c r="V416" s="173"/>
      <c r="W416" s="3">
        <f>VLOOKUP(Table1[[#This Row],[Status]],Auxiliar!$B$16:$D$23,3,0)*Table1[[#This Row],[Estimação (horas)]]</f>
        <v>0.5</v>
      </c>
      <c r="X416" s="3"/>
    </row>
    <row r="417" spans="2:24" ht="17.399999999999999">
      <c r="B417" s="3" t="s">
        <v>28</v>
      </c>
      <c r="C417" s="3" t="s">
        <v>54</v>
      </c>
      <c r="D417" s="3" t="s">
        <v>121</v>
      </c>
      <c r="E417" s="3" t="s">
        <v>38</v>
      </c>
      <c r="F417" s="3" t="s">
        <v>120</v>
      </c>
      <c r="G417" s="3" t="s">
        <v>161</v>
      </c>
      <c r="H417" s="63" t="str">
        <f>Table1[[#This Row],[Tabela]]&amp;Table1[[#This Row],[Campo]]</f>
        <v>cd_imv_out_certifvlr_ncssdd_enrg_prmr</v>
      </c>
      <c r="I417" s="3" t="s">
        <v>482</v>
      </c>
      <c r="J417" s="45">
        <f>VLOOKUP(Table1[[#This Row],[Status]],Auxiliar!$B$16:$C$23,2,0)</f>
        <v>6</v>
      </c>
      <c r="K417" s="3" t="s">
        <v>1138</v>
      </c>
      <c r="L417" s="30" t="s">
        <v>1135</v>
      </c>
      <c r="M417" s="22" t="s">
        <v>1145</v>
      </c>
      <c r="N417" s="53">
        <v>45485</v>
      </c>
      <c r="O417" s="22">
        <f>INDEX(Auxiliar!$D$5:$F$13,MATCH(Table1[[#This Row],[Tipologia_Testes]],Auxiliar!$B$5:$B$13,0),MATCH(Table1[[#This Row],[Complexidade]],Auxiliar!$D$4:$F$4,0))</f>
        <v>2</v>
      </c>
      <c r="P417" s="3" t="s">
        <v>1175</v>
      </c>
      <c r="Q417" s="3"/>
      <c r="R417" s="173">
        <v>45261</v>
      </c>
      <c r="S417" s="173"/>
      <c r="T417" s="173">
        <v>45562</v>
      </c>
      <c r="U417" s="173"/>
      <c r="V417" s="173"/>
      <c r="W417" s="3">
        <f>VLOOKUP(Table1[[#This Row],[Status]],Auxiliar!$B$16:$D$23,3,0)*Table1[[#This Row],[Estimação (horas)]]</f>
        <v>0.5</v>
      </c>
      <c r="X417" s="3"/>
    </row>
    <row r="418" spans="2:24" ht="17.399999999999999">
      <c r="B418" s="3" t="s">
        <v>28</v>
      </c>
      <c r="C418" s="3" t="s">
        <v>54</v>
      </c>
      <c r="D418" s="3" t="s">
        <v>121</v>
      </c>
      <c r="E418" s="3" t="s">
        <v>38</v>
      </c>
      <c r="F418" s="3" t="s">
        <v>120</v>
      </c>
      <c r="G418" s="3" t="s">
        <v>161</v>
      </c>
      <c r="H418" s="63" t="str">
        <f>Table1[[#This Row],[Tabela]]&amp;Table1[[#This Row],[Campo]]</f>
        <v>cd_imv_out_certifvlr_ncssdd_enrg_prmr</v>
      </c>
      <c r="I418" s="3" t="s">
        <v>482</v>
      </c>
      <c r="J418" s="45">
        <f>VLOOKUP(Table1[[#This Row],[Status]],Auxiliar!$B$16:$C$23,2,0)</f>
        <v>6</v>
      </c>
      <c r="K418" s="3" t="s">
        <v>1141</v>
      </c>
      <c r="L418" s="30" t="s">
        <v>1135</v>
      </c>
      <c r="M418" s="22" t="s">
        <v>1145</v>
      </c>
      <c r="N418" s="53">
        <v>45485</v>
      </c>
      <c r="O418" s="22">
        <f>INDEX(Auxiliar!$D$5:$F$13,MATCH(Table1[[#This Row],[Tipologia_Testes]],Auxiliar!$B$5:$B$13,0),MATCH(Table1[[#This Row],[Complexidade]],Auxiliar!$D$4:$F$4,0))</f>
        <v>0.1</v>
      </c>
      <c r="P418" s="3" t="s">
        <v>1175</v>
      </c>
      <c r="Q418" s="3"/>
      <c r="R418" s="173">
        <v>45261</v>
      </c>
      <c r="S418" s="173"/>
      <c r="T418" s="173">
        <v>45562</v>
      </c>
      <c r="U418" s="173"/>
      <c r="V418" s="173"/>
      <c r="W418" s="3">
        <f>VLOOKUP(Table1[[#This Row],[Status]],Auxiliar!$B$16:$D$23,3,0)*Table1[[#This Row],[Estimação (horas)]]</f>
        <v>2.5000000000000001E-2</v>
      </c>
      <c r="X418" s="3"/>
    </row>
    <row r="419" spans="2:24" ht="17.399999999999999" hidden="1">
      <c r="B419" s="3" t="s">
        <v>28</v>
      </c>
      <c r="C419" s="3" t="s">
        <v>54</v>
      </c>
      <c r="D419" s="3" t="s">
        <v>121</v>
      </c>
      <c r="E419" s="3" t="s">
        <v>38</v>
      </c>
      <c r="F419" s="3" t="s">
        <v>120</v>
      </c>
      <c r="G419" s="3" t="s">
        <v>162</v>
      </c>
      <c r="H419" s="63" t="str">
        <f>Table1[[#This Row],[Tabela]]&amp;Table1[[#This Row],[Campo]]</f>
        <v>cd_imv_out_certifvlr_ncssdd_enrg_utl_aqcd</v>
      </c>
      <c r="I419" s="3" t="s">
        <v>477</v>
      </c>
      <c r="J419" s="45">
        <f>VLOOKUP(Table1[[#This Row],[Status]],Auxiliar!$B$16:$C$23,2,0)</f>
        <v>1</v>
      </c>
      <c r="K419" s="3" t="s">
        <v>1137</v>
      </c>
      <c r="L419" s="30" t="s">
        <v>1135</v>
      </c>
      <c r="M419" s="22" t="s">
        <v>1145</v>
      </c>
      <c r="N419" s="53">
        <v>45485</v>
      </c>
      <c r="O419" s="22">
        <f>INDEX(Auxiliar!$D$5:$F$13,MATCH(Table1[[#This Row],[Tipologia_Testes]],Auxiliar!$B$5:$B$13,0),MATCH(Table1[[#This Row],[Complexidade]],Auxiliar!$D$4:$F$4,0))</f>
        <v>2</v>
      </c>
      <c r="P419" s="3" t="s">
        <v>1175</v>
      </c>
      <c r="Q419" s="3"/>
      <c r="R419" s="173">
        <v>45261</v>
      </c>
      <c r="S419" s="173"/>
      <c r="T419" s="173"/>
      <c r="U419" s="173"/>
      <c r="V419" s="173"/>
      <c r="W419" s="3">
        <f>VLOOKUP(Table1[[#This Row],[Status]],Auxiliar!$B$16:$D$23,3,0)*Table1[[#This Row],[Estimação (horas)]]</f>
        <v>2</v>
      </c>
      <c r="X419" s="3"/>
    </row>
    <row r="420" spans="2:24" ht="17.399999999999999" hidden="1">
      <c r="B420" s="3" t="s">
        <v>28</v>
      </c>
      <c r="C420" s="3" t="s">
        <v>54</v>
      </c>
      <c r="D420" s="3" t="s">
        <v>121</v>
      </c>
      <c r="E420" s="3" t="s">
        <v>38</v>
      </c>
      <c r="F420" s="3" t="s">
        <v>120</v>
      </c>
      <c r="G420" s="3" t="s">
        <v>162</v>
      </c>
      <c r="H420" s="63" t="str">
        <f>Table1[[#This Row],[Tabela]]&amp;Table1[[#This Row],[Campo]]</f>
        <v>cd_imv_out_certifvlr_ncssdd_enrg_utl_aqcd</v>
      </c>
      <c r="I420" s="3" t="s">
        <v>477</v>
      </c>
      <c r="J420" s="45">
        <f>VLOOKUP(Table1[[#This Row],[Status]],Auxiliar!$B$16:$C$23,2,0)</f>
        <v>1</v>
      </c>
      <c r="K420" s="3" t="s">
        <v>1138</v>
      </c>
      <c r="L420" s="30" t="s">
        <v>1135</v>
      </c>
      <c r="M420" s="22" t="s">
        <v>1145</v>
      </c>
      <c r="N420" s="53">
        <v>45485</v>
      </c>
      <c r="O420" s="22">
        <f>INDEX(Auxiliar!$D$5:$F$13,MATCH(Table1[[#This Row],[Tipologia_Testes]],Auxiliar!$B$5:$B$13,0),MATCH(Table1[[#This Row],[Complexidade]],Auxiliar!$D$4:$F$4,0))</f>
        <v>2</v>
      </c>
      <c r="P420" s="3" t="s">
        <v>1175</v>
      </c>
      <c r="Q420" s="3"/>
      <c r="R420" s="173">
        <v>45261</v>
      </c>
      <c r="S420" s="173"/>
      <c r="T420" s="173"/>
      <c r="U420" s="173"/>
      <c r="V420" s="173"/>
      <c r="W420" s="3">
        <f>VLOOKUP(Table1[[#This Row],[Status]],Auxiliar!$B$16:$D$23,3,0)*Table1[[#This Row],[Estimação (horas)]]</f>
        <v>2</v>
      </c>
      <c r="X420" s="3"/>
    </row>
    <row r="421" spans="2:24" ht="17.399999999999999" hidden="1">
      <c r="B421" s="3" t="s">
        <v>28</v>
      </c>
      <c r="C421" s="3" t="s">
        <v>54</v>
      </c>
      <c r="D421" s="3" t="s">
        <v>121</v>
      </c>
      <c r="E421" s="3" t="s">
        <v>38</v>
      </c>
      <c r="F421" s="3" t="s">
        <v>120</v>
      </c>
      <c r="G421" s="3" t="s">
        <v>162</v>
      </c>
      <c r="H421" s="63" t="str">
        <f>Table1[[#This Row],[Tabela]]&amp;Table1[[#This Row],[Campo]]</f>
        <v>cd_imv_out_certifvlr_ncssdd_enrg_utl_aqcd</v>
      </c>
      <c r="I421" s="3" t="s">
        <v>477</v>
      </c>
      <c r="J421" s="45">
        <f>VLOOKUP(Table1[[#This Row],[Status]],Auxiliar!$B$16:$C$23,2,0)</f>
        <v>1</v>
      </c>
      <c r="K421" s="3" t="s">
        <v>1141</v>
      </c>
      <c r="L421" s="30" t="s">
        <v>1135</v>
      </c>
      <c r="M421" s="22" t="s">
        <v>1145</v>
      </c>
      <c r="N421" s="53">
        <v>45485</v>
      </c>
      <c r="O421" s="22">
        <f>INDEX(Auxiliar!$D$5:$F$13,MATCH(Table1[[#This Row],[Tipologia_Testes]],Auxiliar!$B$5:$B$13,0),MATCH(Table1[[#This Row],[Complexidade]],Auxiliar!$D$4:$F$4,0))</f>
        <v>0.1</v>
      </c>
      <c r="P421" s="3" t="s">
        <v>1175</v>
      </c>
      <c r="Q421" s="3"/>
      <c r="R421" s="173">
        <v>45261</v>
      </c>
      <c r="S421" s="173"/>
      <c r="T421" s="173"/>
      <c r="U421" s="173"/>
      <c r="V421" s="173"/>
      <c r="W421" s="3">
        <f>VLOOKUP(Table1[[#This Row],[Status]],Auxiliar!$B$16:$D$23,3,0)*Table1[[#This Row],[Estimação (horas)]]</f>
        <v>0.1</v>
      </c>
      <c r="X421" s="3"/>
    </row>
    <row r="422" spans="2:24" ht="17.399999999999999" hidden="1">
      <c r="B422" s="3" t="s">
        <v>28</v>
      </c>
      <c r="C422" s="3" t="s">
        <v>54</v>
      </c>
      <c r="D422" s="3" t="s">
        <v>121</v>
      </c>
      <c r="E422" s="3" t="s">
        <v>38</v>
      </c>
      <c r="F422" s="3" t="s">
        <v>120</v>
      </c>
      <c r="G422" s="3" t="s">
        <v>163</v>
      </c>
      <c r="H422" s="63" t="str">
        <f>Table1[[#This Row],[Tabela]]&amp;Table1[[#This Row],[Campo]]</f>
        <v>cd_imv_out_certifvlr_prd_gnh_invrn_prd_prt</v>
      </c>
      <c r="I422" s="3" t="s">
        <v>477</v>
      </c>
      <c r="J422" s="45">
        <f>VLOOKUP(Table1[[#This Row],[Status]],Auxiliar!$B$16:$C$23,2,0)</f>
        <v>1</v>
      </c>
      <c r="K422" s="3" t="s">
        <v>1137</v>
      </c>
      <c r="L422" s="30" t="s">
        <v>1135</v>
      </c>
      <c r="M422" s="22" t="s">
        <v>1145</v>
      </c>
      <c r="N422" s="53">
        <v>45485</v>
      </c>
      <c r="O422" s="22">
        <f>INDEX(Auxiliar!$D$5:$F$13,MATCH(Table1[[#This Row],[Tipologia_Testes]],Auxiliar!$B$5:$B$13,0),MATCH(Table1[[#This Row],[Complexidade]],Auxiliar!$D$4:$F$4,0))</f>
        <v>2</v>
      </c>
      <c r="P422" s="3" t="s">
        <v>1175</v>
      </c>
      <c r="Q422" s="3"/>
      <c r="R422" s="173">
        <v>45261</v>
      </c>
      <c r="S422" s="173"/>
      <c r="T422" s="173"/>
      <c r="U422" s="173"/>
      <c r="V422" s="173"/>
      <c r="W422" s="3">
        <f>VLOOKUP(Table1[[#This Row],[Status]],Auxiliar!$B$16:$D$23,3,0)*Table1[[#This Row],[Estimação (horas)]]</f>
        <v>2</v>
      </c>
      <c r="X422" s="3"/>
    </row>
    <row r="423" spans="2:24" ht="17.399999999999999" hidden="1">
      <c r="B423" s="3" t="s">
        <v>28</v>
      </c>
      <c r="C423" s="3" t="s">
        <v>54</v>
      </c>
      <c r="D423" s="3" t="s">
        <v>121</v>
      </c>
      <c r="E423" s="3" t="s">
        <v>38</v>
      </c>
      <c r="F423" s="3" t="s">
        <v>120</v>
      </c>
      <c r="G423" s="3" t="s">
        <v>163</v>
      </c>
      <c r="H423" s="63" t="str">
        <f>Table1[[#This Row],[Tabela]]&amp;Table1[[#This Row],[Campo]]</f>
        <v>cd_imv_out_certifvlr_prd_gnh_invrn_prd_prt</v>
      </c>
      <c r="I423" s="3" t="s">
        <v>477</v>
      </c>
      <c r="J423" s="45">
        <f>VLOOKUP(Table1[[#This Row],[Status]],Auxiliar!$B$16:$C$23,2,0)</f>
        <v>1</v>
      </c>
      <c r="K423" s="3" t="s">
        <v>1138</v>
      </c>
      <c r="L423" s="30" t="s">
        <v>1135</v>
      </c>
      <c r="M423" s="22" t="s">
        <v>1145</v>
      </c>
      <c r="N423" s="53">
        <v>45485</v>
      </c>
      <c r="O423" s="22">
        <f>INDEX(Auxiliar!$D$5:$F$13,MATCH(Table1[[#This Row],[Tipologia_Testes]],Auxiliar!$B$5:$B$13,0),MATCH(Table1[[#This Row],[Complexidade]],Auxiliar!$D$4:$F$4,0))</f>
        <v>2</v>
      </c>
      <c r="P423" s="3" t="s">
        <v>1175</v>
      </c>
      <c r="Q423" s="3"/>
      <c r="R423" s="173">
        <v>45261</v>
      </c>
      <c r="S423" s="173"/>
      <c r="T423" s="173"/>
      <c r="U423" s="173"/>
      <c r="V423" s="173"/>
      <c r="W423" s="3">
        <f>VLOOKUP(Table1[[#This Row],[Status]],Auxiliar!$B$16:$D$23,3,0)*Table1[[#This Row],[Estimação (horas)]]</f>
        <v>2</v>
      </c>
      <c r="X423" s="3"/>
    </row>
    <row r="424" spans="2:24" ht="17.399999999999999" hidden="1">
      <c r="B424" s="3" t="s">
        <v>28</v>
      </c>
      <c r="C424" s="3" t="s">
        <v>54</v>
      </c>
      <c r="D424" s="3" t="s">
        <v>121</v>
      </c>
      <c r="E424" s="3" t="s">
        <v>38</v>
      </c>
      <c r="F424" s="3" t="s">
        <v>120</v>
      </c>
      <c r="G424" s="3" t="s">
        <v>163</v>
      </c>
      <c r="H424" s="63" t="str">
        <f>Table1[[#This Row],[Tabela]]&amp;Table1[[#This Row],[Campo]]</f>
        <v>cd_imv_out_certifvlr_prd_gnh_invrn_prd_prt</v>
      </c>
      <c r="I424" s="3" t="s">
        <v>477</v>
      </c>
      <c r="J424" s="45">
        <f>VLOOKUP(Table1[[#This Row],[Status]],Auxiliar!$B$16:$C$23,2,0)</f>
        <v>1</v>
      </c>
      <c r="K424" s="3" t="s">
        <v>1141</v>
      </c>
      <c r="L424" s="30" t="s">
        <v>1135</v>
      </c>
      <c r="M424" s="22" t="s">
        <v>1145</v>
      </c>
      <c r="N424" s="53">
        <v>45485</v>
      </c>
      <c r="O424" s="22">
        <f>INDEX(Auxiliar!$D$5:$F$13,MATCH(Table1[[#This Row],[Tipologia_Testes]],Auxiliar!$B$5:$B$13,0),MATCH(Table1[[#This Row],[Complexidade]],Auxiliar!$D$4:$F$4,0))</f>
        <v>0.1</v>
      </c>
      <c r="P424" s="3" t="s">
        <v>1175</v>
      </c>
      <c r="Q424" s="3"/>
      <c r="R424" s="173">
        <v>45261</v>
      </c>
      <c r="S424" s="173"/>
      <c r="T424" s="173"/>
      <c r="U424" s="173"/>
      <c r="V424" s="173"/>
      <c r="W424" s="3">
        <f>VLOOKUP(Table1[[#This Row],[Status]],Auxiliar!$B$16:$D$23,3,0)*Table1[[#This Row],[Estimação (horas)]]</f>
        <v>0.1</v>
      </c>
      <c r="X424" s="3"/>
    </row>
    <row r="425" spans="2:24" ht="17.399999999999999" hidden="1">
      <c r="B425" s="3" t="s">
        <v>28</v>
      </c>
      <c r="C425" s="3" t="s">
        <v>54</v>
      </c>
      <c r="D425" s="3" t="s">
        <v>121</v>
      </c>
      <c r="E425" s="3" t="s">
        <v>38</v>
      </c>
      <c r="F425" s="3" t="s">
        <v>120</v>
      </c>
      <c r="G425" s="3" t="s">
        <v>164</v>
      </c>
      <c r="H425" s="63" t="str">
        <f>Table1[[#This Row],[Tabela]]&amp;Table1[[#This Row],[Campo]]</f>
        <v>cd_imv_out_certifvlr_prd_gnh_invrn_pvmnt</v>
      </c>
      <c r="I425" s="3" t="s">
        <v>477</v>
      </c>
      <c r="J425" s="45">
        <f>VLOOKUP(Table1[[#This Row],[Status]],Auxiliar!$B$16:$C$23,2,0)</f>
        <v>1</v>
      </c>
      <c r="K425" s="3" t="s">
        <v>1137</v>
      </c>
      <c r="L425" s="30" t="s">
        <v>1135</v>
      </c>
      <c r="M425" s="22" t="s">
        <v>1145</v>
      </c>
      <c r="N425" s="53">
        <v>45485</v>
      </c>
      <c r="O425" s="22">
        <f>INDEX(Auxiliar!$D$5:$F$13,MATCH(Table1[[#This Row],[Tipologia_Testes]],Auxiliar!$B$5:$B$13,0),MATCH(Table1[[#This Row],[Complexidade]],Auxiliar!$D$4:$F$4,0))</f>
        <v>2</v>
      </c>
      <c r="P425" s="3" t="s">
        <v>1175</v>
      </c>
      <c r="Q425" s="3"/>
      <c r="R425" s="173">
        <v>45261</v>
      </c>
      <c r="S425" s="173"/>
      <c r="T425" s="173"/>
      <c r="U425" s="173"/>
      <c r="V425" s="173"/>
      <c r="W425" s="3">
        <f>VLOOKUP(Table1[[#This Row],[Status]],Auxiliar!$B$16:$D$23,3,0)*Table1[[#This Row],[Estimação (horas)]]</f>
        <v>2</v>
      </c>
      <c r="X425" s="3"/>
    </row>
    <row r="426" spans="2:24" ht="17.399999999999999" hidden="1">
      <c r="B426" s="3" t="s">
        <v>28</v>
      </c>
      <c r="C426" s="3" t="s">
        <v>54</v>
      </c>
      <c r="D426" s="3" t="s">
        <v>121</v>
      </c>
      <c r="E426" s="3" t="s">
        <v>38</v>
      </c>
      <c r="F426" s="3" t="s">
        <v>120</v>
      </c>
      <c r="G426" s="3" t="s">
        <v>164</v>
      </c>
      <c r="H426" s="63" t="str">
        <f>Table1[[#This Row],[Tabela]]&amp;Table1[[#This Row],[Campo]]</f>
        <v>cd_imv_out_certifvlr_prd_gnh_invrn_pvmnt</v>
      </c>
      <c r="I426" s="3" t="s">
        <v>477</v>
      </c>
      <c r="J426" s="45">
        <f>VLOOKUP(Table1[[#This Row],[Status]],Auxiliar!$B$16:$C$23,2,0)</f>
        <v>1</v>
      </c>
      <c r="K426" s="3" t="s">
        <v>1138</v>
      </c>
      <c r="L426" s="30" t="s">
        <v>1135</v>
      </c>
      <c r="M426" s="22" t="s">
        <v>1145</v>
      </c>
      <c r="N426" s="53">
        <v>45485</v>
      </c>
      <c r="O426" s="22">
        <f>INDEX(Auxiliar!$D$5:$F$13,MATCH(Table1[[#This Row],[Tipologia_Testes]],Auxiliar!$B$5:$B$13,0),MATCH(Table1[[#This Row],[Complexidade]],Auxiliar!$D$4:$F$4,0))</f>
        <v>2</v>
      </c>
      <c r="P426" s="3" t="s">
        <v>1175</v>
      </c>
      <c r="Q426" s="3"/>
      <c r="R426" s="173">
        <v>45261</v>
      </c>
      <c r="S426" s="173"/>
      <c r="T426" s="173"/>
      <c r="U426" s="173"/>
      <c r="V426" s="173"/>
      <c r="W426" s="3">
        <f>VLOOKUP(Table1[[#This Row],[Status]],Auxiliar!$B$16:$D$23,3,0)*Table1[[#This Row],[Estimação (horas)]]</f>
        <v>2</v>
      </c>
      <c r="X426" s="3"/>
    </row>
    <row r="427" spans="2:24" ht="17.399999999999999" hidden="1">
      <c r="B427" s="3" t="s">
        <v>28</v>
      </c>
      <c r="C427" s="3" t="s">
        <v>54</v>
      </c>
      <c r="D427" s="3" t="s">
        <v>121</v>
      </c>
      <c r="E427" s="3" t="s">
        <v>38</v>
      </c>
      <c r="F427" s="3" t="s">
        <v>120</v>
      </c>
      <c r="G427" s="3" t="s">
        <v>164</v>
      </c>
      <c r="H427" s="63" t="str">
        <f>Table1[[#This Row],[Tabela]]&amp;Table1[[#This Row],[Campo]]</f>
        <v>cd_imv_out_certifvlr_prd_gnh_invrn_pvmnt</v>
      </c>
      <c r="I427" s="3" t="s">
        <v>477</v>
      </c>
      <c r="J427" s="45">
        <f>VLOOKUP(Table1[[#This Row],[Status]],Auxiliar!$B$16:$C$23,2,0)</f>
        <v>1</v>
      </c>
      <c r="K427" s="3" t="s">
        <v>1141</v>
      </c>
      <c r="L427" s="30" t="s">
        <v>1135</v>
      </c>
      <c r="M427" s="22" t="s">
        <v>1145</v>
      </c>
      <c r="N427" s="53">
        <v>45485</v>
      </c>
      <c r="O427" s="22">
        <f>INDEX(Auxiliar!$D$5:$F$13,MATCH(Table1[[#This Row],[Tipologia_Testes]],Auxiliar!$B$5:$B$13,0),MATCH(Table1[[#This Row],[Complexidade]],Auxiliar!$D$4:$F$4,0))</f>
        <v>0.1</v>
      </c>
      <c r="P427" s="3" t="s">
        <v>1175</v>
      </c>
      <c r="Q427" s="3"/>
      <c r="R427" s="173">
        <v>45261</v>
      </c>
      <c r="S427" s="173"/>
      <c r="T427" s="173"/>
      <c r="U427" s="173"/>
      <c r="V427" s="173"/>
      <c r="W427" s="3">
        <f>VLOOKUP(Table1[[#This Row],[Status]],Auxiliar!$B$16:$D$23,3,0)*Table1[[#This Row],[Estimação (horas)]]</f>
        <v>0.1</v>
      </c>
      <c r="X427" s="3"/>
    </row>
    <row r="428" spans="2:24" ht="17.399999999999999" hidden="1">
      <c r="B428" s="3" t="s">
        <v>28</v>
      </c>
      <c r="C428" s="3" t="s">
        <v>54</v>
      </c>
      <c r="D428" s="3" t="s">
        <v>121</v>
      </c>
      <c r="E428" s="3" t="s">
        <v>38</v>
      </c>
      <c r="F428" s="3" t="s">
        <v>120</v>
      </c>
      <c r="G428" s="3" t="s">
        <v>165</v>
      </c>
      <c r="H428" s="63" t="str">
        <f>Table1[[#This Row],[Tabela]]&amp;Table1[[#This Row],[Campo]]</f>
        <v>cd_imv_out_certifvlr_prds_gnhs_invrn_cbrtr</v>
      </c>
      <c r="I428" s="3" t="s">
        <v>477</v>
      </c>
      <c r="J428" s="45">
        <f>VLOOKUP(Table1[[#This Row],[Status]],Auxiliar!$B$16:$C$23,2,0)</f>
        <v>1</v>
      </c>
      <c r="K428" s="3" t="s">
        <v>1137</v>
      </c>
      <c r="L428" s="30" t="s">
        <v>1135</v>
      </c>
      <c r="M428" s="22" t="s">
        <v>1145</v>
      </c>
      <c r="N428" s="53">
        <v>45485</v>
      </c>
      <c r="O428" s="22">
        <f>INDEX(Auxiliar!$D$5:$F$13,MATCH(Table1[[#This Row],[Tipologia_Testes]],Auxiliar!$B$5:$B$13,0),MATCH(Table1[[#This Row],[Complexidade]],Auxiliar!$D$4:$F$4,0))</f>
        <v>2</v>
      </c>
      <c r="P428" s="3" t="s">
        <v>1175</v>
      </c>
      <c r="Q428" s="3"/>
      <c r="R428" s="173">
        <v>45261</v>
      </c>
      <c r="S428" s="173"/>
      <c r="T428" s="173"/>
      <c r="U428" s="173"/>
      <c r="V428" s="173"/>
      <c r="W428" s="3">
        <f>VLOOKUP(Table1[[#This Row],[Status]],Auxiliar!$B$16:$D$23,3,0)*Table1[[#This Row],[Estimação (horas)]]</f>
        <v>2</v>
      </c>
      <c r="X428" s="3"/>
    </row>
    <row r="429" spans="2:24" ht="17.399999999999999" hidden="1">
      <c r="B429" s="3" t="s">
        <v>28</v>
      </c>
      <c r="C429" s="3" t="s">
        <v>54</v>
      </c>
      <c r="D429" s="3" t="s">
        <v>121</v>
      </c>
      <c r="E429" s="3" t="s">
        <v>38</v>
      </c>
      <c r="F429" s="3" t="s">
        <v>120</v>
      </c>
      <c r="G429" s="3" t="s">
        <v>165</v>
      </c>
      <c r="H429" s="63" t="str">
        <f>Table1[[#This Row],[Tabela]]&amp;Table1[[#This Row],[Campo]]</f>
        <v>cd_imv_out_certifvlr_prds_gnhs_invrn_cbrtr</v>
      </c>
      <c r="I429" s="3" t="s">
        <v>477</v>
      </c>
      <c r="J429" s="45">
        <f>VLOOKUP(Table1[[#This Row],[Status]],Auxiliar!$B$16:$C$23,2,0)</f>
        <v>1</v>
      </c>
      <c r="K429" s="3" t="s">
        <v>1138</v>
      </c>
      <c r="L429" s="30" t="s">
        <v>1135</v>
      </c>
      <c r="M429" s="22" t="s">
        <v>1145</v>
      </c>
      <c r="N429" s="53">
        <v>45485</v>
      </c>
      <c r="O429" s="22">
        <f>INDEX(Auxiliar!$D$5:$F$13,MATCH(Table1[[#This Row],[Tipologia_Testes]],Auxiliar!$B$5:$B$13,0),MATCH(Table1[[#This Row],[Complexidade]],Auxiliar!$D$4:$F$4,0))</f>
        <v>2</v>
      </c>
      <c r="P429" s="3" t="s">
        <v>1175</v>
      </c>
      <c r="Q429" s="3"/>
      <c r="R429" s="173">
        <v>45261</v>
      </c>
      <c r="S429" s="173"/>
      <c r="T429" s="173"/>
      <c r="U429" s="173"/>
      <c r="V429" s="173"/>
      <c r="W429" s="3">
        <f>VLOOKUP(Table1[[#This Row],[Status]],Auxiliar!$B$16:$D$23,3,0)*Table1[[#This Row],[Estimação (horas)]]</f>
        <v>2</v>
      </c>
      <c r="X429" s="3"/>
    </row>
    <row r="430" spans="2:24" ht="17.399999999999999" hidden="1">
      <c r="B430" s="3" t="s">
        <v>28</v>
      </c>
      <c r="C430" s="3" t="s">
        <v>54</v>
      </c>
      <c r="D430" s="3" t="s">
        <v>121</v>
      </c>
      <c r="E430" s="3" t="s">
        <v>38</v>
      </c>
      <c r="F430" s="3" t="s">
        <v>120</v>
      </c>
      <c r="G430" s="3" t="s">
        <v>165</v>
      </c>
      <c r="H430" s="63" t="str">
        <f>Table1[[#This Row],[Tabela]]&amp;Table1[[#This Row],[Campo]]</f>
        <v>cd_imv_out_certifvlr_prds_gnhs_invrn_cbrtr</v>
      </c>
      <c r="I430" s="3" t="s">
        <v>477</v>
      </c>
      <c r="J430" s="45">
        <f>VLOOKUP(Table1[[#This Row],[Status]],Auxiliar!$B$16:$C$23,2,0)</f>
        <v>1</v>
      </c>
      <c r="K430" s="3" t="s">
        <v>1141</v>
      </c>
      <c r="L430" s="30" t="s">
        <v>1135</v>
      </c>
      <c r="M430" s="22" t="s">
        <v>1145</v>
      </c>
      <c r="N430" s="53">
        <v>45485</v>
      </c>
      <c r="O430" s="22">
        <f>INDEX(Auxiliar!$D$5:$F$13,MATCH(Table1[[#This Row],[Tipologia_Testes]],Auxiliar!$B$5:$B$13,0),MATCH(Table1[[#This Row],[Complexidade]],Auxiliar!$D$4:$F$4,0))</f>
        <v>0.1</v>
      </c>
      <c r="P430" s="3" t="s">
        <v>1175</v>
      </c>
      <c r="Q430" s="3"/>
      <c r="R430" s="173">
        <v>45261</v>
      </c>
      <c r="S430" s="173"/>
      <c r="T430" s="173"/>
      <c r="U430" s="173"/>
      <c r="V430" s="173"/>
      <c r="W430" s="3">
        <f>VLOOKUP(Table1[[#This Row],[Status]],Auxiliar!$B$16:$D$23,3,0)*Table1[[#This Row],[Estimação (horas)]]</f>
        <v>0.1</v>
      </c>
      <c r="X430" s="3"/>
    </row>
    <row r="431" spans="2:24" ht="17.399999999999999" hidden="1">
      <c r="B431" s="3" t="s">
        <v>28</v>
      </c>
      <c r="C431" s="3" t="s">
        <v>54</v>
      </c>
      <c r="D431" s="3" t="s">
        <v>121</v>
      </c>
      <c r="E431" s="3" t="s">
        <v>38</v>
      </c>
      <c r="F431" s="3" t="s">
        <v>120</v>
      </c>
      <c r="G431" s="3" t="s">
        <v>166</v>
      </c>
      <c r="H431" s="63" t="str">
        <f>Table1[[#This Row],[Tabela]]&amp;Table1[[#This Row],[Campo]]</f>
        <v>cd_imv_out_certifvlr_prds_gnhs_invrn_jnl</v>
      </c>
      <c r="I431" s="3" t="s">
        <v>477</v>
      </c>
      <c r="J431" s="45">
        <f>VLOOKUP(Table1[[#This Row],[Status]],Auxiliar!$B$16:$C$23,2,0)</f>
        <v>1</v>
      </c>
      <c r="K431" s="3" t="s">
        <v>1137</v>
      </c>
      <c r="L431" s="30" t="s">
        <v>1135</v>
      </c>
      <c r="M431" s="22" t="s">
        <v>1145</v>
      </c>
      <c r="N431" s="53">
        <v>45485</v>
      </c>
      <c r="O431" s="22">
        <f>INDEX(Auxiliar!$D$5:$F$13,MATCH(Table1[[#This Row],[Tipologia_Testes]],Auxiliar!$B$5:$B$13,0),MATCH(Table1[[#This Row],[Complexidade]],Auxiliar!$D$4:$F$4,0))</f>
        <v>2</v>
      </c>
      <c r="P431" s="3" t="s">
        <v>1175</v>
      </c>
      <c r="Q431" s="3"/>
      <c r="R431" s="173">
        <v>45261</v>
      </c>
      <c r="S431" s="173"/>
      <c r="T431" s="173"/>
      <c r="U431" s="173"/>
      <c r="V431" s="173"/>
      <c r="W431" s="3">
        <f>VLOOKUP(Table1[[#This Row],[Status]],Auxiliar!$B$16:$D$23,3,0)*Table1[[#This Row],[Estimação (horas)]]</f>
        <v>2</v>
      </c>
      <c r="X431" s="3"/>
    </row>
    <row r="432" spans="2:24" ht="17.399999999999999" hidden="1">
      <c r="B432" s="3" t="s">
        <v>28</v>
      </c>
      <c r="C432" s="3" t="s">
        <v>54</v>
      </c>
      <c r="D432" s="3" t="s">
        <v>121</v>
      </c>
      <c r="E432" s="3" t="s">
        <v>38</v>
      </c>
      <c r="F432" s="3" t="s">
        <v>120</v>
      </c>
      <c r="G432" s="3" t="s">
        <v>166</v>
      </c>
      <c r="H432" s="63" t="str">
        <f>Table1[[#This Row],[Tabela]]&amp;Table1[[#This Row],[Campo]]</f>
        <v>cd_imv_out_certifvlr_prds_gnhs_invrn_jnl</v>
      </c>
      <c r="I432" s="3" t="s">
        <v>477</v>
      </c>
      <c r="J432" s="45">
        <f>VLOOKUP(Table1[[#This Row],[Status]],Auxiliar!$B$16:$C$23,2,0)</f>
        <v>1</v>
      </c>
      <c r="K432" s="3" t="s">
        <v>1138</v>
      </c>
      <c r="L432" s="30" t="s">
        <v>1135</v>
      </c>
      <c r="M432" s="22" t="s">
        <v>1145</v>
      </c>
      <c r="N432" s="53">
        <v>45485</v>
      </c>
      <c r="O432" s="22">
        <f>INDEX(Auxiliar!$D$5:$F$13,MATCH(Table1[[#This Row],[Tipologia_Testes]],Auxiliar!$B$5:$B$13,0),MATCH(Table1[[#This Row],[Complexidade]],Auxiliar!$D$4:$F$4,0))</f>
        <v>2</v>
      </c>
      <c r="P432" s="3" t="s">
        <v>1175</v>
      </c>
      <c r="Q432" s="3"/>
      <c r="R432" s="173">
        <v>45261</v>
      </c>
      <c r="S432" s="173"/>
      <c r="T432" s="173"/>
      <c r="U432" s="173"/>
      <c r="V432" s="173"/>
      <c r="W432" s="3">
        <f>VLOOKUP(Table1[[#This Row],[Status]],Auxiliar!$B$16:$D$23,3,0)*Table1[[#This Row],[Estimação (horas)]]</f>
        <v>2</v>
      </c>
      <c r="X432" s="3"/>
    </row>
    <row r="433" spans="2:24" ht="17.399999999999999" hidden="1">
      <c r="B433" s="3" t="s">
        <v>28</v>
      </c>
      <c r="C433" s="3" t="s">
        <v>54</v>
      </c>
      <c r="D433" s="3" t="s">
        <v>121</v>
      </c>
      <c r="E433" s="3" t="s">
        <v>38</v>
      </c>
      <c r="F433" s="3" t="s">
        <v>120</v>
      </c>
      <c r="G433" s="3" t="s">
        <v>166</v>
      </c>
      <c r="H433" s="63" t="str">
        <f>Table1[[#This Row],[Tabela]]&amp;Table1[[#This Row],[Campo]]</f>
        <v>cd_imv_out_certifvlr_prds_gnhs_invrn_jnl</v>
      </c>
      <c r="I433" s="3" t="s">
        <v>477</v>
      </c>
      <c r="J433" s="45">
        <f>VLOOKUP(Table1[[#This Row],[Status]],Auxiliar!$B$16:$C$23,2,0)</f>
        <v>1</v>
      </c>
      <c r="K433" s="3" t="s">
        <v>1141</v>
      </c>
      <c r="L433" s="30" t="s">
        <v>1135</v>
      </c>
      <c r="M433" s="22" t="s">
        <v>1145</v>
      </c>
      <c r="N433" s="53">
        <v>45485</v>
      </c>
      <c r="O433" s="22">
        <f>INDEX(Auxiliar!$D$5:$F$13,MATCH(Table1[[#This Row],[Tipologia_Testes]],Auxiliar!$B$5:$B$13,0),MATCH(Table1[[#This Row],[Complexidade]],Auxiliar!$D$4:$F$4,0))</f>
        <v>0.1</v>
      </c>
      <c r="P433" s="3" t="s">
        <v>1175</v>
      </c>
      <c r="Q433" s="3"/>
      <c r="R433" s="173">
        <v>45261</v>
      </c>
      <c r="S433" s="173"/>
      <c r="T433" s="173"/>
      <c r="U433" s="173"/>
      <c r="V433" s="173"/>
      <c r="W433" s="3">
        <f>VLOOKUP(Table1[[#This Row],[Status]],Auxiliar!$B$16:$D$23,3,0)*Table1[[#This Row],[Estimação (horas)]]</f>
        <v>0.1</v>
      </c>
      <c r="X433" s="3"/>
    </row>
    <row r="434" spans="2:24" ht="17.399999999999999" hidden="1">
      <c r="B434" s="3" t="s">
        <v>28</v>
      </c>
      <c r="C434" s="3" t="s">
        <v>54</v>
      </c>
      <c r="D434" s="3" t="s">
        <v>121</v>
      </c>
      <c r="E434" s="3" t="s">
        <v>38</v>
      </c>
      <c r="F434" s="3" t="s">
        <v>120</v>
      </c>
      <c r="G434" s="3" t="s">
        <v>167</v>
      </c>
      <c r="H434" s="63" t="str">
        <f>Table1[[#This Row],[Tabela]]&amp;Table1[[#This Row],[Campo]]</f>
        <v>cd_imv_out_certifvlr_prds_gnhs_invrn_rfc</v>
      </c>
      <c r="I434" s="3" t="s">
        <v>477</v>
      </c>
      <c r="J434" s="45">
        <f>VLOOKUP(Table1[[#This Row],[Status]],Auxiliar!$B$16:$C$23,2,0)</f>
        <v>1</v>
      </c>
      <c r="K434" s="3" t="s">
        <v>1137</v>
      </c>
      <c r="L434" s="30" t="s">
        <v>1135</v>
      </c>
      <c r="M434" s="22" t="s">
        <v>1145</v>
      </c>
      <c r="N434" s="53">
        <v>45485</v>
      </c>
      <c r="O434" s="22">
        <f>INDEX(Auxiliar!$D$5:$F$13,MATCH(Table1[[#This Row],[Tipologia_Testes]],Auxiliar!$B$5:$B$13,0),MATCH(Table1[[#This Row],[Complexidade]],Auxiliar!$D$4:$F$4,0))</f>
        <v>2</v>
      </c>
      <c r="P434" s="3" t="s">
        <v>1175</v>
      </c>
      <c r="Q434" s="3"/>
      <c r="R434" s="173">
        <v>45261</v>
      </c>
      <c r="S434" s="173"/>
      <c r="T434" s="173"/>
      <c r="U434" s="173"/>
      <c r="V434" s="173"/>
      <c r="W434" s="3">
        <f>VLOOKUP(Table1[[#This Row],[Status]],Auxiliar!$B$16:$D$23,3,0)*Table1[[#This Row],[Estimação (horas)]]</f>
        <v>2</v>
      </c>
      <c r="X434" s="3"/>
    </row>
    <row r="435" spans="2:24" ht="17.399999999999999" hidden="1">
      <c r="B435" s="3" t="s">
        <v>28</v>
      </c>
      <c r="C435" s="3" t="s">
        <v>54</v>
      </c>
      <c r="D435" s="3" t="s">
        <v>121</v>
      </c>
      <c r="E435" s="3" t="s">
        <v>38</v>
      </c>
      <c r="F435" s="3" t="s">
        <v>120</v>
      </c>
      <c r="G435" s="3" t="s">
        <v>167</v>
      </c>
      <c r="H435" s="63" t="str">
        <f>Table1[[#This Row],[Tabela]]&amp;Table1[[#This Row],[Campo]]</f>
        <v>cd_imv_out_certifvlr_prds_gnhs_invrn_rfc</v>
      </c>
      <c r="I435" s="3" t="s">
        <v>477</v>
      </c>
      <c r="J435" s="45">
        <f>VLOOKUP(Table1[[#This Row],[Status]],Auxiliar!$B$16:$C$23,2,0)</f>
        <v>1</v>
      </c>
      <c r="K435" s="3" t="s">
        <v>1138</v>
      </c>
      <c r="L435" s="30" t="s">
        <v>1135</v>
      </c>
      <c r="M435" s="22" t="s">
        <v>1145</v>
      </c>
      <c r="N435" s="53">
        <v>45485</v>
      </c>
      <c r="O435" s="22">
        <f>INDEX(Auxiliar!$D$5:$F$13,MATCH(Table1[[#This Row],[Tipologia_Testes]],Auxiliar!$B$5:$B$13,0),MATCH(Table1[[#This Row],[Complexidade]],Auxiliar!$D$4:$F$4,0))</f>
        <v>2</v>
      </c>
      <c r="P435" s="3" t="s">
        <v>1175</v>
      </c>
      <c r="Q435" s="3"/>
      <c r="R435" s="173">
        <v>45261</v>
      </c>
      <c r="S435" s="173"/>
      <c r="T435" s="173"/>
      <c r="U435" s="173"/>
      <c r="V435" s="173"/>
      <c r="W435" s="3">
        <f>VLOOKUP(Table1[[#This Row],[Status]],Auxiliar!$B$16:$D$23,3,0)*Table1[[#This Row],[Estimação (horas)]]</f>
        <v>2</v>
      </c>
      <c r="X435" s="3"/>
    </row>
    <row r="436" spans="2:24" ht="17.399999999999999" hidden="1">
      <c r="B436" s="3" t="s">
        <v>28</v>
      </c>
      <c r="C436" s="3" t="s">
        <v>54</v>
      </c>
      <c r="D436" s="3" t="s">
        <v>121</v>
      </c>
      <c r="E436" s="3" t="s">
        <v>38</v>
      </c>
      <c r="F436" s="3" t="s">
        <v>120</v>
      </c>
      <c r="G436" s="3" t="s">
        <v>167</v>
      </c>
      <c r="H436" s="63" t="str">
        <f>Table1[[#This Row],[Tabela]]&amp;Table1[[#This Row],[Campo]]</f>
        <v>cd_imv_out_certifvlr_prds_gnhs_invrn_rfc</v>
      </c>
      <c r="I436" s="3" t="s">
        <v>477</v>
      </c>
      <c r="J436" s="45">
        <f>VLOOKUP(Table1[[#This Row],[Status]],Auxiliar!$B$16:$C$23,2,0)</f>
        <v>1</v>
      </c>
      <c r="K436" s="3" t="s">
        <v>1141</v>
      </c>
      <c r="L436" s="30" t="s">
        <v>1135</v>
      </c>
      <c r="M436" s="22" t="s">
        <v>1145</v>
      </c>
      <c r="N436" s="53">
        <v>45485</v>
      </c>
      <c r="O436" s="22">
        <f>INDEX(Auxiliar!$D$5:$F$13,MATCH(Table1[[#This Row],[Tipologia_Testes]],Auxiliar!$B$5:$B$13,0),MATCH(Table1[[#This Row],[Complexidade]],Auxiliar!$D$4:$F$4,0))</f>
        <v>0.1</v>
      </c>
      <c r="P436" s="3" t="s">
        <v>1175</v>
      </c>
      <c r="Q436" s="3"/>
      <c r="R436" s="173">
        <v>45261</v>
      </c>
      <c r="S436" s="173"/>
      <c r="T436" s="173"/>
      <c r="U436" s="173"/>
      <c r="V436" s="173"/>
      <c r="W436" s="3">
        <f>VLOOKUP(Table1[[#This Row],[Status]],Auxiliar!$B$16:$D$23,3,0)*Table1[[#This Row],[Estimação (horas)]]</f>
        <v>0.1</v>
      </c>
      <c r="X436" s="3"/>
    </row>
    <row r="437" spans="2:24" ht="17.399999999999999" hidden="1">
      <c r="B437" s="3" t="s">
        <v>28</v>
      </c>
      <c r="C437" s="3" t="s">
        <v>54</v>
      </c>
      <c r="D437" s="3" t="s">
        <v>121</v>
      </c>
      <c r="E437" s="3" t="s">
        <v>38</v>
      </c>
      <c r="F437" s="3" t="s">
        <v>120</v>
      </c>
      <c r="G437" s="3" t="s">
        <v>168</v>
      </c>
      <c r="H437" s="63" t="str">
        <f>Table1[[#This Row],[Tabela]]&amp;Table1[[#This Row],[Campo]]</f>
        <v>cd_imv_out_certifvlr_prds_gnhs_invrn_vntnh</v>
      </c>
      <c r="I437" s="3" t="s">
        <v>477</v>
      </c>
      <c r="J437" s="45">
        <f>VLOOKUP(Table1[[#This Row],[Status]],Auxiliar!$B$16:$C$23,2,0)</f>
        <v>1</v>
      </c>
      <c r="K437" s="3" t="s">
        <v>1137</v>
      </c>
      <c r="L437" s="30" t="s">
        <v>1135</v>
      </c>
      <c r="M437" s="22" t="s">
        <v>1145</v>
      </c>
      <c r="N437" s="53">
        <v>45485</v>
      </c>
      <c r="O437" s="22">
        <f>INDEX(Auxiliar!$D$5:$F$13,MATCH(Table1[[#This Row],[Tipologia_Testes]],Auxiliar!$B$5:$B$13,0),MATCH(Table1[[#This Row],[Complexidade]],Auxiliar!$D$4:$F$4,0))</f>
        <v>2</v>
      </c>
      <c r="P437" s="3" t="s">
        <v>1175</v>
      </c>
      <c r="Q437" s="3"/>
      <c r="R437" s="173">
        <v>45261</v>
      </c>
      <c r="S437" s="173"/>
      <c r="T437" s="173"/>
      <c r="U437" s="173"/>
      <c r="V437" s="173"/>
      <c r="W437" s="3">
        <f>VLOOKUP(Table1[[#This Row],[Status]],Auxiliar!$B$16:$D$23,3,0)*Table1[[#This Row],[Estimação (horas)]]</f>
        <v>2</v>
      </c>
      <c r="X437" s="3"/>
    </row>
    <row r="438" spans="2:24" ht="17.399999999999999" hidden="1">
      <c r="B438" s="3" t="s">
        <v>28</v>
      </c>
      <c r="C438" s="3" t="s">
        <v>54</v>
      </c>
      <c r="D438" s="3" t="s">
        <v>121</v>
      </c>
      <c r="E438" s="3" t="s">
        <v>38</v>
      </c>
      <c r="F438" s="3" t="s">
        <v>120</v>
      </c>
      <c r="G438" s="3" t="s">
        <v>168</v>
      </c>
      <c r="H438" s="63" t="str">
        <f>Table1[[#This Row],[Tabela]]&amp;Table1[[#This Row],[Campo]]</f>
        <v>cd_imv_out_certifvlr_prds_gnhs_invrn_vntnh</v>
      </c>
      <c r="I438" s="3" t="s">
        <v>477</v>
      </c>
      <c r="J438" s="45">
        <f>VLOOKUP(Table1[[#This Row],[Status]],Auxiliar!$B$16:$C$23,2,0)</f>
        <v>1</v>
      </c>
      <c r="K438" s="3" t="s">
        <v>1138</v>
      </c>
      <c r="L438" s="30" t="s">
        <v>1135</v>
      </c>
      <c r="M438" s="22" t="s">
        <v>1145</v>
      </c>
      <c r="N438" s="53">
        <v>45485</v>
      </c>
      <c r="O438" s="22">
        <f>INDEX(Auxiliar!$D$5:$F$13,MATCH(Table1[[#This Row],[Tipologia_Testes]],Auxiliar!$B$5:$B$13,0),MATCH(Table1[[#This Row],[Complexidade]],Auxiliar!$D$4:$F$4,0))</f>
        <v>2</v>
      </c>
      <c r="P438" s="3" t="s">
        <v>1175</v>
      </c>
      <c r="Q438" s="3"/>
      <c r="R438" s="173">
        <v>45261</v>
      </c>
      <c r="S438" s="173"/>
      <c r="T438" s="173"/>
      <c r="U438" s="173"/>
      <c r="V438" s="173"/>
      <c r="W438" s="3">
        <f>VLOOKUP(Table1[[#This Row],[Status]],Auxiliar!$B$16:$D$23,3,0)*Table1[[#This Row],[Estimação (horas)]]</f>
        <v>2</v>
      </c>
      <c r="X438" s="3"/>
    </row>
    <row r="439" spans="2:24" ht="17.399999999999999" hidden="1">
      <c r="B439" s="3" t="s">
        <v>28</v>
      </c>
      <c r="C439" s="3" t="s">
        <v>54</v>
      </c>
      <c r="D439" s="3" t="s">
        <v>121</v>
      </c>
      <c r="E439" s="3" t="s">
        <v>38</v>
      </c>
      <c r="F439" s="3" t="s">
        <v>120</v>
      </c>
      <c r="G439" s="3" t="s">
        <v>168</v>
      </c>
      <c r="H439" s="63" t="str">
        <f>Table1[[#This Row],[Tabela]]&amp;Table1[[#This Row],[Campo]]</f>
        <v>cd_imv_out_certifvlr_prds_gnhs_invrn_vntnh</v>
      </c>
      <c r="I439" s="3" t="s">
        <v>477</v>
      </c>
      <c r="J439" s="45">
        <f>VLOOKUP(Table1[[#This Row],[Status]],Auxiliar!$B$16:$C$23,2,0)</f>
        <v>1</v>
      </c>
      <c r="K439" s="3" t="s">
        <v>1141</v>
      </c>
      <c r="L439" s="30" t="s">
        <v>1135</v>
      </c>
      <c r="M439" s="22" t="s">
        <v>1145</v>
      </c>
      <c r="N439" s="53">
        <v>45485</v>
      </c>
      <c r="O439" s="22">
        <f>INDEX(Auxiliar!$D$5:$F$13,MATCH(Table1[[#This Row],[Tipologia_Testes]],Auxiliar!$B$5:$B$13,0),MATCH(Table1[[#This Row],[Complexidade]],Auxiliar!$D$4:$F$4,0))</f>
        <v>0.1</v>
      </c>
      <c r="P439" s="3" t="s">
        <v>1175</v>
      </c>
      <c r="Q439" s="3"/>
      <c r="R439" s="173">
        <v>45261</v>
      </c>
      <c r="S439" s="173"/>
      <c r="T439" s="173"/>
      <c r="U439" s="173"/>
      <c r="V439" s="173"/>
      <c r="W439" s="3">
        <f>VLOOKUP(Table1[[#This Row],[Status]],Auxiliar!$B$16:$D$23,3,0)*Table1[[#This Row],[Estimação (horas)]]</f>
        <v>0.1</v>
      </c>
      <c r="X439" s="3"/>
    </row>
    <row r="440" spans="2:24" ht="17.399999999999999" hidden="1">
      <c r="B440" s="3" t="s">
        <v>28</v>
      </c>
      <c r="C440" s="3" t="s">
        <v>54</v>
      </c>
      <c r="D440" s="3" t="s">
        <v>121</v>
      </c>
      <c r="E440" s="3" t="s">
        <v>38</v>
      </c>
      <c r="F440" s="3" t="s">
        <v>120</v>
      </c>
      <c r="G440" s="3" t="s">
        <v>169</v>
      </c>
      <c r="H440" s="63" t="str">
        <f>Table1[[#This Row],[Tabela]]&amp;Table1[[#This Row],[Campo]]</f>
        <v>cd_imv_out_certifvlr_prds_gnhs_vr_cbrtr</v>
      </c>
      <c r="I440" s="3" t="s">
        <v>477</v>
      </c>
      <c r="J440" s="45">
        <f>VLOOKUP(Table1[[#This Row],[Status]],Auxiliar!$B$16:$C$23,2,0)</f>
        <v>1</v>
      </c>
      <c r="K440" s="3" t="s">
        <v>1137</v>
      </c>
      <c r="L440" s="30" t="s">
        <v>1135</v>
      </c>
      <c r="M440" s="22" t="s">
        <v>1145</v>
      </c>
      <c r="N440" s="53">
        <v>45485</v>
      </c>
      <c r="O440" s="22">
        <f>INDEX(Auxiliar!$D$5:$F$13,MATCH(Table1[[#This Row],[Tipologia_Testes]],Auxiliar!$B$5:$B$13,0),MATCH(Table1[[#This Row],[Complexidade]],Auxiliar!$D$4:$F$4,0))</f>
        <v>2</v>
      </c>
      <c r="P440" s="3" t="s">
        <v>1175</v>
      </c>
      <c r="Q440" s="3"/>
      <c r="R440" s="173">
        <v>45261</v>
      </c>
      <c r="S440" s="173"/>
      <c r="T440" s="173"/>
      <c r="U440" s="173"/>
      <c r="V440" s="173"/>
      <c r="W440" s="3">
        <f>VLOOKUP(Table1[[#This Row],[Status]],Auxiliar!$B$16:$D$23,3,0)*Table1[[#This Row],[Estimação (horas)]]</f>
        <v>2</v>
      </c>
      <c r="X440" s="3"/>
    </row>
    <row r="441" spans="2:24" ht="17.399999999999999" hidden="1">
      <c r="B441" s="3" t="s">
        <v>28</v>
      </c>
      <c r="C441" s="3" t="s">
        <v>54</v>
      </c>
      <c r="D441" s="3" t="s">
        <v>121</v>
      </c>
      <c r="E441" s="3" t="s">
        <v>38</v>
      </c>
      <c r="F441" s="3" t="s">
        <v>120</v>
      </c>
      <c r="G441" s="3" t="s">
        <v>169</v>
      </c>
      <c r="H441" s="63" t="str">
        <f>Table1[[#This Row],[Tabela]]&amp;Table1[[#This Row],[Campo]]</f>
        <v>cd_imv_out_certifvlr_prds_gnhs_vr_cbrtr</v>
      </c>
      <c r="I441" s="3" t="s">
        <v>477</v>
      </c>
      <c r="J441" s="45">
        <f>VLOOKUP(Table1[[#This Row],[Status]],Auxiliar!$B$16:$C$23,2,0)</f>
        <v>1</v>
      </c>
      <c r="K441" s="3" t="s">
        <v>1138</v>
      </c>
      <c r="L441" s="30" t="s">
        <v>1135</v>
      </c>
      <c r="M441" s="22" t="s">
        <v>1145</v>
      </c>
      <c r="N441" s="53">
        <v>45485</v>
      </c>
      <c r="O441" s="22">
        <f>INDEX(Auxiliar!$D$5:$F$13,MATCH(Table1[[#This Row],[Tipologia_Testes]],Auxiliar!$B$5:$B$13,0),MATCH(Table1[[#This Row],[Complexidade]],Auxiliar!$D$4:$F$4,0))</f>
        <v>2</v>
      </c>
      <c r="P441" s="3" t="s">
        <v>1175</v>
      </c>
      <c r="Q441" s="3"/>
      <c r="R441" s="173">
        <v>45261</v>
      </c>
      <c r="S441" s="173"/>
      <c r="T441" s="173"/>
      <c r="U441" s="173"/>
      <c r="V441" s="173"/>
      <c r="W441" s="3">
        <f>VLOOKUP(Table1[[#This Row],[Status]],Auxiliar!$B$16:$D$23,3,0)*Table1[[#This Row],[Estimação (horas)]]</f>
        <v>2</v>
      </c>
      <c r="X441" s="3"/>
    </row>
    <row r="442" spans="2:24" ht="17.399999999999999" hidden="1">
      <c r="B442" s="3" t="s">
        <v>28</v>
      </c>
      <c r="C442" s="3" t="s">
        <v>54</v>
      </c>
      <c r="D442" s="3" t="s">
        <v>121</v>
      </c>
      <c r="E442" s="3" t="s">
        <v>38</v>
      </c>
      <c r="F442" s="3" t="s">
        <v>120</v>
      </c>
      <c r="G442" s="3" t="s">
        <v>169</v>
      </c>
      <c r="H442" s="63" t="str">
        <f>Table1[[#This Row],[Tabela]]&amp;Table1[[#This Row],[Campo]]</f>
        <v>cd_imv_out_certifvlr_prds_gnhs_vr_cbrtr</v>
      </c>
      <c r="I442" s="3" t="s">
        <v>477</v>
      </c>
      <c r="J442" s="45">
        <f>VLOOKUP(Table1[[#This Row],[Status]],Auxiliar!$B$16:$C$23,2,0)</f>
        <v>1</v>
      </c>
      <c r="K442" s="3" t="s">
        <v>1141</v>
      </c>
      <c r="L442" s="30" t="s">
        <v>1135</v>
      </c>
      <c r="M442" s="22" t="s">
        <v>1145</v>
      </c>
      <c r="N442" s="53">
        <v>45485</v>
      </c>
      <c r="O442" s="22">
        <f>INDEX(Auxiliar!$D$5:$F$13,MATCH(Table1[[#This Row],[Tipologia_Testes]],Auxiliar!$B$5:$B$13,0),MATCH(Table1[[#This Row],[Complexidade]],Auxiliar!$D$4:$F$4,0))</f>
        <v>0.1</v>
      </c>
      <c r="P442" s="3" t="s">
        <v>1175</v>
      </c>
      <c r="Q442" s="3"/>
      <c r="R442" s="173">
        <v>45261</v>
      </c>
      <c r="S442" s="173"/>
      <c r="T442" s="173"/>
      <c r="U442" s="173"/>
      <c r="V442" s="173"/>
      <c r="W442" s="3">
        <f>VLOOKUP(Table1[[#This Row],[Status]],Auxiliar!$B$16:$D$23,3,0)*Table1[[#This Row],[Estimação (horas)]]</f>
        <v>0.1</v>
      </c>
      <c r="X442" s="3"/>
    </row>
    <row r="443" spans="2:24" ht="17.399999999999999" hidden="1">
      <c r="B443" s="3" t="s">
        <v>28</v>
      </c>
      <c r="C443" s="3" t="s">
        <v>54</v>
      </c>
      <c r="D443" s="3" t="s">
        <v>121</v>
      </c>
      <c r="E443" s="3" t="s">
        <v>38</v>
      </c>
      <c r="F443" s="3" t="s">
        <v>120</v>
      </c>
      <c r="G443" s="3" t="s">
        <v>170</v>
      </c>
      <c r="H443" s="63" t="str">
        <f>Table1[[#This Row],[Tabela]]&amp;Table1[[#This Row],[Campo]]</f>
        <v>cd_imv_out_certifvlr_prds_gnhs_vr_jnl</v>
      </c>
      <c r="I443" s="3" t="s">
        <v>477</v>
      </c>
      <c r="J443" s="45">
        <f>VLOOKUP(Table1[[#This Row],[Status]],Auxiliar!$B$16:$C$23,2,0)</f>
        <v>1</v>
      </c>
      <c r="K443" s="3" t="s">
        <v>1137</v>
      </c>
      <c r="L443" s="30" t="s">
        <v>1135</v>
      </c>
      <c r="M443" s="22" t="s">
        <v>1145</v>
      </c>
      <c r="N443" s="53">
        <v>45485</v>
      </c>
      <c r="O443" s="22">
        <f>INDEX(Auxiliar!$D$5:$F$13,MATCH(Table1[[#This Row],[Tipologia_Testes]],Auxiliar!$B$5:$B$13,0),MATCH(Table1[[#This Row],[Complexidade]],Auxiliar!$D$4:$F$4,0))</f>
        <v>2</v>
      </c>
      <c r="P443" s="3" t="s">
        <v>1175</v>
      </c>
      <c r="Q443" s="3"/>
      <c r="R443" s="173">
        <v>45261</v>
      </c>
      <c r="S443" s="173"/>
      <c r="T443" s="173"/>
      <c r="U443" s="173"/>
      <c r="V443" s="173"/>
      <c r="W443" s="3">
        <f>VLOOKUP(Table1[[#This Row],[Status]],Auxiliar!$B$16:$D$23,3,0)*Table1[[#This Row],[Estimação (horas)]]</f>
        <v>2</v>
      </c>
      <c r="X443" s="3"/>
    </row>
    <row r="444" spans="2:24" ht="17.399999999999999" hidden="1">
      <c r="B444" s="3" t="s">
        <v>28</v>
      </c>
      <c r="C444" s="3" t="s">
        <v>54</v>
      </c>
      <c r="D444" s="3" t="s">
        <v>121</v>
      </c>
      <c r="E444" s="3" t="s">
        <v>38</v>
      </c>
      <c r="F444" s="3" t="s">
        <v>120</v>
      </c>
      <c r="G444" s="3" t="s">
        <v>170</v>
      </c>
      <c r="H444" s="63" t="str">
        <f>Table1[[#This Row],[Tabela]]&amp;Table1[[#This Row],[Campo]]</f>
        <v>cd_imv_out_certifvlr_prds_gnhs_vr_jnl</v>
      </c>
      <c r="I444" s="3" t="s">
        <v>477</v>
      </c>
      <c r="J444" s="45">
        <f>VLOOKUP(Table1[[#This Row],[Status]],Auxiliar!$B$16:$C$23,2,0)</f>
        <v>1</v>
      </c>
      <c r="K444" s="3" t="s">
        <v>1138</v>
      </c>
      <c r="L444" s="30" t="s">
        <v>1135</v>
      </c>
      <c r="M444" s="22" t="s">
        <v>1145</v>
      </c>
      <c r="N444" s="53">
        <v>45485</v>
      </c>
      <c r="O444" s="22">
        <f>INDEX(Auxiliar!$D$5:$F$13,MATCH(Table1[[#This Row],[Tipologia_Testes]],Auxiliar!$B$5:$B$13,0),MATCH(Table1[[#This Row],[Complexidade]],Auxiliar!$D$4:$F$4,0))</f>
        <v>2</v>
      </c>
      <c r="P444" s="3" t="s">
        <v>1175</v>
      </c>
      <c r="Q444" s="3"/>
      <c r="R444" s="173">
        <v>45261</v>
      </c>
      <c r="S444" s="173"/>
      <c r="T444" s="173"/>
      <c r="U444" s="173"/>
      <c r="V444" s="173"/>
      <c r="W444" s="3">
        <f>VLOOKUP(Table1[[#This Row],[Status]],Auxiliar!$B$16:$D$23,3,0)*Table1[[#This Row],[Estimação (horas)]]</f>
        <v>2</v>
      </c>
      <c r="X444" s="3"/>
    </row>
    <row r="445" spans="2:24" ht="17.399999999999999" hidden="1">
      <c r="B445" s="3" t="s">
        <v>28</v>
      </c>
      <c r="C445" s="3" t="s">
        <v>54</v>
      </c>
      <c r="D445" s="3" t="s">
        <v>121</v>
      </c>
      <c r="E445" s="3" t="s">
        <v>38</v>
      </c>
      <c r="F445" s="3" t="s">
        <v>120</v>
      </c>
      <c r="G445" s="3" t="s">
        <v>170</v>
      </c>
      <c r="H445" s="63" t="str">
        <f>Table1[[#This Row],[Tabela]]&amp;Table1[[#This Row],[Campo]]</f>
        <v>cd_imv_out_certifvlr_prds_gnhs_vr_jnl</v>
      </c>
      <c r="I445" s="3" t="s">
        <v>477</v>
      </c>
      <c r="J445" s="45">
        <f>VLOOKUP(Table1[[#This Row],[Status]],Auxiliar!$B$16:$C$23,2,0)</f>
        <v>1</v>
      </c>
      <c r="K445" s="3" t="s">
        <v>1141</v>
      </c>
      <c r="L445" s="30" t="s">
        <v>1135</v>
      </c>
      <c r="M445" s="22" t="s">
        <v>1145</v>
      </c>
      <c r="N445" s="53">
        <v>45485</v>
      </c>
      <c r="O445" s="22">
        <f>INDEX(Auxiliar!$D$5:$F$13,MATCH(Table1[[#This Row],[Tipologia_Testes]],Auxiliar!$B$5:$B$13,0),MATCH(Table1[[#This Row],[Complexidade]],Auxiliar!$D$4:$F$4,0))</f>
        <v>0.1</v>
      </c>
      <c r="P445" s="3" t="s">
        <v>1175</v>
      </c>
      <c r="Q445" s="3"/>
      <c r="R445" s="173">
        <v>45261</v>
      </c>
      <c r="S445" s="173"/>
      <c r="T445" s="173"/>
      <c r="U445" s="173"/>
      <c r="V445" s="173"/>
      <c r="W445" s="3">
        <f>VLOOKUP(Table1[[#This Row],[Status]],Auxiliar!$B$16:$D$23,3,0)*Table1[[#This Row],[Estimação (horas)]]</f>
        <v>0.1</v>
      </c>
      <c r="X445" s="3"/>
    </row>
    <row r="446" spans="2:24" ht="17.399999999999999" hidden="1">
      <c r="B446" s="3" t="s">
        <v>28</v>
      </c>
      <c r="C446" s="3" t="s">
        <v>54</v>
      </c>
      <c r="D446" s="3" t="s">
        <v>121</v>
      </c>
      <c r="E446" s="3" t="s">
        <v>38</v>
      </c>
      <c r="F446" s="3" t="s">
        <v>120</v>
      </c>
      <c r="G446" s="3" t="s">
        <v>171</v>
      </c>
      <c r="H446" s="63" t="str">
        <f>Table1[[#This Row],[Tabela]]&amp;Table1[[#This Row],[Campo]]</f>
        <v>cd_imv_out_certifvlr_prds_gnhs_vr_prd_prt</v>
      </c>
      <c r="I446" s="3" t="s">
        <v>477</v>
      </c>
      <c r="J446" s="45">
        <f>VLOOKUP(Table1[[#This Row],[Status]],Auxiliar!$B$16:$C$23,2,0)</f>
        <v>1</v>
      </c>
      <c r="K446" s="3" t="s">
        <v>1137</v>
      </c>
      <c r="L446" s="30" t="s">
        <v>1135</v>
      </c>
      <c r="M446" s="22" t="s">
        <v>1145</v>
      </c>
      <c r="N446" s="53">
        <v>45485</v>
      </c>
      <c r="O446" s="22">
        <f>INDEX(Auxiliar!$D$5:$F$13,MATCH(Table1[[#This Row],[Tipologia_Testes]],Auxiliar!$B$5:$B$13,0),MATCH(Table1[[#This Row],[Complexidade]],Auxiliar!$D$4:$F$4,0))</f>
        <v>2</v>
      </c>
      <c r="P446" s="3" t="s">
        <v>1175</v>
      </c>
      <c r="Q446" s="3"/>
      <c r="R446" s="173">
        <v>45261</v>
      </c>
      <c r="S446" s="173"/>
      <c r="T446" s="173"/>
      <c r="U446" s="173"/>
      <c r="V446" s="173"/>
      <c r="W446" s="3">
        <f>VLOOKUP(Table1[[#This Row],[Status]],Auxiliar!$B$16:$D$23,3,0)*Table1[[#This Row],[Estimação (horas)]]</f>
        <v>2</v>
      </c>
      <c r="X446" s="3"/>
    </row>
    <row r="447" spans="2:24" ht="17.399999999999999" hidden="1">
      <c r="B447" s="3" t="s">
        <v>28</v>
      </c>
      <c r="C447" s="3" t="s">
        <v>54</v>
      </c>
      <c r="D447" s="3" t="s">
        <v>121</v>
      </c>
      <c r="E447" s="3" t="s">
        <v>38</v>
      </c>
      <c r="F447" s="3" t="s">
        <v>120</v>
      </c>
      <c r="G447" s="3" t="s">
        <v>171</v>
      </c>
      <c r="H447" s="63" t="str">
        <f>Table1[[#This Row],[Tabela]]&amp;Table1[[#This Row],[Campo]]</f>
        <v>cd_imv_out_certifvlr_prds_gnhs_vr_prd_prt</v>
      </c>
      <c r="I447" s="3" t="s">
        <v>477</v>
      </c>
      <c r="J447" s="45">
        <f>VLOOKUP(Table1[[#This Row],[Status]],Auxiliar!$B$16:$C$23,2,0)</f>
        <v>1</v>
      </c>
      <c r="K447" s="3" t="s">
        <v>1138</v>
      </c>
      <c r="L447" s="30" t="s">
        <v>1135</v>
      </c>
      <c r="M447" s="22" t="s">
        <v>1145</v>
      </c>
      <c r="N447" s="53">
        <v>45485</v>
      </c>
      <c r="O447" s="22">
        <f>INDEX(Auxiliar!$D$5:$F$13,MATCH(Table1[[#This Row],[Tipologia_Testes]],Auxiliar!$B$5:$B$13,0),MATCH(Table1[[#This Row],[Complexidade]],Auxiliar!$D$4:$F$4,0))</f>
        <v>2</v>
      </c>
      <c r="P447" s="3" t="s">
        <v>1175</v>
      </c>
      <c r="Q447" s="3"/>
      <c r="R447" s="173">
        <v>45261</v>
      </c>
      <c r="S447" s="173"/>
      <c r="T447" s="173"/>
      <c r="U447" s="173"/>
      <c r="V447" s="173"/>
      <c r="W447" s="3">
        <f>VLOOKUP(Table1[[#This Row],[Status]],Auxiliar!$B$16:$D$23,3,0)*Table1[[#This Row],[Estimação (horas)]]</f>
        <v>2</v>
      </c>
      <c r="X447" s="3"/>
    </row>
    <row r="448" spans="2:24" ht="17.399999999999999" hidden="1">
      <c r="B448" s="3" t="s">
        <v>28</v>
      </c>
      <c r="C448" s="3" t="s">
        <v>54</v>
      </c>
      <c r="D448" s="3" t="s">
        <v>121</v>
      </c>
      <c r="E448" s="3" t="s">
        <v>38</v>
      </c>
      <c r="F448" s="3" t="s">
        <v>120</v>
      </c>
      <c r="G448" s="3" t="s">
        <v>171</v>
      </c>
      <c r="H448" s="63" t="str">
        <f>Table1[[#This Row],[Tabela]]&amp;Table1[[#This Row],[Campo]]</f>
        <v>cd_imv_out_certifvlr_prds_gnhs_vr_prd_prt</v>
      </c>
      <c r="I448" s="3" t="s">
        <v>477</v>
      </c>
      <c r="J448" s="45">
        <f>VLOOKUP(Table1[[#This Row],[Status]],Auxiliar!$B$16:$C$23,2,0)</f>
        <v>1</v>
      </c>
      <c r="K448" s="3" t="s">
        <v>1141</v>
      </c>
      <c r="L448" s="30" t="s">
        <v>1135</v>
      </c>
      <c r="M448" s="22" t="s">
        <v>1145</v>
      </c>
      <c r="N448" s="53">
        <v>45485</v>
      </c>
      <c r="O448" s="22">
        <f>INDEX(Auxiliar!$D$5:$F$13,MATCH(Table1[[#This Row],[Tipologia_Testes]],Auxiliar!$B$5:$B$13,0),MATCH(Table1[[#This Row],[Complexidade]],Auxiliar!$D$4:$F$4,0))</f>
        <v>0.1</v>
      </c>
      <c r="P448" s="3" t="s">
        <v>1175</v>
      </c>
      <c r="Q448" s="3"/>
      <c r="R448" s="173">
        <v>45261</v>
      </c>
      <c r="S448" s="173"/>
      <c r="T448" s="173"/>
      <c r="U448" s="173"/>
      <c r="V448" s="173"/>
      <c r="W448" s="3">
        <f>VLOOKUP(Table1[[#This Row],[Status]],Auxiliar!$B$16:$D$23,3,0)*Table1[[#This Row],[Estimação (horas)]]</f>
        <v>0.1</v>
      </c>
      <c r="X448" s="3"/>
    </row>
    <row r="449" spans="2:24" ht="17.399999999999999" hidden="1">
      <c r="B449" s="3" t="s">
        <v>28</v>
      </c>
      <c r="C449" s="3" t="s">
        <v>54</v>
      </c>
      <c r="D449" s="3" t="s">
        <v>121</v>
      </c>
      <c r="E449" s="3" t="s">
        <v>38</v>
      </c>
      <c r="F449" s="3" t="s">
        <v>120</v>
      </c>
      <c r="G449" s="3" t="s">
        <v>172</v>
      </c>
      <c r="H449" s="63" t="str">
        <f>Table1[[#This Row],[Tabela]]&amp;Table1[[#This Row],[Campo]]</f>
        <v>cd_imv_out_certifvlr_prds_gnhs_vr_rfrc</v>
      </c>
      <c r="I449" s="3" t="s">
        <v>477</v>
      </c>
      <c r="J449" s="45">
        <f>VLOOKUP(Table1[[#This Row],[Status]],Auxiliar!$B$16:$C$23,2,0)</f>
        <v>1</v>
      </c>
      <c r="K449" s="3" t="s">
        <v>1137</v>
      </c>
      <c r="L449" s="30" t="s">
        <v>1135</v>
      </c>
      <c r="M449" s="22" t="s">
        <v>1145</v>
      </c>
      <c r="N449" s="53">
        <v>45485</v>
      </c>
      <c r="O449" s="22">
        <f>INDEX(Auxiliar!$D$5:$F$13,MATCH(Table1[[#This Row],[Tipologia_Testes]],Auxiliar!$B$5:$B$13,0),MATCH(Table1[[#This Row],[Complexidade]],Auxiliar!$D$4:$F$4,0))</f>
        <v>2</v>
      </c>
      <c r="P449" s="3" t="s">
        <v>1175</v>
      </c>
      <c r="Q449" s="3"/>
      <c r="R449" s="173">
        <v>45261</v>
      </c>
      <c r="S449" s="173"/>
      <c r="T449" s="173"/>
      <c r="U449" s="173"/>
      <c r="V449" s="173"/>
      <c r="W449" s="3">
        <f>VLOOKUP(Table1[[#This Row],[Status]],Auxiliar!$B$16:$D$23,3,0)*Table1[[#This Row],[Estimação (horas)]]</f>
        <v>2</v>
      </c>
      <c r="X449" s="3"/>
    </row>
    <row r="450" spans="2:24" ht="17.399999999999999" hidden="1">
      <c r="B450" s="3" t="s">
        <v>28</v>
      </c>
      <c r="C450" s="3" t="s">
        <v>54</v>
      </c>
      <c r="D450" s="3" t="s">
        <v>121</v>
      </c>
      <c r="E450" s="3" t="s">
        <v>38</v>
      </c>
      <c r="F450" s="3" t="s">
        <v>120</v>
      </c>
      <c r="G450" s="3" t="s">
        <v>172</v>
      </c>
      <c r="H450" s="63" t="str">
        <f>Table1[[#This Row],[Tabela]]&amp;Table1[[#This Row],[Campo]]</f>
        <v>cd_imv_out_certifvlr_prds_gnhs_vr_rfrc</v>
      </c>
      <c r="I450" s="3" t="s">
        <v>477</v>
      </c>
      <c r="J450" s="45">
        <f>VLOOKUP(Table1[[#This Row],[Status]],Auxiliar!$B$16:$C$23,2,0)</f>
        <v>1</v>
      </c>
      <c r="K450" s="3" t="s">
        <v>1138</v>
      </c>
      <c r="L450" s="30" t="s">
        <v>1135</v>
      </c>
      <c r="M450" s="22" t="s">
        <v>1145</v>
      </c>
      <c r="N450" s="53">
        <v>45485</v>
      </c>
      <c r="O450" s="22">
        <f>INDEX(Auxiliar!$D$5:$F$13,MATCH(Table1[[#This Row],[Tipologia_Testes]],Auxiliar!$B$5:$B$13,0),MATCH(Table1[[#This Row],[Complexidade]],Auxiliar!$D$4:$F$4,0))</f>
        <v>2</v>
      </c>
      <c r="P450" s="3" t="s">
        <v>1175</v>
      </c>
      <c r="Q450" s="3"/>
      <c r="R450" s="173">
        <v>45261</v>
      </c>
      <c r="S450" s="173"/>
      <c r="T450" s="173"/>
      <c r="U450" s="173"/>
      <c r="V450" s="173"/>
      <c r="W450" s="3">
        <f>VLOOKUP(Table1[[#This Row],[Status]],Auxiliar!$B$16:$D$23,3,0)*Table1[[#This Row],[Estimação (horas)]]</f>
        <v>2</v>
      </c>
      <c r="X450" s="3"/>
    </row>
    <row r="451" spans="2:24" ht="17.399999999999999" hidden="1">
      <c r="B451" s="3" t="s">
        <v>28</v>
      </c>
      <c r="C451" s="3" t="s">
        <v>54</v>
      </c>
      <c r="D451" s="3" t="s">
        <v>121</v>
      </c>
      <c r="E451" s="3" t="s">
        <v>38</v>
      </c>
      <c r="F451" s="3" t="s">
        <v>120</v>
      </c>
      <c r="G451" s="3" t="s">
        <v>172</v>
      </c>
      <c r="H451" s="63" t="str">
        <f>Table1[[#This Row],[Tabela]]&amp;Table1[[#This Row],[Campo]]</f>
        <v>cd_imv_out_certifvlr_prds_gnhs_vr_rfrc</v>
      </c>
      <c r="I451" s="3" t="s">
        <v>477</v>
      </c>
      <c r="J451" s="45">
        <f>VLOOKUP(Table1[[#This Row],[Status]],Auxiliar!$B$16:$C$23,2,0)</f>
        <v>1</v>
      </c>
      <c r="K451" s="3" t="s">
        <v>1141</v>
      </c>
      <c r="L451" s="30" t="s">
        <v>1135</v>
      </c>
      <c r="M451" s="22" t="s">
        <v>1145</v>
      </c>
      <c r="N451" s="53">
        <v>45485</v>
      </c>
      <c r="O451" s="22">
        <f>INDEX(Auxiliar!$D$5:$F$13,MATCH(Table1[[#This Row],[Tipologia_Testes]],Auxiliar!$B$5:$B$13,0),MATCH(Table1[[#This Row],[Complexidade]],Auxiliar!$D$4:$F$4,0))</f>
        <v>0.1</v>
      </c>
      <c r="P451" s="3" t="s">
        <v>1175</v>
      </c>
      <c r="Q451" s="3"/>
      <c r="R451" s="173">
        <v>45261</v>
      </c>
      <c r="S451" s="173"/>
      <c r="T451" s="173"/>
      <c r="U451" s="173"/>
      <c r="V451" s="173"/>
      <c r="W451" s="3">
        <f>VLOOKUP(Table1[[#This Row],[Status]],Auxiliar!$B$16:$D$23,3,0)*Table1[[#This Row],[Estimação (horas)]]</f>
        <v>0.1</v>
      </c>
      <c r="X451" s="3"/>
    </row>
    <row r="452" spans="2:24" ht="17.399999999999999" hidden="1">
      <c r="B452" s="3" t="s">
        <v>28</v>
      </c>
      <c r="C452" s="3" t="s">
        <v>54</v>
      </c>
      <c r="D452" s="3" t="s">
        <v>121</v>
      </c>
      <c r="E452" s="3" t="s">
        <v>38</v>
      </c>
      <c r="F452" s="3" t="s">
        <v>120</v>
      </c>
      <c r="G452" s="3" t="s">
        <v>173</v>
      </c>
      <c r="H452" s="63" t="str">
        <f>Table1[[#This Row],[Tabela]]&amp;Table1[[#This Row],[Campo]]</f>
        <v>cd_imv_out_certifvlr_rdc_anl_estmd_ftr</v>
      </c>
      <c r="I452" s="3" t="s">
        <v>477</v>
      </c>
      <c r="J452" s="45">
        <f>VLOOKUP(Table1[[#This Row],[Status]],Auxiliar!$B$16:$C$23,2,0)</f>
        <v>1</v>
      </c>
      <c r="K452" s="3" t="s">
        <v>1137</v>
      </c>
      <c r="L452" s="30" t="s">
        <v>1135</v>
      </c>
      <c r="M452" s="22" t="s">
        <v>1145</v>
      </c>
      <c r="N452" s="53">
        <v>45485</v>
      </c>
      <c r="O452" s="22">
        <f>INDEX(Auxiliar!$D$5:$F$13,MATCH(Table1[[#This Row],[Tipologia_Testes]],Auxiliar!$B$5:$B$13,0),MATCH(Table1[[#This Row],[Complexidade]],Auxiliar!$D$4:$F$4,0))</f>
        <v>2</v>
      </c>
      <c r="P452" s="3" t="s">
        <v>1175</v>
      </c>
      <c r="Q452" s="3"/>
      <c r="R452" s="173">
        <v>45261</v>
      </c>
      <c r="S452" s="173"/>
      <c r="T452" s="173"/>
      <c r="U452" s="173"/>
      <c r="V452" s="173"/>
      <c r="W452" s="3">
        <f>VLOOKUP(Table1[[#This Row],[Status]],Auxiliar!$B$16:$D$23,3,0)*Table1[[#This Row],[Estimação (horas)]]</f>
        <v>2</v>
      </c>
      <c r="X452" s="3"/>
    </row>
    <row r="453" spans="2:24" ht="17.399999999999999" hidden="1">
      <c r="B453" s="3" t="s">
        <v>28</v>
      </c>
      <c r="C453" s="3" t="s">
        <v>54</v>
      </c>
      <c r="D453" s="3" t="s">
        <v>121</v>
      </c>
      <c r="E453" s="3" t="s">
        <v>38</v>
      </c>
      <c r="F453" s="3" t="s">
        <v>120</v>
      </c>
      <c r="G453" s="3" t="s">
        <v>173</v>
      </c>
      <c r="H453" s="63" t="str">
        <f>Table1[[#This Row],[Tabela]]&amp;Table1[[#This Row],[Campo]]</f>
        <v>cd_imv_out_certifvlr_rdc_anl_estmd_ftr</v>
      </c>
      <c r="I453" s="3" t="s">
        <v>477</v>
      </c>
      <c r="J453" s="45">
        <f>VLOOKUP(Table1[[#This Row],[Status]],Auxiliar!$B$16:$C$23,2,0)</f>
        <v>1</v>
      </c>
      <c r="K453" s="3" t="s">
        <v>1138</v>
      </c>
      <c r="L453" s="30" t="s">
        <v>1135</v>
      </c>
      <c r="M453" s="22" t="s">
        <v>1145</v>
      </c>
      <c r="N453" s="53">
        <v>45485</v>
      </c>
      <c r="O453" s="22">
        <f>INDEX(Auxiliar!$D$5:$F$13,MATCH(Table1[[#This Row],[Tipologia_Testes]],Auxiliar!$B$5:$B$13,0),MATCH(Table1[[#This Row],[Complexidade]],Auxiliar!$D$4:$F$4,0))</f>
        <v>2</v>
      </c>
      <c r="P453" s="3" t="s">
        <v>1175</v>
      </c>
      <c r="Q453" s="3"/>
      <c r="R453" s="173">
        <v>45261</v>
      </c>
      <c r="S453" s="173"/>
      <c r="T453" s="173"/>
      <c r="U453" s="173"/>
      <c r="V453" s="173"/>
      <c r="W453" s="3">
        <f>VLOOKUP(Table1[[#This Row],[Status]],Auxiliar!$B$16:$D$23,3,0)*Table1[[#This Row],[Estimação (horas)]]</f>
        <v>2</v>
      </c>
      <c r="X453" s="3"/>
    </row>
    <row r="454" spans="2:24" ht="17.399999999999999" hidden="1">
      <c r="B454" s="3" t="s">
        <v>28</v>
      </c>
      <c r="C454" s="3" t="s">
        <v>54</v>
      </c>
      <c r="D454" s="3" t="s">
        <v>121</v>
      </c>
      <c r="E454" s="3" t="s">
        <v>38</v>
      </c>
      <c r="F454" s="3" t="s">
        <v>120</v>
      </c>
      <c r="G454" s="3" t="s">
        <v>173</v>
      </c>
      <c r="H454" s="63" t="str">
        <f>Table1[[#This Row],[Tabela]]&amp;Table1[[#This Row],[Campo]]</f>
        <v>cd_imv_out_certifvlr_rdc_anl_estmd_ftr</v>
      </c>
      <c r="I454" s="3" t="s">
        <v>477</v>
      </c>
      <c r="J454" s="45">
        <f>VLOOKUP(Table1[[#This Row],[Status]],Auxiliar!$B$16:$C$23,2,0)</f>
        <v>1</v>
      </c>
      <c r="K454" s="3" t="s">
        <v>1141</v>
      </c>
      <c r="L454" s="30" t="s">
        <v>1135</v>
      </c>
      <c r="M454" s="22" t="s">
        <v>1145</v>
      </c>
      <c r="N454" s="53">
        <v>45485</v>
      </c>
      <c r="O454" s="22">
        <f>INDEX(Auxiliar!$D$5:$F$13,MATCH(Table1[[#This Row],[Tipologia_Testes]],Auxiliar!$B$5:$B$13,0),MATCH(Table1[[#This Row],[Complexidade]],Auxiliar!$D$4:$F$4,0))</f>
        <v>0.1</v>
      </c>
      <c r="P454" s="3" t="s">
        <v>1175</v>
      </c>
      <c r="Q454" s="3"/>
      <c r="R454" s="173">
        <v>45261</v>
      </c>
      <c r="S454" s="173"/>
      <c r="T454" s="173"/>
      <c r="U454" s="173"/>
      <c r="V454" s="173"/>
      <c r="W454" s="3">
        <f>VLOOKUP(Table1[[#This Row],[Status]],Auxiliar!$B$16:$D$23,3,0)*Table1[[#This Row],[Estimação (horas)]]</f>
        <v>0.1</v>
      </c>
      <c r="X454" s="3"/>
    </row>
    <row r="455" spans="2:24" ht="17.399999999999999" hidden="1">
      <c r="B455" s="3" t="s">
        <v>28</v>
      </c>
      <c r="C455" s="3" t="s">
        <v>54</v>
      </c>
      <c r="D455" s="3" t="s">
        <v>121</v>
      </c>
      <c r="E455" s="3" t="s">
        <v>38</v>
      </c>
      <c r="F455" s="3" t="s">
        <v>120</v>
      </c>
      <c r="G455" s="3" t="s">
        <v>174</v>
      </c>
      <c r="H455" s="63" t="str">
        <f>Table1[[#This Row],[Tabela]]&amp;Table1[[#This Row],[Campo]]</f>
        <v>cd_imv_out_certifvlr_tmprtr_md_extrr</v>
      </c>
      <c r="I455" s="3" t="s">
        <v>477</v>
      </c>
      <c r="J455" s="45">
        <f>VLOOKUP(Table1[[#This Row],[Status]],Auxiliar!$B$16:$C$23,2,0)</f>
        <v>1</v>
      </c>
      <c r="K455" s="3" t="s">
        <v>1137</v>
      </c>
      <c r="L455" s="30" t="s">
        <v>1135</v>
      </c>
      <c r="M455" s="22" t="s">
        <v>1145</v>
      </c>
      <c r="N455" s="53">
        <v>45485</v>
      </c>
      <c r="O455" s="22">
        <f>INDEX(Auxiliar!$D$5:$F$13,MATCH(Table1[[#This Row],[Tipologia_Testes]],Auxiliar!$B$5:$B$13,0),MATCH(Table1[[#This Row],[Complexidade]],Auxiliar!$D$4:$F$4,0))</f>
        <v>2</v>
      </c>
      <c r="P455" s="3" t="s">
        <v>1175</v>
      </c>
      <c r="Q455" s="3"/>
      <c r="R455" s="173">
        <v>45261</v>
      </c>
      <c r="S455" s="173"/>
      <c r="T455" s="173"/>
      <c r="U455" s="173"/>
      <c r="V455" s="173"/>
      <c r="W455" s="3">
        <f>VLOOKUP(Table1[[#This Row],[Status]],Auxiliar!$B$16:$D$23,3,0)*Table1[[#This Row],[Estimação (horas)]]</f>
        <v>2</v>
      </c>
      <c r="X455" s="3"/>
    </row>
    <row r="456" spans="2:24" ht="17.399999999999999" hidden="1">
      <c r="B456" s="3" t="s">
        <v>28</v>
      </c>
      <c r="C456" s="3" t="s">
        <v>54</v>
      </c>
      <c r="D456" s="3" t="s">
        <v>121</v>
      </c>
      <c r="E456" s="3" t="s">
        <v>38</v>
      </c>
      <c r="F456" s="3" t="s">
        <v>120</v>
      </c>
      <c r="G456" s="3" t="s">
        <v>174</v>
      </c>
      <c r="H456" s="63" t="str">
        <f>Table1[[#This Row],[Tabela]]&amp;Table1[[#This Row],[Campo]]</f>
        <v>cd_imv_out_certifvlr_tmprtr_md_extrr</v>
      </c>
      <c r="I456" s="3" t="s">
        <v>477</v>
      </c>
      <c r="J456" s="45">
        <f>VLOOKUP(Table1[[#This Row],[Status]],Auxiliar!$B$16:$C$23,2,0)</f>
        <v>1</v>
      </c>
      <c r="K456" s="3" t="s">
        <v>1138</v>
      </c>
      <c r="L456" s="30" t="s">
        <v>1135</v>
      </c>
      <c r="M456" s="22" t="s">
        <v>1145</v>
      </c>
      <c r="N456" s="53">
        <v>45485</v>
      </c>
      <c r="O456" s="22">
        <f>INDEX(Auxiliar!$D$5:$F$13,MATCH(Table1[[#This Row],[Tipologia_Testes]],Auxiliar!$B$5:$B$13,0),MATCH(Table1[[#This Row],[Complexidade]],Auxiliar!$D$4:$F$4,0))</f>
        <v>2</v>
      </c>
      <c r="P456" s="3" t="s">
        <v>1175</v>
      </c>
      <c r="Q456" s="3"/>
      <c r="R456" s="173">
        <v>45261</v>
      </c>
      <c r="S456" s="173"/>
      <c r="T456" s="173"/>
      <c r="U456" s="173"/>
      <c r="V456" s="173"/>
      <c r="W456" s="3">
        <f>VLOOKUP(Table1[[#This Row],[Status]],Auxiliar!$B$16:$D$23,3,0)*Table1[[#This Row],[Estimação (horas)]]</f>
        <v>2</v>
      </c>
      <c r="X456" s="3"/>
    </row>
    <row r="457" spans="2:24" ht="17.399999999999999" hidden="1">
      <c r="B457" s="3" t="s">
        <v>28</v>
      </c>
      <c r="C457" s="3" t="s">
        <v>54</v>
      </c>
      <c r="D457" s="3" t="s">
        <v>121</v>
      </c>
      <c r="E457" s="3" t="s">
        <v>38</v>
      </c>
      <c r="F457" s="3" t="s">
        <v>120</v>
      </c>
      <c r="G457" s="3" t="s">
        <v>174</v>
      </c>
      <c r="H457" s="63" t="str">
        <f>Table1[[#This Row],[Tabela]]&amp;Table1[[#This Row],[Campo]]</f>
        <v>cd_imv_out_certifvlr_tmprtr_md_extrr</v>
      </c>
      <c r="I457" s="3" t="s">
        <v>477</v>
      </c>
      <c r="J457" s="45">
        <f>VLOOKUP(Table1[[#This Row],[Status]],Auxiliar!$B$16:$C$23,2,0)</f>
        <v>1</v>
      </c>
      <c r="K457" s="3" t="s">
        <v>1141</v>
      </c>
      <c r="L457" s="30" t="s">
        <v>1135</v>
      </c>
      <c r="M457" s="22" t="s">
        <v>1145</v>
      </c>
      <c r="N457" s="53">
        <v>45485</v>
      </c>
      <c r="O457" s="22">
        <f>INDEX(Auxiliar!$D$5:$F$13,MATCH(Table1[[#This Row],[Tipologia_Testes]],Auxiliar!$B$5:$B$13,0),MATCH(Table1[[#This Row],[Complexidade]],Auxiliar!$D$4:$F$4,0))</f>
        <v>0.1</v>
      </c>
      <c r="P457" s="3" t="s">
        <v>1175</v>
      </c>
      <c r="Q457" s="3"/>
      <c r="R457" s="173">
        <v>45261</v>
      </c>
      <c r="S457" s="173"/>
      <c r="T457" s="173"/>
      <c r="U457" s="173"/>
      <c r="V457" s="173"/>
      <c r="W457" s="3">
        <f>VLOOKUP(Table1[[#This Row],[Status]],Auxiliar!$B$16:$D$23,3,0)*Table1[[#This Row],[Estimação (horas)]]</f>
        <v>0.1</v>
      </c>
      <c r="X457" s="3"/>
    </row>
    <row r="458" spans="2:24" ht="17.399999999999999" hidden="1">
      <c r="B458" s="3" t="s">
        <v>28</v>
      </c>
      <c r="C458" s="3" t="s">
        <v>54</v>
      </c>
      <c r="D458" s="3" t="s">
        <v>121</v>
      </c>
      <c r="E458" s="3" t="s">
        <v>38</v>
      </c>
      <c r="F458" s="3" t="s">
        <v>120</v>
      </c>
      <c r="G458" s="3" t="s">
        <v>175</v>
      </c>
      <c r="H458" s="63" t="str">
        <f>Table1[[#This Row],[Tabela]]&amp;Table1[[#This Row],[Campo]]</f>
        <v>cd_imv_out_certifzn_clmtc_invrn</v>
      </c>
      <c r="I458" s="3" t="s">
        <v>477</v>
      </c>
      <c r="J458" s="45">
        <f>VLOOKUP(Table1[[#This Row],[Status]],Auxiliar!$B$16:$C$23,2,0)</f>
        <v>1</v>
      </c>
      <c r="K458" s="3" t="s">
        <v>1137</v>
      </c>
      <c r="L458" s="30" t="s">
        <v>1135</v>
      </c>
      <c r="M458" s="22" t="s">
        <v>1145</v>
      </c>
      <c r="N458" s="53">
        <v>45485</v>
      </c>
      <c r="O458" s="22">
        <f>INDEX(Auxiliar!$D$5:$F$13,MATCH(Table1[[#This Row],[Tipologia_Testes]],Auxiliar!$B$5:$B$13,0),MATCH(Table1[[#This Row],[Complexidade]],Auxiliar!$D$4:$F$4,0))</f>
        <v>2</v>
      </c>
      <c r="P458" s="3" t="s">
        <v>1175</v>
      </c>
      <c r="Q458" s="3"/>
      <c r="R458" s="173">
        <v>45261</v>
      </c>
      <c r="S458" s="173"/>
      <c r="T458" s="173"/>
      <c r="U458" s="173"/>
      <c r="V458" s="173"/>
      <c r="W458" s="3">
        <f>VLOOKUP(Table1[[#This Row],[Status]],Auxiliar!$B$16:$D$23,3,0)*Table1[[#This Row],[Estimação (horas)]]</f>
        <v>2</v>
      </c>
      <c r="X458" s="3"/>
    </row>
    <row r="459" spans="2:24" ht="17.399999999999999" hidden="1">
      <c r="B459" s="3" t="s">
        <v>28</v>
      </c>
      <c r="C459" s="3" t="s">
        <v>54</v>
      </c>
      <c r="D459" s="3" t="s">
        <v>121</v>
      </c>
      <c r="E459" s="3" t="s">
        <v>38</v>
      </c>
      <c r="F459" s="3" t="s">
        <v>120</v>
      </c>
      <c r="G459" s="3" t="s">
        <v>175</v>
      </c>
      <c r="H459" s="63" t="str">
        <f>Table1[[#This Row],[Tabela]]&amp;Table1[[#This Row],[Campo]]</f>
        <v>cd_imv_out_certifzn_clmtc_invrn</v>
      </c>
      <c r="I459" s="3" t="s">
        <v>477</v>
      </c>
      <c r="J459" s="45">
        <f>VLOOKUP(Table1[[#This Row],[Status]],Auxiliar!$B$16:$C$23,2,0)</f>
        <v>1</v>
      </c>
      <c r="K459" s="3" t="s">
        <v>1138</v>
      </c>
      <c r="L459" s="30" t="s">
        <v>1135</v>
      </c>
      <c r="M459" s="22" t="s">
        <v>1145</v>
      </c>
      <c r="N459" s="53">
        <v>45485</v>
      </c>
      <c r="O459" s="22">
        <f>INDEX(Auxiliar!$D$5:$F$13,MATCH(Table1[[#This Row],[Tipologia_Testes]],Auxiliar!$B$5:$B$13,0),MATCH(Table1[[#This Row],[Complexidade]],Auxiliar!$D$4:$F$4,0))</f>
        <v>2</v>
      </c>
      <c r="P459" s="3" t="s">
        <v>1175</v>
      </c>
      <c r="Q459" s="3"/>
      <c r="R459" s="173">
        <v>45261</v>
      </c>
      <c r="S459" s="173"/>
      <c r="T459" s="173"/>
      <c r="U459" s="173"/>
      <c r="V459" s="173"/>
      <c r="W459" s="3">
        <f>VLOOKUP(Table1[[#This Row],[Status]],Auxiliar!$B$16:$D$23,3,0)*Table1[[#This Row],[Estimação (horas)]]</f>
        <v>2</v>
      </c>
      <c r="X459" s="3"/>
    </row>
    <row r="460" spans="2:24" ht="17.399999999999999" hidden="1">
      <c r="B460" s="3" t="s">
        <v>28</v>
      </c>
      <c r="C460" s="3" t="s">
        <v>54</v>
      </c>
      <c r="D460" s="3" t="s">
        <v>121</v>
      </c>
      <c r="E460" s="3" t="s">
        <v>38</v>
      </c>
      <c r="F460" s="3" t="s">
        <v>120</v>
      </c>
      <c r="G460" s="3" t="s">
        <v>175</v>
      </c>
      <c r="H460" s="63" t="str">
        <f>Table1[[#This Row],[Tabela]]&amp;Table1[[#This Row],[Campo]]</f>
        <v>cd_imv_out_certifzn_clmtc_invrn</v>
      </c>
      <c r="I460" s="3" t="s">
        <v>477</v>
      </c>
      <c r="J460" s="45">
        <f>VLOOKUP(Table1[[#This Row],[Status]],Auxiliar!$B$16:$C$23,2,0)</f>
        <v>1</v>
      </c>
      <c r="K460" s="3" t="s">
        <v>1141</v>
      </c>
      <c r="L460" s="30" t="s">
        <v>1135</v>
      </c>
      <c r="M460" s="22" t="s">
        <v>1145</v>
      </c>
      <c r="N460" s="53">
        <v>45485</v>
      </c>
      <c r="O460" s="22">
        <f>INDEX(Auxiliar!$D$5:$F$13,MATCH(Table1[[#This Row],[Tipologia_Testes]],Auxiliar!$B$5:$B$13,0),MATCH(Table1[[#This Row],[Complexidade]],Auxiliar!$D$4:$F$4,0))</f>
        <v>0.1</v>
      </c>
      <c r="P460" s="3" t="s">
        <v>1175</v>
      </c>
      <c r="Q460" s="3"/>
      <c r="R460" s="173">
        <v>45261</v>
      </c>
      <c r="S460" s="173"/>
      <c r="T460" s="173"/>
      <c r="U460" s="173"/>
      <c r="V460" s="173"/>
      <c r="W460" s="3">
        <f>VLOOKUP(Table1[[#This Row],[Status]],Auxiliar!$B$16:$D$23,3,0)*Table1[[#This Row],[Estimação (horas)]]</f>
        <v>0.1</v>
      </c>
      <c r="X460" s="3"/>
    </row>
    <row r="461" spans="2:24" ht="17.399999999999999" hidden="1">
      <c r="B461" s="3" t="s">
        <v>28</v>
      </c>
      <c r="C461" s="3" t="s">
        <v>54</v>
      </c>
      <c r="D461" s="3" t="s">
        <v>121</v>
      </c>
      <c r="E461" s="3" t="s">
        <v>38</v>
      </c>
      <c r="F461" s="3" t="s">
        <v>120</v>
      </c>
      <c r="G461" s="3" t="s">
        <v>176</v>
      </c>
      <c r="H461" s="63" t="str">
        <f>Table1[[#This Row],[Tabela]]&amp;Table1[[#This Row],[Campo]]</f>
        <v>cd_imv_out_certifzn_clmtc_vr</v>
      </c>
      <c r="I461" s="3" t="s">
        <v>477</v>
      </c>
      <c r="J461" s="45">
        <f>VLOOKUP(Table1[[#This Row],[Status]],Auxiliar!$B$16:$C$23,2,0)</f>
        <v>1</v>
      </c>
      <c r="K461" s="3" t="s">
        <v>1137</v>
      </c>
      <c r="L461" s="30" t="s">
        <v>1135</v>
      </c>
      <c r="M461" s="22" t="s">
        <v>1145</v>
      </c>
      <c r="N461" s="53">
        <v>45485</v>
      </c>
      <c r="O461" s="22">
        <f>INDEX(Auxiliar!$D$5:$F$13,MATCH(Table1[[#This Row],[Tipologia_Testes]],Auxiliar!$B$5:$B$13,0),MATCH(Table1[[#This Row],[Complexidade]],Auxiliar!$D$4:$F$4,0))</f>
        <v>2</v>
      </c>
      <c r="P461" s="3" t="s">
        <v>1175</v>
      </c>
      <c r="Q461" s="3"/>
      <c r="R461" s="173">
        <v>45261</v>
      </c>
      <c r="S461" s="173"/>
      <c r="T461" s="173"/>
      <c r="U461" s="173"/>
      <c r="V461" s="173"/>
      <c r="W461" s="3">
        <f>VLOOKUP(Table1[[#This Row],[Status]],Auxiliar!$B$16:$D$23,3,0)*Table1[[#This Row],[Estimação (horas)]]</f>
        <v>2</v>
      </c>
      <c r="X461" s="3"/>
    </row>
    <row r="462" spans="2:24" ht="17.399999999999999" hidden="1">
      <c r="B462" s="3" t="s">
        <v>28</v>
      </c>
      <c r="C462" s="3" t="s">
        <v>54</v>
      </c>
      <c r="D462" s="3" t="s">
        <v>121</v>
      </c>
      <c r="E462" s="3" t="s">
        <v>38</v>
      </c>
      <c r="F462" s="3" t="s">
        <v>120</v>
      </c>
      <c r="G462" s="3" t="s">
        <v>176</v>
      </c>
      <c r="H462" s="63" t="str">
        <f>Table1[[#This Row],[Tabela]]&amp;Table1[[#This Row],[Campo]]</f>
        <v>cd_imv_out_certifzn_clmtc_vr</v>
      </c>
      <c r="I462" s="3" t="s">
        <v>477</v>
      </c>
      <c r="J462" s="45">
        <f>VLOOKUP(Table1[[#This Row],[Status]],Auxiliar!$B$16:$C$23,2,0)</f>
        <v>1</v>
      </c>
      <c r="K462" s="3" t="s">
        <v>1138</v>
      </c>
      <c r="L462" s="30" t="s">
        <v>1135</v>
      </c>
      <c r="M462" s="22" t="s">
        <v>1145</v>
      </c>
      <c r="N462" s="53">
        <v>45485</v>
      </c>
      <c r="O462" s="22">
        <f>INDEX(Auxiliar!$D$5:$F$13,MATCH(Table1[[#This Row],[Tipologia_Testes]],Auxiliar!$B$5:$B$13,0),MATCH(Table1[[#This Row],[Complexidade]],Auxiliar!$D$4:$F$4,0))</f>
        <v>2</v>
      </c>
      <c r="P462" s="3" t="s">
        <v>1175</v>
      </c>
      <c r="Q462" s="3"/>
      <c r="R462" s="173"/>
      <c r="S462" s="173"/>
      <c r="T462" s="173"/>
      <c r="U462" s="173"/>
      <c r="V462" s="173"/>
      <c r="W462" s="3">
        <f>VLOOKUP(Table1[[#This Row],[Status]],Auxiliar!$B$16:$D$23,3,0)*Table1[[#This Row],[Estimação (horas)]]</f>
        <v>2</v>
      </c>
      <c r="X462" s="3"/>
    </row>
    <row r="463" spans="2:24" ht="17.399999999999999" hidden="1">
      <c r="B463" s="3" t="s">
        <v>28</v>
      </c>
      <c r="C463" s="3" t="s">
        <v>54</v>
      </c>
      <c r="D463" s="3" t="s">
        <v>121</v>
      </c>
      <c r="E463" s="3" t="s">
        <v>38</v>
      </c>
      <c r="F463" s="3" t="s">
        <v>120</v>
      </c>
      <c r="G463" s="3" t="s">
        <v>176</v>
      </c>
      <c r="H463" s="63" t="str">
        <f>Table1[[#This Row],[Tabela]]&amp;Table1[[#This Row],[Campo]]</f>
        <v>cd_imv_out_certifzn_clmtc_vr</v>
      </c>
      <c r="I463" s="3" t="s">
        <v>477</v>
      </c>
      <c r="J463" s="45">
        <f>VLOOKUP(Table1[[#This Row],[Status]],Auxiliar!$B$16:$C$23,2,0)</f>
        <v>1</v>
      </c>
      <c r="K463" s="3" t="s">
        <v>1141</v>
      </c>
      <c r="L463" s="30" t="s">
        <v>1135</v>
      </c>
      <c r="M463" s="22" t="s">
        <v>1145</v>
      </c>
      <c r="N463" s="53">
        <v>45485</v>
      </c>
      <c r="O463" s="22">
        <f>INDEX(Auxiliar!$D$5:$F$13,MATCH(Table1[[#This Row],[Tipologia_Testes]],Auxiliar!$B$5:$B$13,0),MATCH(Table1[[#This Row],[Complexidade]],Auxiliar!$D$4:$F$4,0))</f>
        <v>0.1</v>
      </c>
      <c r="P463" s="3" t="s">
        <v>1175</v>
      </c>
      <c r="Q463" s="3"/>
      <c r="R463" s="173"/>
      <c r="S463" s="173"/>
      <c r="T463" s="173"/>
      <c r="U463" s="173"/>
      <c r="V463" s="173"/>
      <c r="W463" s="3">
        <f>VLOOKUP(Table1[[#This Row],[Status]],Auxiliar!$B$16:$D$23,3,0)*Table1[[#This Row],[Estimação (horas)]]</f>
        <v>0.1</v>
      </c>
      <c r="X463" s="3"/>
    </row>
    <row r="464" spans="2:24" ht="17.399999999999999">
      <c r="B464" s="3" t="s">
        <v>28</v>
      </c>
      <c r="C464" s="3" t="s">
        <v>54</v>
      </c>
      <c r="D464" s="3" t="s">
        <v>121</v>
      </c>
      <c r="E464" s="3" t="s">
        <v>38</v>
      </c>
      <c r="F464" s="3" t="s">
        <v>120</v>
      </c>
      <c r="G464" s="3" t="s">
        <v>95</v>
      </c>
      <c r="H464" s="63" t="str">
        <f>Table1[[#This Row],[Tabela]]&amp;Table1[[#This Row],[Campo]]</f>
        <v>cd_imv_out_certifarea_util</v>
      </c>
      <c r="I464" s="3" t="s">
        <v>482</v>
      </c>
      <c r="J464" s="45">
        <f>VLOOKUP(Table1[[#This Row],[Status]],Auxiliar!$B$16:$C$23,2,0)</f>
        <v>6</v>
      </c>
      <c r="K464" s="3" t="s">
        <v>1137</v>
      </c>
      <c r="L464" s="30" t="s">
        <v>1135</v>
      </c>
      <c r="M464" s="22" t="s">
        <v>1145</v>
      </c>
      <c r="N464" s="53">
        <v>45485</v>
      </c>
      <c r="O464" s="22">
        <f>INDEX(Auxiliar!$D$5:$F$13,MATCH(Table1[[#This Row],[Tipologia_Testes]],Auxiliar!$B$5:$B$13,0),MATCH(Table1[[#This Row],[Complexidade]],Auxiliar!$D$4:$F$4,0))</f>
        <v>2</v>
      </c>
      <c r="P464" s="3" t="s">
        <v>1175</v>
      </c>
      <c r="Q464" s="3"/>
      <c r="R464" s="173">
        <v>45261</v>
      </c>
      <c r="S464" s="173"/>
      <c r="T464" s="173">
        <v>45562</v>
      </c>
      <c r="U464" s="173"/>
      <c r="V464" s="173"/>
      <c r="W464" s="3">
        <f>VLOOKUP(Table1[[#This Row],[Status]],Auxiliar!$B$16:$D$23,3,0)*Table1[[#This Row],[Estimação (horas)]]</f>
        <v>0.5</v>
      </c>
      <c r="X464" s="3"/>
    </row>
    <row r="465" spans="2:24" ht="17.399999999999999">
      <c r="B465" s="3" t="s">
        <v>28</v>
      </c>
      <c r="C465" s="3" t="s">
        <v>54</v>
      </c>
      <c r="D465" s="3" t="s">
        <v>121</v>
      </c>
      <c r="E465" s="3" t="s">
        <v>38</v>
      </c>
      <c r="F465" s="3" t="s">
        <v>120</v>
      </c>
      <c r="G465" s="3" t="s">
        <v>95</v>
      </c>
      <c r="H465" s="63" t="str">
        <f>Table1[[#This Row],[Tabela]]&amp;Table1[[#This Row],[Campo]]</f>
        <v>cd_imv_out_certifarea_util</v>
      </c>
      <c r="I465" s="3" t="s">
        <v>482</v>
      </c>
      <c r="J465" s="45">
        <f>VLOOKUP(Table1[[#This Row],[Status]],Auxiliar!$B$16:$C$23,2,0)</f>
        <v>6</v>
      </c>
      <c r="K465" s="3" t="s">
        <v>1138</v>
      </c>
      <c r="L465" s="30" t="s">
        <v>1135</v>
      </c>
      <c r="M465" s="22" t="s">
        <v>1145</v>
      </c>
      <c r="N465" s="53">
        <v>45485</v>
      </c>
      <c r="O465" s="22">
        <f>INDEX(Auxiliar!$D$5:$F$13,MATCH(Table1[[#This Row],[Tipologia_Testes]],Auxiliar!$B$5:$B$13,0),MATCH(Table1[[#This Row],[Complexidade]],Auxiliar!$D$4:$F$4,0))</f>
        <v>2</v>
      </c>
      <c r="P465" s="3" t="s">
        <v>1175</v>
      </c>
      <c r="Q465" s="3"/>
      <c r="R465" s="173"/>
      <c r="S465" s="173"/>
      <c r="T465" s="173">
        <v>45562</v>
      </c>
      <c r="U465" s="173"/>
      <c r="V465" s="173"/>
      <c r="W465" s="3">
        <f>VLOOKUP(Table1[[#This Row],[Status]],Auxiliar!$B$16:$D$23,3,0)*Table1[[#This Row],[Estimação (horas)]]</f>
        <v>0.5</v>
      </c>
      <c r="X465" s="3"/>
    </row>
    <row r="466" spans="2:24" ht="17.399999999999999">
      <c r="B466" s="3" t="s">
        <v>28</v>
      </c>
      <c r="C466" s="3" t="s">
        <v>54</v>
      </c>
      <c r="D466" s="3" t="s">
        <v>121</v>
      </c>
      <c r="E466" s="3" t="s">
        <v>38</v>
      </c>
      <c r="F466" s="3" t="s">
        <v>120</v>
      </c>
      <c r="G466" s="3" t="s">
        <v>95</v>
      </c>
      <c r="H466" s="63" t="str">
        <f>Table1[[#This Row],[Tabela]]&amp;Table1[[#This Row],[Campo]]</f>
        <v>cd_imv_out_certifarea_util</v>
      </c>
      <c r="I466" s="3" t="s">
        <v>482</v>
      </c>
      <c r="J466" s="45">
        <f>VLOOKUP(Table1[[#This Row],[Status]],Auxiliar!$B$16:$C$23,2,0)</f>
        <v>6</v>
      </c>
      <c r="K466" s="3" t="s">
        <v>1141</v>
      </c>
      <c r="L466" s="30" t="s">
        <v>1135</v>
      </c>
      <c r="M466" s="22" t="s">
        <v>1145</v>
      </c>
      <c r="N466" s="53">
        <v>45485</v>
      </c>
      <c r="O466" s="22">
        <f>INDEX(Auxiliar!$D$5:$F$13,MATCH(Table1[[#This Row],[Tipologia_Testes]],Auxiliar!$B$5:$B$13,0),MATCH(Table1[[#This Row],[Complexidade]],Auxiliar!$D$4:$F$4,0))</f>
        <v>0.1</v>
      </c>
      <c r="P466" s="3" t="s">
        <v>1175</v>
      </c>
      <c r="Q466" s="3"/>
      <c r="R466" s="173"/>
      <c r="S466" s="173"/>
      <c r="T466" s="173">
        <v>45562</v>
      </c>
      <c r="U466" s="173"/>
      <c r="V466" s="173"/>
      <c r="W466" s="3">
        <f>VLOOKUP(Table1[[#This Row],[Status]],Auxiliar!$B$16:$D$23,3,0)*Table1[[#This Row],[Estimação (horas)]]</f>
        <v>2.5000000000000001E-2</v>
      </c>
      <c r="X466" s="3"/>
    </row>
    <row r="467" spans="2:24" ht="17.399999999999999">
      <c r="B467" s="3" t="s">
        <v>28</v>
      </c>
      <c r="C467" s="3" t="s">
        <v>54</v>
      </c>
      <c r="D467" s="3" t="s">
        <v>121</v>
      </c>
      <c r="E467" s="3" t="s">
        <v>38</v>
      </c>
      <c r="F467" s="3" t="s">
        <v>120</v>
      </c>
      <c r="G467" s="3" t="s">
        <v>96</v>
      </c>
      <c r="H467" s="63" t="str">
        <f>Table1[[#This Row],[Tabela]]&amp;Table1[[#This Row],[Campo]]</f>
        <v>cd_imv_out_certifcod_art_matr</v>
      </c>
      <c r="I467" s="3" t="s">
        <v>482</v>
      </c>
      <c r="J467" s="45">
        <f>VLOOKUP(Table1[[#This Row],[Status]],Auxiliar!$B$16:$C$23,2,0)</f>
        <v>6</v>
      </c>
      <c r="K467" s="3" t="s">
        <v>1137</v>
      </c>
      <c r="L467" s="30" t="s">
        <v>1135</v>
      </c>
      <c r="M467" s="22" t="s">
        <v>1145</v>
      </c>
      <c r="N467" s="53">
        <v>45485</v>
      </c>
      <c r="O467" s="22">
        <f>INDEX(Auxiliar!$D$5:$F$13,MATCH(Table1[[#This Row],[Tipologia_Testes]],Auxiliar!$B$5:$B$13,0),MATCH(Table1[[#This Row],[Complexidade]],Auxiliar!$D$4:$F$4,0))</f>
        <v>2</v>
      </c>
      <c r="P467" s="3" t="s">
        <v>1175</v>
      </c>
      <c r="Q467" s="3"/>
      <c r="R467" s="173">
        <v>45261</v>
      </c>
      <c r="S467" s="173"/>
      <c r="T467" s="173">
        <v>45562</v>
      </c>
      <c r="U467" s="173"/>
      <c r="V467" s="173"/>
      <c r="W467" s="3">
        <f>VLOOKUP(Table1[[#This Row],[Status]],Auxiliar!$B$16:$D$23,3,0)*Table1[[#This Row],[Estimação (horas)]]</f>
        <v>0.5</v>
      </c>
      <c r="X467" s="3"/>
    </row>
    <row r="468" spans="2:24" ht="17.399999999999999">
      <c r="B468" s="3" t="s">
        <v>28</v>
      </c>
      <c r="C468" s="3" t="s">
        <v>54</v>
      </c>
      <c r="D468" s="3" t="s">
        <v>121</v>
      </c>
      <c r="E468" s="3" t="s">
        <v>38</v>
      </c>
      <c r="F468" s="3" t="s">
        <v>120</v>
      </c>
      <c r="G468" s="3" t="s">
        <v>96</v>
      </c>
      <c r="H468" s="63" t="str">
        <f>Table1[[#This Row],[Tabela]]&amp;Table1[[#This Row],[Campo]]</f>
        <v>cd_imv_out_certifcod_art_matr</v>
      </c>
      <c r="I468" s="3" t="s">
        <v>482</v>
      </c>
      <c r="J468" s="45">
        <f>VLOOKUP(Table1[[#This Row],[Status]],Auxiliar!$B$16:$C$23,2,0)</f>
        <v>6</v>
      </c>
      <c r="K468" s="3" t="s">
        <v>1138</v>
      </c>
      <c r="L468" s="30" t="s">
        <v>1135</v>
      </c>
      <c r="M468" s="22" t="s">
        <v>1145</v>
      </c>
      <c r="N468" s="53">
        <v>45485</v>
      </c>
      <c r="O468" s="22">
        <f>INDEX(Auxiliar!$D$5:$F$13,MATCH(Table1[[#This Row],[Tipologia_Testes]],Auxiliar!$B$5:$B$13,0),MATCH(Table1[[#This Row],[Complexidade]],Auxiliar!$D$4:$F$4,0))</f>
        <v>2</v>
      </c>
      <c r="P468" s="3" t="s">
        <v>1175</v>
      </c>
      <c r="Q468" s="3"/>
      <c r="R468" s="173"/>
      <c r="S468" s="173"/>
      <c r="T468" s="173">
        <v>45562</v>
      </c>
      <c r="U468" s="173"/>
      <c r="V468" s="173"/>
      <c r="W468" s="3">
        <f>VLOOKUP(Table1[[#This Row],[Status]],Auxiliar!$B$16:$D$23,3,0)*Table1[[#This Row],[Estimação (horas)]]</f>
        <v>0.5</v>
      </c>
      <c r="X468" s="3"/>
    </row>
    <row r="469" spans="2:24" ht="17.399999999999999">
      <c r="B469" s="3" t="s">
        <v>28</v>
      </c>
      <c r="C469" s="3" t="s">
        <v>54</v>
      </c>
      <c r="D469" s="3" t="s">
        <v>121</v>
      </c>
      <c r="E469" s="3" t="s">
        <v>38</v>
      </c>
      <c r="F469" s="3" t="s">
        <v>120</v>
      </c>
      <c r="G469" s="3" t="s">
        <v>96</v>
      </c>
      <c r="H469" s="63" t="str">
        <f>Table1[[#This Row],[Tabela]]&amp;Table1[[#This Row],[Campo]]</f>
        <v>cd_imv_out_certifcod_art_matr</v>
      </c>
      <c r="I469" s="3" t="s">
        <v>482</v>
      </c>
      <c r="J469" s="45">
        <f>VLOOKUP(Table1[[#This Row],[Status]],Auxiliar!$B$16:$C$23,2,0)</f>
        <v>6</v>
      </c>
      <c r="K469" s="3" t="s">
        <v>1141</v>
      </c>
      <c r="L469" s="30" t="s">
        <v>1135</v>
      </c>
      <c r="M469" s="22" t="s">
        <v>1145</v>
      </c>
      <c r="N469" s="53">
        <v>45485</v>
      </c>
      <c r="O469" s="22">
        <f>INDEX(Auxiliar!$D$5:$F$13,MATCH(Table1[[#This Row],[Tipologia_Testes]],Auxiliar!$B$5:$B$13,0),MATCH(Table1[[#This Row],[Complexidade]],Auxiliar!$D$4:$F$4,0))</f>
        <v>0.1</v>
      </c>
      <c r="P469" s="3" t="s">
        <v>1175</v>
      </c>
      <c r="Q469" s="3"/>
      <c r="R469" s="173"/>
      <c r="S469" s="173"/>
      <c r="T469" s="173">
        <v>45562</v>
      </c>
      <c r="U469" s="173"/>
      <c r="V469" s="173"/>
      <c r="W469" s="3">
        <f>VLOOKUP(Table1[[#This Row],[Status]],Auxiliar!$B$16:$D$23,3,0)*Table1[[#This Row],[Estimação (horas)]]</f>
        <v>2.5000000000000001E-2</v>
      </c>
      <c r="X469" s="3"/>
    </row>
    <row r="470" spans="2:24" ht="17.399999999999999">
      <c r="B470" s="3" t="s">
        <v>28</v>
      </c>
      <c r="C470" s="3" t="s">
        <v>54</v>
      </c>
      <c r="D470" s="3" t="s">
        <v>121</v>
      </c>
      <c r="E470" s="3" t="s">
        <v>38</v>
      </c>
      <c r="F470" s="3" t="s">
        <v>120</v>
      </c>
      <c r="G470" s="3" t="s">
        <v>99</v>
      </c>
      <c r="H470" s="63" t="str">
        <f>Table1[[#This Row],[Tabela]]&amp;Table1[[#This Row],[Campo]]</f>
        <v>cd_imv_out_certifcod_disconf</v>
      </c>
      <c r="I470" s="3" t="s">
        <v>482</v>
      </c>
      <c r="J470" s="45">
        <f>VLOOKUP(Table1[[#This Row],[Status]],Auxiliar!$B$16:$C$23,2,0)</f>
        <v>6</v>
      </c>
      <c r="K470" s="3" t="s">
        <v>1137</v>
      </c>
      <c r="L470" s="30" t="s">
        <v>1135</v>
      </c>
      <c r="M470" s="22" t="s">
        <v>1145</v>
      </c>
      <c r="N470" s="53">
        <v>45485</v>
      </c>
      <c r="O470" s="22">
        <f>INDEX(Auxiliar!$D$5:$F$13,MATCH(Table1[[#This Row],[Tipologia_Testes]],Auxiliar!$B$5:$B$13,0),MATCH(Table1[[#This Row],[Complexidade]],Auxiliar!$D$4:$F$4,0))</f>
        <v>2</v>
      </c>
      <c r="P470" s="3" t="s">
        <v>1175</v>
      </c>
      <c r="Q470" s="3"/>
      <c r="R470" s="173">
        <v>45261</v>
      </c>
      <c r="S470" s="173"/>
      <c r="T470" s="173">
        <v>45562</v>
      </c>
      <c r="U470" s="173"/>
      <c r="V470" s="173"/>
      <c r="W470" s="3">
        <f>VLOOKUP(Table1[[#This Row],[Status]],Auxiliar!$B$16:$D$23,3,0)*Table1[[#This Row],[Estimação (horas)]]</f>
        <v>0.5</v>
      </c>
      <c r="X470" s="3"/>
    </row>
    <row r="471" spans="2:24" ht="17.399999999999999">
      <c r="B471" s="3" t="s">
        <v>28</v>
      </c>
      <c r="C471" s="3" t="s">
        <v>54</v>
      </c>
      <c r="D471" s="3" t="s">
        <v>121</v>
      </c>
      <c r="E471" s="3" t="s">
        <v>38</v>
      </c>
      <c r="F471" s="3" t="s">
        <v>120</v>
      </c>
      <c r="G471" s="3" t="s">
        <v>99</v>
      </c>
      <c r="H471" s="63" t="str">
        <f>Table1[[#This Row],[Tabela]]&amp;Table1[[#This Row],[Campo]]</f>
        <v>cd_imv_out_certifcod_disconf</v>
      </c>
      <c r="I471" s="3" t="s">
        <v>482</v>
      </c>
      <c r="J471" s="45">
        <f>VLOOKUP(Table1[[#This Row],[Status]],Auxiliar!$B$16:$C$23,2,0)</f>
        <v>6</v>
      </c>
      <c r="K471" s="3" t="s">
        <v>1138</v>
      </c>
      <c r="L471" s="30" t="s">
        <v>1135</v>
      </c>
      <c r="M471" s="22" t="s">
        <v>1145</v>
      </c>
      <c r="N471" s="53">
        <v>45485</v>
      </c>
      <c r="O471" s="22">
        <f>INDEX(Auxiliar!$D$5:$F$13,MATCH(Table1[[#This Row],[Tipologia_Testes]],Auxiliar!$B$5:$B$13,0),MATCH(Table1[[#This Row],[Complexidade]],Auxiliar!$D$4:$F$4,0))</f>
        <v>2</v>
      </c>
      <c r="P471" s="3" t="s">
        <v>1175</v>
      </c>
      <c r="Q471" s="3"/>
      <c r="R471" s="173"/>
      <c r="S471" s="173"/>
      <c r="T471" s="173">
        <v>45562</v>
      </c>
      <c r="U471" s="173"/>
      <c r="V471" s="173"/>
      <c r="W471" s="3">
        <f>VLOOKUP(Table1[[#This Row],[Status]],Auxiliar!$B$16:$D$23,3,0)*Table1[[#This Row],[Estimação (horas)]]</f>
        <v>0.5</v>
      </c>
      <c r="X471" s="3"/>
    </row>
    <row r="472" spans="2:24" ht="17.399999999999999">
      <c r="B472" s="3" t="s">
        <v>28</v>
      </c>
      <c r="C472" s="3" t="s">
        <v>54</v>
      </c>
      <c r="D472" s="3" t="s">
        <v>121</v>
      </c>
      <c r="E472" s="3" t="s">
        <v>38</v>
      </c>
      <c r="F472" s="3" t="s">
        <v>120</v>
      </c>
      <c r="G472" s="3" t="s">
        <v>99</v>
      </c>
      <c r="H472" s="63" t="str">
        <f>Table1[[#This Row],[Tabela]]&amp;Table1[[#This Row],[Campo]]</f>
        <v>cd_imv_out_certifcod_disconf</v>
      </c>
      <c r="I472" s="3" t="s">
        <v>482</v>
      </c>
      <c r="J472" s="45">
        <f>VLOOKUP(Table1[[#This Row],[Status]],Auxiliar!$B$16:$C$23,2,0)</f>
        <v>6</v>
      </c>
      <c r="K472" s="3" t="s">
        <v>1141</v>
      </c>
      <c r="L472" s="30" t="s">
        <v>1135</v>
      </c>
      <c r="M472" s="22" t="s">
        <v>1145</v>
      </c>
      <c r="N472" s="53">
        <v>45485</v>
      </c>
      <c r="O472" s="22">
        <f>INDEX(Auxiliar!$D$5:$F$13,MATCH(Table1[[#This Row],[Tipologia_Testes]],Auxiliar!$B$5:$B$13,0),MATCH(Table1[[#This Row],[Complexidade]],Auxiliar!$D$4:$F$4,0))</f>
        <v>0.1</v>
      </c>
      <c r="P472" s="3" t="s">
        <v>1175</v>
      </c>
      <c r="Q472" s="3"/>
      <c r="R472" s="173"/>
      <c r="S472" s="173"/>
      <c r="T472" s="173">
        <v>45562</v>
      </c>
      <c r="U472" s="173"/>
      <c r="V472" s="173"/>
      <c r="W472" s="3">
        <f>VLOOKUP(Table1[[#This Row],[Status]],Auxiliar!$B$16:$D$23,3,0)*Table1[[#This Row],[Estimação (horas)]]</f>
        <v>2.5000000000000001E-2</v>
      </c>
      <c r="X472" s="3"/>
    </row>
    <row r="473" spans="2:24" ht="17.399999999999999">
      <c r="B473" s="3" t="s">
        <v>28</v>
      </c>
      <c r="C473" s="3" t="s">
        <v>54</v>
      </c>
      <c r="D473" s="3" t="s">
        <v>121</v>
      </c>
      <c r="E473" s="3" t="s">
        <v>38</v>
      </c>
      <c r="F473" s="3" t="s">
        <v>120</v>
      </c>
      <c r="G473" s="3" t="s">
        <v>100</v>
      </c>
      <c r="H473" s="63" t="str">
        <f>Table1[[#This Row],[Tabela]]&amp;Table1[[#This Row],[Campo]]</f>
        <v>cd_imv_out_certifcod_fin_bem</v>
      </c>
      <c r="I473" s="3" t="s">
        <v>482</v>
      </c>
      <c r="J473" s="45">
        <f>VLOOKUP(Table1[[#This Row],[Status]],Auxiliar!$B$16:$C$23,2,0)</f>
        <v>6</v>
      </c>
      <c r="K473" s="3" t="s">
        <v>1137</v>
      </c>
      <c r="L473" s="30" t="s">
        <v>1135</v>
      </c>
      <c r="M473" s="22" t="s">
        <v>1145</v>
      </c>
      <c r="N473" s="53">
        <v>45485</v>
      </c>
      <c r="O473" s="22">
        <f>INDEX(Auxiliar!$D$5:$F$13,MATCH(Table1[[#This Row],[Tipologia_Testes]],Auxiliar!$B$5:$B$13,0),MATCH(Table1[[#This Row],[Complexidade]],Auxiliar!$D$4:$F$4,0))</f>
        <v>2</v>
      </c>
      <c r="P473" s="3" t="s">
        <v>1175</v>
      </c>
      <c r="Q473" s="3"/>
      <c r="R473" s="173">
        <v>45261</v>
      </c>
      <c r="S473" s="173"/>
      <c r="T473" s="173">
        <v>45562</v>
      </c>
      <c r="U473" s="173"/>
      <c r="V473" s="173"/>
      <c r="W473" s="3">
        <f>VLOOKUP(Table1[[#This Row],[Status]],Auxiliar!$B$16:$D$23,3,0)*Table1[[#This Row],[Estimação (horas)]]</f>
        <v>0.5</v>
      </c>
      <c r="X473" s="3"/>
    </row>
    <row r="474" spans="2:24" ht="17.399999999999999">
      <c r="B474" s="3" t="s">
        <v>28</v>
      </c>
      <c r="C474" s="3" t="s">
        <v>54</v>
      </c>
      <c r="D474" s="3" t="s">
        <v>121</v>
      </c>
      <c r="E474" s="3" t="s">
        <v>38</v>
      </c>
      <c r="F474" s="3" t="s">
        <v>120</v>
      </c>
      <c r="G474" s="3" t="s">
        <v>100</v>
      </c>
      <c r="H474" s="63" t="str">
        <f>Table1[[#This Row],[Tabela]]&amp;Table1[[#This Row],[Campo]]</f>
        <v>cd_imv_out_certifcod_fin_bem</v>
      </c>
      <c r="I474" s="3" t="s">
        <v>482</v>
      </c>
      <c r="J474" s="45">
        <f>VLOOKUP(Table1[[#This Row],[Status]],Auxiliar!$B$16:$C$23,2,0)</f>
        <v>6</v>
      </c>
      <c r="K474" s="3" t="s">
        <v>1138</v>
      </c>
      <c r="L474" s="30" t="s">
        <v>1135</v>
      </c>
      <c r="M474" s="22" t="s">
        <v>1145</v>
      </c>
      <c r="N474" s="53">
        <v>45485</v>
      </c>
      <c r="O474" s="22">
        <f>INDEX(Auxiliar!$D$5:$F$13,MATCH(Table1[[#This Row],[Tipologia_Testes]],Auxiliar!$B$5:$B$13,0),MATCH(Table1[[#This Row],[Complexidade]],Auxiliar!$D$4:$F$4,0))</f>
        <v>2</v>
      </c>
      <c r="P474" s="3" t="s">
        <v>1175</v>
      </c>
      <c r="Q474" s="3"/>
      <c r="R474" s="173"/>
      <c r="S474" s="173"/>
      <c r="T474" s="173">
        <v>45562</v>
      </c>
      <c r="U474" s="173"/>
      <c r="V474" s="173"/>
      <c r="W474" s="3">
        <f>VLOOKUP(Table1[[#This Row],[Status]],Auxiliar!$B$16:$D$23,3,0)*Table1[[#This Row],[Estimação (horas)]]</f>
        <v>0.5</v>
      </c>
      <c r="X474" s="3"/>
    </row>
    <row r="475" spans="2:24" ht="17.399999999999999">
      <c r="B475" s="3" t="s">
        <v>28</v>
      </c>
      <c r="C475" s="3" t="s">
        <v>54</v>
      </c>
      <c r="D475" s="3" t="s">
        <v>121</v>
      </c>
      <c r="E475" s="3" t="s">
        <v>38</v>
      </c>
      <c r="F475" s="3" t="s">
        <v>120</v>
      </c>
      <c r="G475" s="3" t="s">
        <v>100</v>
      </c>
      <c r="H475" s="63" t="str">
        <f>Table1[[#This Row],[Tabela]]&amp;Table1[[#This Row],[Campo]]</f>
        <v>cd_imv_out_certifcod_fin_bem</v>
      </c>
      <c r="I475" s="3" t="s">
        <v>482</v>
      </c>
      <c r="J475" s="45">
        <f>VLOOKUP(Table1[[#This Row],[Status]],Auxiliar!$B$16:$C$23,2,0)</f>
        <v>6</v>
      </c>
      <c r="K475" s="3" t="s">
        <v>1141</v>
      </c>
      <c r="L475" s="30" t="s">
        <v>1135</v>
      </c>
      <c r="M475" s="22" t="s">
        <v>1145</v>
      </c>
      <c r="N475" s="53">
        <v>45485</v>
      </c>
      <c r="O475" s="22">
        <f>INDEX(Auxiliar!$D$5:$F$13,MATCH(Table1[[#This Row],[Tipologia_Testes]],Auxiliar!$B$5:$B$13,0),MATCH(Table1[[#This Row],[Complexidade]],Auxiliar!$D$4:$F$4,0))</f>
        <v>0.1</v>
      </c>
      <c r="P475" s="3" t="s">
        <v>1175</v>
      </c>
      <c r="Q475" s="3"/>
      <c r="R475" s="173"/>
      <c r="S475" s="173"/>
      <c r="T475" s="173">
        <v>45562</v>
      </c>
      <c r="U475" s="173"/>
      <c r="V475" s="173"/>
      <c r="W475" s="3">
        <f>VLOOKUP(Table1[[#This Row],[Status]],Auxiliar!$B$16:$D$23,3,0)*Table1[[#This Row],[Estimação (horas)]]</f>
        <v>2.5000000000000001E-2</v>
      </c>
      <c r="X475" s="3"/>
    </row>
    <row r="476" spans="2:24" ht="17.399999999999999">
      <c r="B476" s="3" t="s">
        <v>28</v>
      </c>
      <c r="C476" s="3" t="s">
        <v>54</v>
      </c>
      <c r="D476" s="3" t="s">
        <v>121</v>
      </c>
      <c r="E476" s="3" t="s">
        <v>38</v>
      </c>
      <c r="F476" s="3" t="s">
        <v>120</v>
      </c>
      <c r="G476" s="3" t="s">
        <v>102</v>
      </c>
      <c r="H476" s="63" t="str">
        <f>Table1[[#This Row],[Tabela]]&amp;Table1[[#This Row],[Campo]]</f>
        <v>cd_imv_out_certifcod_morada</v>
      </c>
      <c r="I476" s="3" t="s">
        <v>482</v>
      </c>
      <c r="J476" s="45">
        <f>VLOOKUP(Table1[[#This Row],[Status]],Auxiliar!$B$16:$C$23,2,0)</f>
        <v>6</v>
      </c>
      <c r="K476" s="3" t="s">
        <v>1137</v>
      </c>
      <c r="L476" s="30" t="s">
        <v>1135</v>
      </c>
      <c r="M476" s="22" t="s">
        <v>1145</v>
      </c>
      <c r="N476" s="53">
        <v>45485</v>
      </c>
      <c r="O476" s="22">
        <f>INDEX(Auxiliar!$D$5:$F$13,MATCH(Table1[[#This Row],[Tipologia_Testes]],Auxiliar!$B$5:$B$13,0),MATCH(Table1[[#This Row],[Complexidade]],Auxiliar!$D$4:$F$4,0))</f>
        <v>2</v>
      </c>
      <c r="P476" s="3" t="s">
        <v>1175</v>
      </c>
      <c r="Q476" s="3"/>
      <c r="R476" s="173">
        <v>45261</v>
      </c>
      <c r="S476" s="173"/>
      <c r="T476" s="173">
        <v>45562</v>
      </c>
      <c r="U476" s="173"/>
      <c r="V476" s="173"/>
      <c r="W476" s="3">
        <f>VLOOKUP(Table1[[#This Row],[Status]],Auxiliar!$B$16:$D$23,3,0)*Table1[[#This Row],[Estimação (horas)]]</f>
        <v>0.5</v>
      </c>
      <c r="X476" s="3"/>
    </row>
    <row r="477" spans="2:24" ht="17.399999999999999">
      <c r="B477" s="3" t="s">
        <v>28</v>
      </c>
      <c r="C477" s="3" t="s">
        <v>54</v>
      </c>
      <c r="D477" s="3" t="s">
        <v>121</v>
      </c>
      <c r="E477" s="3" t="s">
        <v>38</v>
      </c>
      <c r="F477" s="3" t="s">
        <v>120</v>
      </c>
      <c r="G477" s="3" t="s">
        <v>102</v>
      </c>
      <c r="H477" s="63" t="str">
        <f>Table1[[#This Row],[Tabela]]&amp;Table1[[#This Row],[Campo]]</f>
        <v>cd_imv_out_certifcod_morada</v>
      </c>
      <c r="I477" s="3" t="s">
        <v>482</v>
      </c>
      <c r="J477" s="45">
        <f>VLOOKUP(Table1[[#This Row],[Status]],Auxiliar!$B$16:$C$23,2,0)</f>
        <v>6</v>
      </c>
      <c r="K477" s="3" t="s">
        <v>1138</v>
      </c>
      <c r="L477" s="30" t="s">
        <v>1135</v>
      </c>
      <c r="M477" s="22" t="s">
        <v>1145</v>
      </c>
      <c r="N477" s="53">
        <v>45485</v>
      </c>
      <c r="O477" s="22">
        <f>INDEX(Auxiliar!$D$5:$F$13,MATCH(Table1[[#This Row],[Tipologia_Testes]],Auxiliar!$B$5:$B$13,0),MATCH(Table1[[#This Row],[Complexidade]],Auxiliar!$D$4:$F$4,0))</f>
        <v>2</v>
      </c>
      <c r="P477" s="3" t="s">
        <v>1175</v>
      </c>
      <c r="Q477" s="3"/>
      <c r="R477" s="173"/>
      <c r="S477" s="173"/>
      <c r="T477" s="173">
        <v>45562</v>
      </c>
      <c r="U477" s="173"/>
      <c r="V477" s="173"/>
      <c r="W477" s="3">
        <f>VLOOKUP(Table1[[#This Row],[Status]],Auxiliar!$B$16:$D$23,3,0)*Table1[[#This Row],[Estimação (horas)]]</f>
        <v>0.5</v>
      </c>
      <c r="X477" s="3"/>
    </row>
    <row r="478" spans="2:24" ht="17.399999999999999">
      <c r="B478" s="3" t="s">
        <v>28</v>
      </c>
      <c r="C478" s="3" t="s">
        <v>54</v>
      </c>
      <c r="D478" s="3" t="s">
        <v>121</v>
      </c>
      <c r="E478" s="3" t="s">
        <v>38</v>
      </c>
      <c r="F478" s="3" t="s">
        <v>120</v>
      </c>
      <c r="G478" s="3" t="s">
        <v>102</v>
      </c>
      <c r="H478" s="63" t="str">
        <f>Table1[[#This Row],[Tabela]]&amp;Table1[[#This Row],[Campo]]</f>
        <v>cd_imv_out_certifcod_morada</v>
      </c>
      <c r="I478" s="3" t="s">
        <v>482</v>
      </c>
      <c r="J478" s="45">
        <f>VLOOKUP(Table1[[#This Row],[Status]],Auxiliar!$B$16:$C$23,2,0)</f>
        <v>6</v>
      </c>
      <c r="K478" s="3" t="s">
        <v>1141</v>
      </c>
      <c r="L478" s="30" t="s">
        <v>1135</v>
      </c>
      <c r="M478" s="22" t="s">
        <v>1145</v>
      </c>
      <c r="N478" s="53">
        <v>45485</v>
      </c>
      <c r="O478" s="22">
        <f>INDEX(Auxiliar!$D$5:$F$13,MATCH(Table1[[#This Row],[Tipologia_Testes]],Auxiliar!$B$5:$B$13,0),MATCH(Table1[[#This Row],[Complexidade]],Auxiliar!$D$4:$F$4,0))</f>
        <v>0.1</v>
      </c>
      <c r="P478" s="3" t="s">
        <v>1175</v>
      </c>
      <c r="Q478" s="3"/>
      <c r="R478" s="173"/>
      <c r="S478" s="173"/>
      <c r="T478" s="173">
        <v>45562</v>
      </c>
      <c r="U478" s="173"/>
      <c r="V478" s="173"/>
      <c r="W478" s="3">
        <f>VLOOKUP(Table1[[#This Row],[Status]],Auxiliar!$B$16:$D$23,3,0)*Table1[[#This Row],[Estimação (horas)]]</f>
        <v>2.5000000000000001E-2</v>
      </c>
      <c r="X478" s="3"/>
    </row>
    <row r="479" spans="2:24" ht="17.399999999999999">
      <c r="B479" s="3" t="s">
        <v>28</v>
      </c>
      <c r="C479" s="3" t="s">
        <v>54</v>
      </c>
      <c r="D479" s="3" t="s">
        <v>121</v>
      </c>
      <c r="E479" s="3" t="s">
        <v>38</v>
      </c>
      <c r="F479" s="3" t="s">
        <v>120</v>
      </c>
      <c r="G479" s="3" t="s">
        <v>109</v>
      </c>
      <c r="H479" s="63" t="str">
        <f>Table1[[#This Row],[Tabela]]&amp;Table1[[#This Row],[Campo]]</f>
        <v>cd_imv_out_certifid_frac</v>
      </c>
      <c r="I479" s="3" t="s">
        <v>482</v>
      </c>
      <c r="J479" s="45">
        <f>VLOOKUP(Table1[[#This Row],[Status]],Auxiliar!$B$16:$C$23,2,0)</f>
        <v>6</v>
      </c>
      <c r="K479" s="3" t="s">
        <v>1137</v>
      </c>
      <c r="L479" s="30" t="s">
        <v>1135</v>
      </c>
      <c r="M479" s="22" t="s">
        <v>1145</v>
      </c>
      <c r="N479" s="53">
        <v>45485</v>
      </c>
      <c r="O479" s="22">
        <f>INDEX(Auxiliar!$D$5:$F$13,MATCH(Table1[[#This Row],[Tipologia_Testes]],Auxiliar!$B$5:$B$13,0),MATCH(Table1[[#This Row],[Complexidade]],Auxiliar!$D$4:$F$4,0))</f>
        <v>2</v>
      </c>
      <c r="P479" s="3" t="s">
        <v>1175</v>
      </c>
      <c r="Q479" s="3"/>
      <c r="R479" s="173">
        <v>45261</v>
      </c>
      <c r="S479" s="173"/>
      <c r="T479" s="173">
        <v>45562</v>
      </c>
      <c r="U479" s="173"/>
      <c r="V479" s="173"/>
      <c r="W479" s="3">
        <f>VLOOKUP(Table1[[#This Row],[Status]],Auxiliar!$B$16:$D$23,3,0)*Table1[[#This Row],[Estimação (horas)]]</f>
        <v>0.5</v>
      </c>
      <c r="X479" s="3"/>
    </row>
    <row r="480" spans="2:24" ht="17.399999999999999">
      <c r="B480" s="3" t="s">
        <v>28</v>
      </c>
      <c r="C480" s="3" t="s">
        <v>54</v>
      </c>
      <c r="D480" s="3" t="s">
        <v>121</v>
      </c>
      <c r="E480" s="3" t="s">
        <v>38</v>
      </c>
      <c r="F480" s="3" t="s">
        <v>120</v>
      </c>
      <c r="G480" s="3" t="s">
        <v>109</v>
      </c>
      <c r="H480" s="63" t="str">
        <f>Table1[[#This Row],[Tabela]]&amp;Table1[[#This Row],[Campo]]</f>
        <v>cd_imv_out_certifid_frac</v>
      </c>
      <c r="I480" s="3" t="s">
        <v>482</v>
      </c>
      <c r="J480" s="45">
        <f>VLOOKUP(Table1[[#This Row],[Status]],Auxiliar!$B$16:$C$23,2,0)</f>
        <v>6</v>
      </c>
      <c r="K480" s="3" t="s">
        <v>1138</v>
      </c>
      <c r="L480" s="30" t="s">
        <v>1135</v>
      </c>
      <c r="M480" s="22" t="s">
        <v>1145</v>
      </c>
      <c r="N480" s="53">
        <v>45485</v>
      </c>
      <c r="O480" s="22">
        <f>INDEX(Auxiliar!$D$5:$F$13,MATCH(Table1[[#This Row],[Tipologia_Testes]],Auxiliar!$B$5:$B$13,0),MATCH(Table1[[#This Row],[Complexidade]],Auxiliar!$D$4:$F$4,0))</f>
        <v>2</v>
      </c>
      <c r="P480" s="3" t="s">
        <v>1175</v>
      </c>
      <c r="Q480" s="3"/>
      <c r="R480" s="173"/>
      <c r="S480" s="173"/>
      <c r="T480" s="173">
        <v>45562</v>
      </c>
      <c r="U480" s="173"/>
      <c r="V480" s="173"/>
      <c r="W480" s="3">
        <f>VLOOKUP(Table1[[#This Row],[Status]],Auxiliar!$B$16:$D$23,3,0)*Table1[[#This Row],[Estimação (horas)]]</f>
        <v>0.5</v>
      </c>
      <c r="X480" s="3"/>
    </row>
    <row r="481" spans="2:24" ht="17.399999999999999">
      <c r="B481" s="3" t="s">
        <v>28</v>
      </c>
      <c r="C481" s="3" t="s">
        <v>54</v>
      </c>
      <c r="D481" s="3" t="s">
        <v>121</v>
      </c>
      <c r="E481" s="3" t="s">
        <v>38</v>
      </c>
      <c r="F481" s="3" t="s">
        <v>120</v>
      </c>
      <c r="G481" s="3" t="s">
        <v>109</v>
      </c>
      <c r="H481" s="63" t="str">
        <f>Table1[[#This Row],[Tabela]]&amp;Table1[[#This Row],[Campo]]</f>
        <v>cd_imv_out_certifid_frac</v>
      </c>
      <c r="I481" s="3" t="s">
        <v>482</v>
      </c>
      <c r="J481" s="45">
        <f>VLOOKUP(Table1[[#This Row],[Status]],Auxiliar!$B$16:$C$23,2,0)</f>
        <v>6</v>
      </c>
      <c r="K481" s="3" t="s">
        <v>1141</v>
      </c>
      <c r="L481" s="30" t="s">
        <v>1135</v>
      </c>
      <c r="M481" s="22" t="s">
        <v>1145</v>
      </c>
      <c r="N481" s="53">
        <v>45485</v>
      </c>
      <c r="O481" s="22">
        <f>INDEX(Auxiliar!$D$5:$F$13,MATCH(Table1[[#This Row],[Tipologia_Testes]],Auxiliar!$B$5:$B$13,0),MATCH(Table1[[#This Row],[Complexidade]],Auxiliar!$D$4:$F$4,0))</f>
        <v>0.1</v>
      </c>
      <c r="P481" s="3" t="s">
        <v>1175</v>
      </c>
      <c r="Q481" s="3"/>
      <c r="R481" s="173"/>
      <c r="S481" s="173"/>
      <c r="T481" s="173">
        <v>45562</v>
      </c>
      <c r="U481" s="173"/>
      <c r="V481" s="173"/>
      <c r="W481" s="3">
        <f>VLOOKUP(Table1[[#This Row],[Status]],Auxiliar!$B$16:$D$23,3,0)*Table1[[#This Row],[Estimação (horas)]]</f>
        <v>2.5000000000000001E-2</v>
      </c>
      <c r="X481" s="3"/>
    </row>
    <row r="482" spans="2:24" ht="17.399999999999999">
      <c r="B482" s="3" t="s">
        <v>28</v>
      </c>
      <c r="C482" s="3" t="s">
        <v>54</v>
      </c>
      <c r="D482" s="3" t="s">
        <v>121</v>
      </c>
      <c r="E482" s="3" t="s">
        <v>38</v>
      </c>
      <c r="F482" s="3" t="s">
        <v>120</v>
      </c>
      <c r="G482" s="3" t="s">
        <v>110</v>
      </c>
      <c r="H482" s="63" t="str">
        <f>Table1[[#This Row],[Tabela]]&amp;Table1[[#This Row],[Campo]]</f>
        <v>cd_imv_out_certiflocalid</v>
      </c>
      <c r="I482" s="3" t="s">
        <v>482</v>
      </c>
      <c r="J482" s="45">
        <f>VLOOKUP(Table1[[#This Row],[Status]],Auxiliar!$B$16:$C$23,2,0)</f>
        <v>6</v>
      </c>
      <c r="K482" s="3" t="s">
        <v>1137</v>
      </c>
      <c r="L482" s="30" t="s">
        <v>1135</v>
      </c>
      <c r="M482" s="22" t="s">
        <v>1145</v>
      </c>
      <c r="N482" s="53">
        <v>45485</v>
      </c>
      <c r="O482" s="22">
        <f>INDEX(Auxiliar!$D$5:$F$13,MATCH(Table1[[#This Row],[Tipologia_Testes]],Auxiliar!$B$5:$B$13,0),MATCH(Table1[[#This Row],[Complexidade]],Auxiliar!$D$4:$F$4,0))</f>
        <v>2</v>
      </c>
      <c r="P482" s="3" t="s">
        <v>1175</v>
      </c>
      <c r="Q482" s="3"/>
      <c r="R482" s="173">
        <v>45261</v>
      </c>
      <c r="S482" s="173"/>
      <c r="T482" s="173">
        <v>45562</v>
      </c>
      <c r="U482" s="173"/>
      <c r="V482" s="173"/>
      <c r="W482" s="3">
        <f>VLOOKUP(Table1[[#This Row],[Status]],Auxiliar!$B$16:$D$23,3,0)*Table1[[#This Row],[Estimação (horas)]]</f>
        <v>0.5</v>
      </c>
      <c r="X482" s="3"/>
    </row>
    <row r="483" spans="2:24" ht="17.399999999999999">
      <c r="B483" s="3" t="s">
        <v>28</v>
      </c>
      <c r="C483" s="3" t="s">
        <v>54</v>
      </c>
      <c r="D483" s="3" t="s">
        <v>121</v>
      </c>
      <c r="E483" s="3" t="s">
        <v>38</v>
      </c>
      <c r="F483" s="3" t="s">
        <v>120</v>
      </c>
      <c r="G483" s="3" t="s">
        <v>110</v>
      </c>
      <c r="H483" s="63" t="str">
        <f>Table1[[#This Row],[Tabela]]&amp;Table1[[#This Row],[Campo]]</f>
        <v>cd_imv_out_certiflocalid</v>
      </c>
      <c r="I483" s="3" t="s">
        <v>482</v>
      </c>
      <c r="J483" s="45">
        <f>VLOOKUP(Table1[[#This Row],[Status]],Auxiliar!$B$16:$C$23,2,0)</f>
        <v>6</v>
      </c>
      <c r="K483" s="3" t="s">
        <v>1138</v>
      </c>
      <c r="L483" s="30" t="s">
        <v>1135</v>
      </c>
      <c r="M483" s="22" t="s">
        <v>1145</v>
      </c>
      <c r="N483" s="53">
        <v>45485</v>
      </c>
      <c r="O483" s="22">
        <f>INDEX(Auxiliar!$D$5:$F$13,MATCH(Table1[[#This Row],[Tipologia_Testes]],Auxiliar!$B$5:$B$13,0),MATCH(Table1[[#This Row],[Complexidade]],Auxiliar!$D$4:$F$4,0))</f>
        <v>2</v>
      </c>
      <c r="P483" s="3" t="s">
        <v>1175</v>
      </c>
      <c r="Q483" s="3"/>
      <c r="R483" s="173"/>
      <c r="S483" s="173"/>
      <c r="T483" s="173">
        <v>45562</v>
      </c>
      <c r="U483" s="173"/>
      <c r="V483" s="173"/>
      <c r="W483" s="3">
        <f>VLOOKUP(Table1[[#This Row],[Status]],Auxiliar!$B$16:$D$23,3,0)*Table1[[#This Row],[Estimação (horas)]]</f>
        <v>0.5</v>
      </c>
      <c r="X483" s="3"/>
    </row>
    <row r="484" spans="2:24" ht="17.399999999999999">
      <c r="B484" s="3" t="s">
        <v>28</v>
      </c>
      <c r="C484" s="3" t="s">
        <v>54</v>
      </c>
      <c r="D484" s="3" t="s">
        <v>121</v>
      </c>
      <c r="E484" s="3" t="s">
        <v>38</v>
      </c>
      <c r="F484" s="3" t="s">
        <v>120</v>
      </c>
      <c r="G484" s="3" t="s">
        <v>110</v>
      </c>
      <c r="H484" s="63" t="str">
        <f>Table1[[#This Row],[Tabela]]&amp;Table1[[#This Row],[Campo]]</f>
        <v>cd_imv_out_certiflocalid</v>
      </c>
      <c r="I484" s="3" t="s">
        <v>482</v>
      </c>
      <c r="J484" s="45">
        <f>VLOOKUP(Table1[[#This Row],[Status]],Auxiliar!$B$16:$C$23,2,0)</f>
        <v>6</v>
      </c>
      <c r="K484" s="3" t="s">
        <v>1141</v>
      </c>
      <c r="L484" s="30" t="s">
        <v>1135</v>
      </c>
      <c r="M484" s="22" t="s">
        <v>1145</v>
      </c>
      <c r="N484" s="53">
        <v>45485</v>
      </c>
      <c r="O484" s="22">
        <f>INDEX(Auxiliar!$D$5:$F$13,MATCH(Table1[[#This Row],[Tipologia_Testes]],Auxiliar!$B$5:$B$13,0),MATCH(Table1[[#This Row],[Complexidade]],Auxiliar!$D$4:$F$4,0))</f>
        <v>0.1</v>
      </c>
      <c r="P484" s="3" t="s">
        <v>1175</v>
      </c>
      <c r="Q484" s="3"/>
      <c r="R484" s="173"/>
      <c r="S484" s="173"/>
      <c r="T484" s="173">
        <v>45562</v>
      </c>
      <c r="U484" s="173"/>
      <c r="V484" s="173"/>
      <c r="W484" s="3">
        <f>VLOOKUP(Table1[[#This Row],[Status]],Auxiliar!$B$16:$D$23,3,0)*Table1[[#This Row],[Estimação (horas)]]</f>
        <v>2.5000000000000001E-2</v>
      </c>
      <c r="X484" s="3"/>
    </row>
    <row r="485" spans="2:24" ht="69.599999999999994" hidden="1" customHeight="1">
      <c r="B485" s="3" t="s">
        <v>28</v>
      </c>
      <c r="C485" s="3" t="s">
        <v>54</v>
      </c>
      <c r="D485" s="3" t="s">
        <v>38</v>
      </c>
      <c r="E485" s="3" t="s">
        <v>38</v>
      </c>
      <c r="F485" s="3" t="s">
        <v>55</v>
      </c>
      <c r="G485" s="3" t="s">
        <v>38</v>
      </c>
      <c r="H485" s="63" t="str">
        <f>Table1[[#This Row],[Tabela]]&amp;Table1[[#This Row],[Campo]]</f>
        <v>cd_imv_out_prcn.a.</v>
      </c>
      <c r="I485" s="3" t="s">
        <v>477</v>
      </c>
      <c r="J485" s="45">
        <f>VLOOKUP(Table1[[#This Row],[Status]],Auxiliar!$B$16:$C$23,2,0)</f>
        <v>1</v>
      </c>
      <c r="K485" s="3" t="s">
        <v>1134</v>
      </c>
      <c r="L485" s="3" t="s">
        <v>1135</v>
      </c>
      <c r="M485" s="22" t="s">
        <v>1136</v>
      </c>
      <c r="N485" s="53">
        <v>45512</v>
      </c>
      <c r="O485" s="22">
        <f>INDEX(Auxiliar!$D$5:$F$13,MATCH(Table1[[#This Row],[Tipologia_Testes]],Auxiliar!$B$5:$B$13,0),MATCH(Table1[[#This Row],[Complexidade]],Auxiliar!$D$4:$F$4,0))</f>
        <v>8</v>
      </c>
      <c r="P485" s="24" t="s">
        <v>1176</v>
      </c>
      <c r="Q485" s="3"/>
      <c r="R485" s="173">
        <v>45261</v>
      </c>
      <c r="S485" s="173"/>
      <c r="T485" s="173"/>
      <c r="U485" s="173"/>
      <c r="V485" s="173"/>
      <c r="W485" s="3">
        <f>VLOOKUP(Table1[[#This Row],[Status]],Auxiliar!$B$16:$D$23,3,0)*Table1[[#This Row],[Estimação (horas)]]</f>
        <v>8</v>
      </c>
      <c r="X485" s="3"/>
    </row>
    <row r="486" spans="2:24" ht="17.399999999999999" hidden="1" customHeight="1">
      <c r="B486" s="3" t="s">
        <v>28</v>
      </c>
      <c r="C486" s="3" t="s">
        <v>54</v>
      </c>
      <c r="D486" s="3" t="s">
        <v>38</v>
      </c>
      <c r="E486" s="3" t="s">
        <v>38</v>
      </c>
      <c r="F486" s="3" t="s">
        <v>55</v>
      </c>
      <c r="G486" s="3" t="s">
        <v>57</v>
      </c>
      <c r="H486" s="63" t="str">
        <f>Table1[[#This Row],[Tabela]]&amp;Table1[[#This Row],[Campo]]</f>
        <v>cd_imv_out_prccempresa</v>
      </c>
      <c r="I486" s="3" t="s">
        <v>477</v>
      </c>
      <c r="J486" s="45">
        <f>VLOOKUP(Table1[[#This Row],[Status]],Auxiliar!$B$16:$C$23,2,0)</f>
        <v>1</v>
      </c>
      <c r="K486" s="3" t="s">
        <v>1137</v>
      </c>
      <c r="L486" s="30" t="s">
        <v>1144</v>
      </c>
      <c r="M486" s="22" t="s">
        <v>1145</v>
      </c>
      <c r="N486" s="53">
        <v>45499</v>
      </c>
      <c r="O486" s="22">
        <f>INDEX(Auxiliar!$D$5:$F$13,MATCH(Table1[[#This Row],[Tipologia_Testes]],Auxiliar!$B$5:$B$13,0),MATCH(Table1[[#This Row],[Complexidade]],Auxiliar!$D$4:$F$4,0))</f>
        <v>2</v>
      </c>
      <c r="P486" s="3" t="s">
        <v>1177</v>
      </c>
      <c r="Q486" s="3" t="s">
        <v>1170</v>
      </c>
      <c r="R486" s="173">
        <v>45261</v>
      </c>
      <c r="S486" s="173">
        <v>45495</v>
      </c>
      <c r="T486" s="173"/>
      <c r="U486" s="173"/>
      <c r="V486" s="173"/>
      <c r="W486" s="3">
        <f>VLOOKUP(Table1[[#This Row],[Status]],Auxiliar!$B$16:$D$23,3,0)*Table1[[#This Row],[Estimação (horas)]]</f>
        <v>2</v>
      </c>
      <c r="X486" s="3"/>
    </row>
    <row r="487" spans="2:24" ht="17.399999999999999" hidden="1" customHeight="1">
      <c r="B487" s="3" t="s">
        <v>28</v>
      </c>
      <c r="C487" s="3" t="s">
        <v>54</v>
      </c>
      <c r="D487" s="3" t="s">
        <v>38</v>
      </c>
      <c r="E487" s="3" t="s">
        <v>38</v>
      </c>
      <c r="F487" s="3" t="s">
        <v>55</v>
      </c>
      <c r="G487" s="3" t="s">
        <v>57</v>
      </c>
      <c r="H487" s="63" t="str">
        <f>Table1[[#This Row],[Tabela]]&amp;Table1[[#This Row],[Campo]]</f>
        <v>cd_imv_out_prccempresa</v>
      </c>
      <c r="I487" s="3" t="s">
        <v>477</v>
      </c>
      <c r="J487" s="45">
        <f>VLOOKUP(Table1[[#This Row],[Status]],Auxiliar!$B$16:$C$23,2,0)</f>
        <v>1</v>
      </c>
      <c r="K487" s="3" t="s">
        <v>1138</v>
      </c>
      <c r="L487" s="30" t="s">
        <v>1144</v>
      </c>
      <c r="M487" s="22" t="s">
        <v>1145</v>
      </c>
      <c r="N487" s="53">
        <v>45499</v>
      </c>
      <c r="O487" s="22">
        <f>INDEX(Auxiliar!$D$5:$F$13,MATCH(Table1[[#This Row],[Tipologia_Testes]],Auxiliar!$B$5:$B$13,0),MATCH(Table1[[#This Row],[Complexidade]],Auxiliar!$D$4:$F$4,0))</f>
        <v>2</v>
      </c>
      <c r="P487" s="3" t="s">
        <v>1177</v>
      </c>
      <c r="Q487" s="3" t="s">
        <v>1170</v>
      </c>
      <c r="R487" s="173">
        <v>45261</v>
      </c>
      <c r="S487" s="173">
        <v>45495</v>
      </c>
      <c r="T487" s="173"/>
      <c r="U487" s="173"/>
      <c r="V487" s="173"/>
      <c r="W487" s="3">
        <f>VLOOKUP(Table1[[#This Row],[Status]],Auxiliar!$B$16:$D$23,3,0)*Table1[[#This Row],[Estimação (horas)]]</f>
        <v>2</v>
      </c>
      <c r="X487" s="3"/>
    </row>
    <row r="488" spans="2:24" ht="17.399999999999999" hidden="1" customHeight="1">
      <c r="B488" s="3" t="s">
        <v>28</v>
      </c>
      <c r="C488" s="3" t="s">
        <v>54</v>
      </c>
      <c r="D488" s="3" t="s">
        <v>38</v>
      </c>
      <c r="E488" s="3" t="s">
        <v>38</v>
      </c>
      <c r="F488" s="3" t="s">
        <v>55</v>
      </c>
      <c r="G488" s="3" t="s">
        <v>57</v>
      </c>
      <c r="H488" s="63" t="str">
        <f>Table1[[#This Row],[Tabela]]&amp;Table1[[#This Row],[Campo]]</f>
        <v>cd_imv_out_prccempresa</v>
      </c>
      <c r="I488" s="3" t="s">
        <v>477</v>
      </c>
      <c r="J488" s="45">
        <f>VLOOKUP(Table1[[#This Row],[Status]],Auxiliar!$B$16:$C$23,2,0)</f>
        <v>1</v>
      </c>
      <c r="K488" s="3" t="s">
        <v>1141</v>
      </c>
      <c r="L488" s="30" t="s">
        <v>1144</v>
      </c>
      <c r="M488" s="22" t="s">
        <v>1145</v>
      </c>
      <c r="N488" s="53">
        <v>45499</v>
      </c>
      <c r="O488" s="22">
        <f>INDEX(Auxiliar!$D$5:$F$13,MATCH(Table1[[#This Row],[Tipologia_Testes]],Auxiliar!$B$5:$B$13,0),MATCH(Table1[[#This Row],[Complexidade]],Auxiliar!$D$4:$F$4,0))</f>
        <v>0.1</v>
      </c>
      <c r="P488" s="3" t="s">
        <v>1177</v>
      </c>
      <c r="Q488" s="3" t="s">
        <v>1170</v>
      </c>
      <c r="R488" s="173">
        <v>45261</v>
      </c>
      <c r="S488" s="173">
        <v>45495</v>
      </c>
      <c r="T488" s="173"/>
      <c r="U488" s="173"/>
      <c r="V488" s="173"/>
      <c r="W488" s="3">
        <f>VLOOKUP(Table1[[#This Row],[Status]],Auxiliar!$B$16:$D$23,3,0)*Table1[[#This Row],[Estimação (horas)]]</f>
        <v>0.1</v>
      </c>
      <c r="X488" s="3"/>
    </row>
    <row r="489" spans="2:24" ht="17.399999999999999" hidden="1" customHeight="1">
      <c r="B489" s="3" t="s">
        <v>28</v>
      </c>
      <c r="C489" s="3" t="s">
        <v>54</v>
      </c>
      <c r="D489" s="3" t="s">
        <v>38</v>
      </c>
      <c r="E489" s="3" t="s">
        <v>38</v>
      </c>
      <c r="F489" s="3" t="s">
        <v>55</v>
      </c>
      <c r="G489" s="3" t="s">
        <v>58</v>
      </c>
      <c r="H489" s="63" t="str">
        <f>Table1[[#This Row],[Tabela]]&amp;Table1[[#This Row],[Campo]]</f>
        <v>cd_imv_out_prcckbalcao</v>
      </c>
      <c r="I489" s="3" t="s">
        <v>477</v>
      </c>
      <c r="J489" s="45">
        <f>VLOOKUP(Table1[[#This Row],[Status]],Auxiliar!$B$16:$C$23,2,0)</f>
        <v>1</v>
      </c>
      <c r="K489" s="3" t="s">
        <v>1137</v>
      </c>
      <c r="L489" s="30" t="s">
        <v>1144</v>
      </c>
      <c r="M489" s="22" t="s">
        <v>1145</v>
      </c>
      <c r="N489" s="53">
        <v>45499</v>
      </c>
      <c r="O489" s="22">
        <f>INDEX(Auxiliar!$D$5:$F$13,MATCH(Table1[[#This Row],[Tipologia_Testes]],Auxiliar!$B$5:$B$13,0),MATCH(Table1[[#This Row],[Complexidade]],Auxiliar!$D$4:$F$4,0))</f>
        <v>2</v>
      </c>
      <c r="P489" s="3" t="s">
        <v>1177</v>
      </c>
      <c r="Q489" s="3" t="s">
        <v>1170</v>
      </c>
      <c r="R489" s="173">
        <v>45261</v>
      </c>
      <c r="S489" s="173">
        <v>45495</v>
      </c>
      <c r="T489" s="173"/>
      <c r="U489" s="173"/>
      <c r="V489" s="173"/>
      <c r="W489" s="3">
        <f>VLOOKUP(Table1[[#This Row],[Status]],Auxiliar!$B$16:$D$23,3,0)*Table1[[#This Row],[Estimação (horas)]]</f>
        <v>2</v>
      </c>
      <c r="X489" s="3"/>
    </row>
    <row r="490" spans="2:24" ht="17.399999999999999" hidden="1" customHeight="1">
      <c r="B490" s="3" t="s">
        <v>28</v>
      </c>
      <c r="C490" s="3" t="s">
        <v>54</v>
      </c>
      <c r="D490" s="3" t="s">
        <v>38</v>
      </c>
      <c r="E490" s="3" t="s">
        <v>38</v>
      </c>
      <c r="F490" s="3" t="s">
        <v>55</v>
      </c>
      <c r="G490" s="3" t="s">
        <v>58</v>
      </c>
      <c r="H490" s="63" t="str">
        <f>Table1[[#This Row],[Tabela]]&amp;Table1[[#This Row],[Campo]]</f>
        <v>cd_imv_out_prcckbalcao</v>
      </c>
      <c r="I490" s="3" t="s">
        <v>477</v>
      </c>
      <c r="J490" s="45">
        <f>VLOOKUP(Table1[[#This Row],[Status]],Auxiliar!$B$16:$C$23,2,0)</f>
        <v>1</v>
      </c>
      <c r="K490" s="3" t="s">
        <v>1138</v>
      </c>
      <c r="L490" s="30" t="s">
        <v>1144</v>
      </c>
      <c r="M490" s="22" t="s">
        <v>1145</v>
      </c>
      <c r="N490" s="53">
        <v>45499</v>
      </c>
      <c r="O490" s="22">
        <f>INDEX(Auxiliar!$D$5:$F$13,MATCH(Table1[[#This Row],[Tipologia_Testes]],Auxiliar!$B$5:$B$13,0),MATCH(Table1[[#This Row],[Complexidade]],Auxiliar!$D$4:$F$4,0))</f>
        <v>2</v>
      </c>
      <c r="P490" s="3" t="s">
        <v>1177</v>
      </c>
      <c r="Q490" s="3" t="s">
        <v>1170</v>
      </c>
      <c r="R490" s="173">
        <v>45261</v>
      </c>
      <c r="S490" s="173">
        <v>45495</v>
      </c>
      <c r="T490" s="173"/>
      <c r="U490" s="173"/>
      <c r="V490" s="173"/>
      <c r="W490" s="3">
        <f>VLOOKUP(Table1[[#This Row],[Status]],Auxiliar!$B$16:$D$23,3,0)*Table1[[#This Row],[Estimação (horas)]]</f>
        <v>2</v>
      </c>
      <c r="X490" s="3"/>
    </row>
    <row r="491" spans="2:24" ht="17.399999999999999" hidden="1" customHeight="1">
      <c r="B491" s="3" t="s">
        <v>28</v>
      </c>
      <c r="C491" s="3" t="s">
        <v>54</v>
      </c>
      <c r="D491" s="3" t="s">
        <v>38</v>
      </c>
      <c r="E491" s="3" t="s">
        <v>38</v>
      </c>
      <c r="F491" s="3" t="s">
        <v>55</v>
      </c>
      <c r="G491" s="3" t="s">
        <v>58</v>
      </c>
      <c r="H491" s="63" t="str">
        <f>Table1[[#This Row],[Tabela]]&amp;Table1[[#This Row],[Campo]]</f>
        <v>cd_imv_out_prcckbalcao</v>
      </c>
      <c r="I491" s="3" t="s">
        <v>477</v>
      </c>
      <c r="J491" s="45">
        <f>VLOOKUP(Table1[[#This Row],[Status]],Auxiliar!$B$16:$C$23,2,0)</f>
        <v>1</v>
      </c>
      <c r="K491" s="3" t="s">
        <v>1141</v>
      </c>
      <c r="L491" s="30" t="s">
        <v>1144</v>
      </c>
      <c r="M491" s="22" t="s">
        <v>1145</v>
      </c>
      <c r="N491" s="53">
        <v>45499</v>
      </c>
      <c r="O491" s="22">
        <f>INDEX(Auxiliar!$D$5:$F$13,MATCH(Table1[[#This Row],[Tipologia_Testes]],Auxiliar!$B$5:$B$13,0),MATCH(Table1[[#This Row],[Complexidade]],Auxiliar!$D$4:$F$4,0))</f>
        <v>0.1</v>
      </c>
      <c r="P491" s="3" t="s">
        <v>1177</v>
      </c>
      <c r="Q491" s="3" t="s">
        <v>1170</v>
      </c>
      <c r="R491" s="173">
        <v>45261</v>
      </c>
      <c r="S491" s="173">
        <v>45495</v>
      </c>
      <c r="T491" s="173"/>
      <c r="U491" s="173"/>
      <c r="V491" s="173"/>
      <c r="W491" s="3">
        <f>VLOOKUP(Table1[[#This Row],[Status]],Auxiliar!$B$16:$D$23,3,0)*Table1[[#This Row],[Estimação (horas)]]</f>
        <v>0.1</v>
      </c>
      <c r="X491" s="3"/>
    </row>
    <row r="492" spans="2:24" ht="17.399999999999999" hidden="1" customHeight="1">
      <c r="B492" s="3" t="s">
        <v>28</v>
      </c>
      <c r="C492" s="3" t="s">
        <v>54</v>
      </c>
      <c r="D492" s="3" t="s">
        <v>38</v>
      </c>
      <c r="E492" s="3" t="s">
        <v>38</v>
      </c>
      <c r="F492" s="3" t="s">
        <v>55</v>
      </c>
      <c r="G492" s="3" t="s">
        <v>59</v>
      </c>
      <c r="H492" s="63" t="str">
        <f>Table1[[#This Row],[Tabela]]&amp;Table1[[#This Row],[Campo]]</f>
        <v>cd_imv_out_prccknumcta</v>
      </c>
      <c r="I492" s="3" t="s">
        <v>477</v>
      </c>
      <c r="J492" s="45">
        <f>VLOOKUP(Table1[[#This Row],[Status]],Auxiliar!$B$16:$C$23,2,0)</f>
        <v>1</v>
      </c>
      <c r="K492" s="3" t="s">
        <v>1137</v>
      </c>
      <c r="L492" s="30" t="s">
        <v>1144</v>
      </c>
      <c r="M492" s="22" t="s">
        <v>1145</v>
      </c>
      <c r="N492" s="53">
        <v>45499</v>
      </c>
      <c r="O492" s="22">
        <f>INDEX(Auxiliar!$D$5:$F$13,MATCH(Table1[[#This Row],[Tipologia_Testes]],Auxiliar!$B$5:$B$13,0),MATCH(Table1[[#This Row],[Complexidade]],Auxiliar!$D$4:$F$4,0))</f>
        <v>2</v>
      </c>
      <c r="P492" s="3" t="s">
        <v>1177</v>
      </c>
      <c r="Q492" s="3" t="s">
        <v>1170</v>
      </c>
      <c r="R492" s="173">
        <v>45261</v>
      </c>
      <c r="S492" s="173">
        <v>45495</v>
      </c>
      <c r="T492" s="173"/>
      <c r="U492" s="173"/>
      <c r="V492" s="173"/>
      <c r="W492" s="3">
        <f>VLOOKUP(Table1[[#This Row],[Status]],Auxiliar!$B$16:$D$23,3,0)*Table1[[#This Row],[Estimação (horas)]]</f>
        <v>2</v>
      </c>
      <c r="X492" s="3"/>
    </row>
    <row r="493" spans="2:24" ht="17.399999999999999" hidden="1" customHeight="1">
      <c r="B493" s="3" t="s">
        <v>28</v>
      </c>
      <c r="C493" s="3" t="s">
        <v>54</v>
      </c>
      <c r="D493" s="3" t="s">
        <v>38</v>
      </c>
      <c r="E493" s="3" t="s">
        <v>38</v>
      </c>
      <c r="F493" s="3" t="s">
        <v>55</v>
      </c>
      <c r="G493" s="3" t="s">
        <v>59</v>
      </c>
      <c r="H493" s="63" t="str">
        <f>Table1[[#This Row],[Tabela]]&amp;Table1[[#This Row],[Campo]]</f>
        <v>cd_imv_out_prccknumcta</v>
      </c>
      <c r="I493" s="3" t="s">
        <v>477</v>
      </c>
      <c r="J493" s="45">
        <f>VLOOKUP(Table1[[#This Row],[Status]],Auxiliar!$B$16:$C$23,2,0)</f>
        <v>1</v>
      </c>
      <c r="K493" s="3" t="s">
        <v>1138</v>
      </c>
      <c r="L493" s="30" t="s">
        <v>1144</v>
      </c>
      <c r="M493" s="22" t="s">
        <v>1145</v>
      </c>
      <c r="N493" s="53">
        <v>45499</v>
      </c>
      <c r="O493" s="22">
        <f>INDEX(Auxiliar!$D$5:$F$13,MATCH(Table1[[#This Row],[Tipologia_Testes]],Auxiliar!$B$5:$B$13,0),MATCH(Table1[[#This Row],[Complexidade]],Auxiliar!$D$4:$F$4,0))</f>
        <v>2</v>
      </c>
      <c r="P493" s="3" t="s">
        <v>1177</v>
      </c>
      <c r="Q493" s="3" t="s">
        <v>1170</v>
      </c>
      <c r="R493" s="173">
        <v>45261</v>
      </c>
      <c r="S493" s="173">
        <v>45495</v>
      </c>
      <c r="T493" s="173"/>
      <c r="U493" s="173"/>
      <c r="V493" s="173"/>
      <c r="W493" s="3">
        <f>VLOOKUP(Table1[[#This Row],[Status]],Auxiliar!$B$16:$D$23,3,0)*Table1[[#This Row],[Estimação (horas)]]</f>
        <v>2</v>
      </c>
      <c r="X493" s="3"/>
    </row>
    <row r="494" spans="2:24" ht="17.399999999999999" hidden="1" customHeight="1">
      <c r="B494" s="3" t="s">
        <v>28</v>
      </c>
      <c r="C494" s="3" t="s">
        <v>54</v>
      </c>
      <c r="D494" s="3" t="s">
        <v>38</v>
      </c>
      <c r="E494" s="3" t="s">
        <v>38</v>
      </c>
      <c r="F494" s="3" t="s">
        <v>55</v>
      </c>
      <c r="G494" s="3" t="s">
        <v>59</v>
      </c>
      <c r="H494" s="63" t="str">
        <f>Table1[[#This Row],[Tabela]]&amp;Table1[[#This Row],[Campo]]</f>
        <v>cd_imv_out_prccknumcta</v>
      </c>
      <c r="I494" s="3" t="s">
        <v>477</v>
      </c>
      <c r="J494" s="45">
        <f>VLOOKUP(Table1[[#This Row],[Status]],Auxiliar!$B$16:$C$23,2,0)</f>
        <v>1</v>
      </c>
      <c r="K494" s="3" t="s">
        <v>1141</v>
      </c>
      <c r="L494" s="30" t="s">
        <v>1144</v>
      </c>
      <c r="M494" s="22" t="s">
        <v>1145</v>
      </c>
      <c r="N494" s="53">
        <v>45499</v>
      </c>
      <c r="O494" s="22">
        <f>INDEX(Auxiliar!$D$5:$F$13,MATCH(Table1[[#This Row],[Tipologia_Testes]],Auxiliar!$B$5:$B$13,0),MATCH(Table1[[#This Row],[Complexidade]],Auxiliar!$D$4:$F$4,0))</f>
        <v>0.1</v>
      </c>
      <c r="P494" s="3" t="s">
        <v>1177</v>
      </c>
      <c r="Q494" s="3" t="s">
        <v>1170</v>
      </c>
      <c r="R494" s="173">
        <v>45261</v>
      </c>
      <c r="S494" s="173">
        <v>45495</v>
      </c>
      <c r="T494" s="173"/>
      <c r="U494" s="173"/>
      <c r="V494" s="173"/>
      <c r="W494" s="3">
        <f>VLOOKUP(Table1[[#This Row],[Status]],Auxiliar!$B$16:$D$23,3,0)*Table1[[#This Row],[Estimação (horas)]]</f>
        <v>0.1</v>
      </c>
      <c r="X494" s="3"/>
    </row>
    <row r="495" spans="2:24" ht="17.399999999999999" hidden="1" customHeight="1">
      <c r="B495" s="3" t="s">
        <v>28</v>
      </c>
      <c r="C495" s="3" t="s">
        <v>54</v>
      </c>
      <c r="D495" s="3" t="s">
        <v>38</v>
      </c>
      <c r="E495" s="3" t="s">
        <v>38</v>
      </c>
      <c r="F495" s="3" t="s">
        <v>55</v>
      </c>
      <c r="G495" s="3" t="s">
        <v>60</v>
      </c>
      <c r="H495" s="63" t="str">
        <f>Table1[[#This Row],[Tabela]]&amp;Table1[[#This Row],[Campo]]</f>
        <v>cd_imv_out_prccod_estd_prcs</v>
      </c>
      <c r="I495" s="3" t="s">
        <v>476</v>
      </c>
      <c r="J495" s="45">
        <f>VLOOKUP(Table1[[#This Row],[Status]],Auxiliar!$B$16:$C$23,2,0)</f>
        <v>0</v>
      </c>
      <c r="K495" s="3" t="s">
        <v>1137</v>
      </c>
      <c r="L495" s="3" t="s">
        <v>1171</v>
      </c>
      <c r="M495" s="22" t="s">
        <v>1145</v>
      </c>
      <c r="N495" s="53">
        <v>45485</v>
      </c>
      <c r="O495" s="22">
        <f>INDEX(Auxiliar!$D$5:$F$13,MATCH(Table1[[#This Row],[Tipologia_Testes]],Auxiliar!$B$5:$B$13,0),MATCH(Table1[[#This Row],[Complexidade]],Auxiliar!$D$4:$F$4,0))</f>
        <v>2</v>
      </c>
      <c r="P495" s="3" t="s">
        <v>1178</v>
      </c>
      <c r="Q495" s="3"/>
      <c r="R495" s="173">
        <v>45425</v>
      </c>
      <c r="S495" s="173"/>
      <c r="T495" s="173"/>
      <c r="U495" s="173"/>
      <c r="V495" s="173"/>
      <c r="W495" s="3">
        <f>VLOOKUP(Table1[[#This Row],[Status]],Auxiliar!$B$16:$D$23,3,0)*Table1[[#This Row],[Estimação (horas)]]</f>
        <v>0</v>
      </c>
      <c r="X495" s="3"/>
    </row>
    <row r="496" spans="2:24" ht="17.399999999999999" hidden="1" customHeight="1">
      <c r="B496" s="3" t="s">
        <v>28</v>
      </c>
      <c r="C496" s="3" t="s">
        <v>54</v>
      </c>
      <c r="D496" s="3" t="s">
        <v>38</v>
      </c>
      <c r="E496" s="3" t="s">
        <v>38</v>
      </c>
      <c r="F496" s="3" t="s">
        <v>55</v>
      </c>
      <c r="G496" s="3" t="s">
        <v>61</v>
      </c>
      <c r="H496" s="63" t="str">
        <f>Table1[[#This Row],[Tabela]]&amp;Table1[[#This Row],[Campo]]</f>
        <v>cd_imv_out_prccod_grt</v>
      </c>
      <c r="I496" s="3" t="s">
        <v>477</v>
      </c>
      <c r="J496" s="45">
        <f>VLOOKUP(Table1[[#This Row],[Status]],Auxiliar!$B$16:$C$23,2,0)</f>
        <v>1</v>
      </c>
      <c r="K496" s="3" t="s">
        <v>1137</v>
      </c>
      <c r="L496" s="30" t="s">
        <v>1144</v>
      </c>
      <c r="M496" s="22" t="s">
        <v>1145</v>
      </c>
      <c r="N496" s="53">
        <v>45512</v>
      </c>
      <c r="O496" s="22">
        <f>INDEX(Auxiliar!$D$5:$F$13,MATCH(Table1[[#This Row],[Tipologia_Testes]],Auxiliar!$B$5:$B$13,0),MATCH(Table1[[#This Row],[Complexidade]],Auxiliar!$D$4:$F$4,0))</f>
        <v>2</v>
      </c>
      <c r="P496" s="3"/>
      <c r="Q496" s="3"/>
      <c r="R496" s="173">
        <v>45261</v>
      </c>
      <c r="S496" s="173"/>
      <c r="T496" s="173"/>
      <c r="U496" s="173"/>
      <c r="V496" s="173"/>
      <c r="W496" s="3">
        <f>VLOOKUP(Table1[[#This Row],[Status]],Auxiliar!$B$16:$D$23,3,0)*Table1[[#This Row],[Estimação (horas)]]</f>
        <v>2</v>
      </c>
      <c r="X496" s="3"/>
    </row>
    <row r="497" spans="2:24" ht="17.399999999999999" hidden="1" customHeight="1">
      <c r="B497" s="3" t="s">
        <v>28</v>
      </c>
      <c r="C497" s="3" t="s">
        <v>54</v>
      </c>
      <c r="D497" s="3" t="s">
        <v>38</v>
      </c>
      <c r="E497" s="3" t="s">
        <v>38</v>
      </c>
      <c r="F497" s="3" t="s">
        <v>55</v>
      </c>
      <c r="G497" s="3" t="s">
        <v>61</v>
      </c>
      <c r="H497" s="63" t="str">
        <f>Table1[[#This Row],[Tabela]]&amp;Table1[[#This Row],[Campo]]</f>
        <v>cd_imv_out_prccod_grt</v>
      </c>
      <c r="I497" s="3" t="s">
        <v>477</v>
      </c>
      <c r="J497" s="45">
        <f>VLOOKUP(Table1[[#This Row],[Status]],Auxiliar!$B$16:$C$23,2,0)</f>
        <v>1</v>
      </c>
      <c r="K497" s="3" t="s">
        <v>1138</v>
      </c>
      <c r="L497" s="30" t="s">
        <v>1144</v>
      </c>
      <c r="M497" s="22" t="s">
        <v>1145</v>
      </c>
      <c r="N497" s="53">
        <v>45512</v>
      </c>
      <c r="O497" s="22">
        <f>INDEX(Auxiliar!$D$5:$F$13,MATCH(Table1[[#This Row],[Tipologia_Testes]],Auxiliar!$B$5:$B$13,0),MATCH(Table1[[#This Row],[Complexidade]],Auxiliar!$D$4:$F$4,0))</f>
        <v>2</v>
      </c>
      <c r="P497" s="3"/>
      <c r="Q497" s="3"/>
      <c r="R497" s="173">
        <v>45261</v>
      </c>
      <c r="S497" s="173"/>
      <c r="T497" s="173"/>
      <c r="U497" s="173"/>
      <c r="V497" s="173"/>
      <c r="W497" s="3">
        <f>VLOOKUP(Table1[[#This Row],[Status]],Auxiliar!$B$16:$D$23,3,0)*Table1[[#This Row],[Estimação (horas)]]</f>
        <v>2</v>
      </c>
      <c r="X497" s="3"/>
    </row>
    <row r="498" spans="2:24" ht="17.399999999999999" hidden="1" customHeight="1">
      <c r="B498" s="3" t="s">
        <v>28</v>
      </c>
      <c r="C498" s="3" t="s">
        <v>54</v>
      </c>
      <c r="D498" s="3" t="s">
        <v>38</v>
      </c>
      <c r="E498" s="3" t="s">
        <v>38</v>
      </c>
      <c r="F498" s="3" t="s">
        <v>55</v>
      </c>
      <c r="G498" s="3" t="s">
        <v>61</v>
      </c>
      <c r="H498" s="63" t="str">
        <f>Table1[[#This Row],[Tabela]]&amp;Table1[[#This Row],[Campo]]</f>
        <v>cd_imv_out_prccod_grt</v>
      </c>
      <c r="I498" s="3" t="s">
        <v>477</v>
      </c>
      <c r="J498" s="45">
        <f>VLOOKUP(Table1[[#This Row],[Status]],Auxiliar!$B$16:$C$23,2,0)</f>
        <v>1</v>
      </c>
      <c r="K498" s="3" t="s">
        <v>1141</v>
      </c>
      <c r="L498" s="30" t="s">
        <v>1144</v>
      </c>
      <c r="M498" s="22" t="s">
        <v>1145</v>
      </c>
      <c r="N498" s="53">
        <v>45512</v>
      </c>
      <c r="O498" s="22">
        <f>INDEX(Auxiliar!$D$5:$F$13,MATCH(Table1[[#This Row],[Tipologia_Testes]],Auxiliar!$B$5:$B$13,0),MATCH(Table1[[#This Row],[Complexidade]],Auxiliar!$D$4:$F$4,0))</f>
        <v>0.1</v>
      </c>
      <c r="P498" s="3"/>
      <c r="Q498" s="3"/>
      <c r="R498" s="173">
        <v>45261</v>
      </c>
      <c r="S498" s="173"/>
      <c r="T498" s="173"/>
      <c r="U498" s="173"/>
      <c r="V498" s="173"/>
      <c r="W498" s="3">
        <f>VLOOKUP(Table1[[#This Row],[Status]],Auxiliar!$B$16:$D$23,3,0)*Table1[[#This Row],[Estimação (horas)]]</f>
        <v>0.1</v>
      </c>
      <c r="X498" s="3"/>
    </row>
    <row r="499" spans="2:24" ht="17.399999999999999" hidden="1" customHeight="1">
      <c r="B499" s="3" t="s">
        <v>28</v>
      </c>
      <c r="C499" s="3" t="s">
        <v>54</v>
      </c>
      <c r="D499" s="3" t="s">
        <v>38</v>
      </c>
      <c r="E499" s="3" t="s">
        <v>38</v>
      </c>
      <c r="F499" s="3" t="s">
        <v>55</v>
      </c>
      <c r="G499" s="3" t="s">
        <v>62</v>
      </c>
      <c r="H499" s="63" t="str">
        <f>Table1[[#This Row],[Tabela]]&amp;Table1[[#This Row],[Campo]]</f>
        <v>cd_imv_out_prccod_moeda</v>
      </c>
      <c r="I499" s="3" t="s">
        <v>477</v>
      </c>
      <c r="J499" s="45">
        <f>VLOOKUP(Table1[[#This Row],[Status]],Auxiliar!$B$16:$C$23,2,0)</f>
        <v>1</v>
      </c>
      <c r="K499" s="3" t="s">
        <v>1137</v>
      </c>
      <c r="L499" s="30" t="s">
        <v>1144</v>
      </c>
      <c r="M499" s="22" t="s">
        <v>1145</v>
      </c>
      <c r="N499" s="53">
        <v>45512</v>
      </c>
      <c r="O499" s="22">
        <f>INDEX(Auxiliar!$D$5:$F$13,MATCH(Table1[[#This Row],[Tipologia_Testes]],Auxiliar!$B$5:$B$13,0),MATCH(Table1[[#This Row],[Complexidade]],Auxiliar!$D$4:$F$4,0))</f>
        <v>2</v>
      </c>
      <c r="P499" s="3"/>
      <c r="Q499" s="3"/>
      <c r="R499" s="173">
        <v>45512</v>
      </c>
      <c r="S499" s="173"/>
      <c r="T499" s="173">
        <v>45512</v>
      </c>
      <c r="U499" s="173">
        <v>45526</v>
      </c>
      <c r="V499" s="173"/>
      <c r="W499" s="3">
        <f>VLOOKUP(Table1[[#This Row],[Status]],Auxiliar!$B$16:$D$23,3,0)*Table1[[#This Row],[Estimação (horas)]]</f>
        <v>2</v>
      </c>
      <c r="X499" s="3"/>
    </row>
    <row r="500" spans="2:24" ht="17.399999999999999" hidden="1" customHeight="1">
      <c r="B500" s="3" t="s">
        <v>28</v>
      </c>
      <c r="C500" s="3" t="s">
        <v>54</v>
      </c>
      <c r="D500" s="3" t="s">
        <v>38</v>
      </c>
      <c r="E500" s="3" t="s">
        <v>38</v>
      </c>
      <c r="F500" s="3" t="s">
        <v>55</v>
      </c>
      <c r="G500" s="3" t="s">
        <v>62</v>
      </c>
      <c r="H500" s="63" t="str">
        <f>Table1[[#This Row],[Tabela]]&amp;Table1[[#This Row],[Campo]]</f>
        <v>cd_imv_out_prccod_moeda</v>
      </c>
      <c r="I500" s="3" t="s">
        <v>477</v>
      </c>
      <c r="J500" s="45">
        <f>VLOOKUP(Table1[[#This Row],[Status]],Auxiliar!$B$16:$C$23,2,0)</f>
        <v>1</v>
      </c>
      <c r="K500" s="3" t="s">
        <v>1138</v>
      </c>
      <c r="L500" s="30" t="s">
        <v>1144</v>
      </c>
      <c r="M500" s="22" t="s">
        <v>1145</v>
      </c>
      <c r="N500" s="53">
        <v>45512</v>
      </c>
      <c r="O500" s="22">
        <f>INDEX(Auxiliar!$D$5:$F$13,MATCH(Table1[[#This Row],[Tipologia_Testes]],Auxiliar!$B$5:$B$13,0),MATCH(Table1[[#This Row],[Complexidade]],Auxiliar!$D$4:$F$4,0))</f>
        <v>2</v>
      </c>
      <c r="P500" s="3"/>
      <c r="Q500" s="3"/>
      <c r="R500" s="173">
        <v>45512</v>
      </c>
      <c r="S500" s="173"/>
      <c r="T500" s="173"/>
      <c r="U500" s="173"/>
      <c r="V500" s="173"/>
      <c r="W500" s="3">
        <f>VLOOKUP(Table1[[#This Row],[Status]],Auxiliar!$B$16:$D$23,3,0)*Table1[[#This Row],[Estimação (horas)]]</f>
        <v>2</v>
      </c>
      <c r="X500" s="3"/>
    </row>
    <row r="501" spans="2:24" ht="17.399999999999999" hidden="1" customHeight="1">
      <c r="B501" s="3" t="s">
        <v>28</v>
      </c>
      <c r="C501" s="3" t="s">
        <v>54</v>
      </c>
      <c r="D501" s="3" t="s">
        <v>38</v>
      </c>
      <c r="E501" s="3" t="s">
        <v>38</v>
      </c>
      <c r="F501" s="3" t="s">
        <v>55</v>
      </c>
      <c r="G501" s="3" t="s">
        <v>62</v>
      </c>
      <c r="H501" s="63" t="str">
        <f>Table1[[#This Row],[Tabela]]&amp;Table1[[#This Row],[Campo]]</f>
        <v>cd_imv_out_prccod_moeda</v>
      </c>
      <c r="I501" s="3" t="s">
        <v>477</v>
      </c>
      <c r="J501" s="45">
        <f>VLOOKUP(Table1[[#This Row],[Status]],Auxiliar!$B$16:$C$23,2,0)</f>
        <v>1</v>
      </c>
      <c r="K501" s="3" t="s">
        <v>1141</v>
      </c>
      <c r="L501" s="30" t="s">
        <v>1144</v>
      </c>
      <c r="M501" s="22" t="s">
        <v>1145</v>
      </c>
      <c r="N501" s="53">
        <v>45512</v>
      </c>
      <c r="O501" s="22">
        <f>INDEX(Auxiliar!$D$5:$F$13,MATCH(Table1[[#This Row],[Tipologia_Testes]],Auxiliar!$B$5:$B$13,0),MATCH(Table1[[#This Row],[Complexidade]],Auxiliar!$D$4:$F$4,0))</f>
        <v>0.1</v>
      </c>
      <c r="P501" s="3"/>
      <c r="Q501" s="3"/>
      <c r="R501" s="173">
        <v>45512</v>
      </c>
      <c r="S501" s="173"/>
      <c r="T501" s="173"/>
      <c r="U501" s="173"/>
      <c r="V501" s="173"/>
      <c r="W501" s="3">
        <f>VLOOKUP(Table1[[#This Row],[Status]],Auxiliar!$B$16:$D$23,3,0)*Table1[[#This Row],[Estimação (horas)]]</f>
        <v>0.1</v>
      </c>
      <c r="X501" s="3"/>
    </row>
    <row r="502" spans="2:24" ht="17.399999999999999" hidden="1" customHeight="1">
      <c r="B502" s="3" t="s">
        <v>28</v>
      </c>
      <c r="C502" s="3" t="s">
        <v>54</v>
      </c>
      <c r="D502" s="3" t="s">
        <v>38</v>
      </c>
      <c r="E502" s="3" t="s">
        <v>38</v>
      </c>
      <c r="F502" s="3" t="s">
        <v>55</v>
      </c>
      <c r="G502" s="3" t="s">
        <v>63</v>
      </c>
      <c r="H502" s="63" t="str">
        <f>Table1[[#This Row],[Tabela]]&amp;Table1[[#This Row],[Campo]]</f>
        <v>cd_imv_out_prccod_observacao</v>
      </c>
      <c r="I502" s="3" t="s">
        <v>477</v>
      </c>
      <c r="J502" s="45">
        <f>VLOOKUP(Table1[[#This Row],[Status]],Auxiliar!$B$16:$C$23,2,0)</f>
        <v>1</v>
      </c>
      <c r="K502" s="3" t="s">
        <v>1137</v>
      </c>
      <c r="L502" s="30" t="s">
        <v>1144</v>
      </c>
      <c r="M502" s="22" t="s">
        <v>1145</v>
      </c>
      <c r="N502" s="53">
        <v>45512</v>
      </c>
      <c r="O502" s="22">
        <f>INDEX(Auxiliar!$D$5:$F$13,MATCH(Table1[[#This Row],[Tipologia_Testes]],Auxiliar!$B$5:$B$13,0),MATCH(Table1[[#This Row],[Complexidade]],Auxiliar!$D$4:$F$4,0))</f>
        <v>2</v>
      </c>
      <c r="P502" s="3"/>
      <c r="Q502" s="3"/>
      <c r="R502" s="173">
        <v>45261</v>
      </c>
      <c r="S502" s="173"/>
      <c r="T502" s="173"/>
      <c r="U502" s="173"/>
      <c r="V502" s="173"/>
      <c r="W502" s="3">
        <f>VLOOKUP(Table1[[#This Row],[Status]],Auxiliar!$B$16:$D$23,3,0)*Table1[[#This Row],[Estimação (horas)]]</f>
        <v>2</v>
      </c>
      <c r="X502" s="3"/>
    </row>
    <row r="503" spans="2:24" ht="17.399999999999999" hidden="1" customHeight="1">
      <c r="B503" s="3" t="s">
        <v>28</v>
      </c>
      <c r="C503" s="3" t="s">
        <v>54</v>
      </c>
      <c r="D503" s="3" t="s">
        <v>38</v>
      </c>
      <c r="E503" s="3" t="s">
        <v>38</v>
      </c>
      <c r="F503" s="3" t="s">
        <v>55</v>
      </c>
      <c r="G503" s="3" t="s">
        <v>63</v>
      </c>
      <c r="H503" s="63" t="str">
        <f>Table1[[#This Row],[Tabela]]&amp;Table1[[#This Row],[Campo]]</f>
        <v>cd_imv_out_prccod_observacao</v>
      </c>
      <c r="I503" s="3" t="s">
        <v>477</v>
      </c>
      <c r="J503" s="45">
        <f>VLOOKUP(Table1[[#This Row],[Status]],Auxiliar!$B$16:$C$23,2,0)</f>
        <v>1</v>
      </c>
      <c r="K503" s="3" t="s">
        <v>1138</v>
      </c>
      <c r="L503" s="30" t="s">
        <v>1144</v>
      </c>
      <c r="M503" s="22" t="s">
        <v>1145</v>
      </c>
      <c r="N503" s="53">
        <v>45512</v>
      </c>
      <c r="O503" s="22">
        <f>INDEX(Auxiliar!$D$5:$F$13,MATCH(Table1[[#This Row],[Tipologia_Testes]],Auxiliar!$B$5:$B$13,0),MATCH(Table1[[#This Row],[Complexidade]],Auxiliar!$D$4:$F$4,0))</f>
        <v>2</v>
      </c>
      <c r="P503" s="3"/>
      <c r="Q503" s="3"/>
      <c r="R503" s="173">
        <v>45261</v>
      </c>
      <c r="S503" s="173"/>
      <c r="T503" s="173"/>
      <c r="U503" s="173"/>
      <c r="V503" s="173"/>
      <c r="W503" s="3">
        <f>VLOOKUP(Table1[[#This Row],[Status]],Auxiliar!$B$16:$D$23,3,0)*Table1[[#This Row],[Estimação (horas)]]</f>
        <v>2</v>
      </c>
      <c r="X503" s="3"/>
    </row>
    <row r="504" spans="2:24" ht="17.399999999999999" hidden="1" customHeight="1">
      <c r="B504" s="3" t="s">
        <v>28</v>
      </c>
      <c r="C504" s="3" t="s">
        <v>54</v>
      </c>
      <c r="D504" s="3" t="s">
        <v>38</v>
      </c>
      <c r="E504" s="3" t="s">
        <v>38</v>
      </c>
      <c r="F504" s="3" t="s">
        <v>55</v>
      </c>
      <c r="G504" s="3" t="s">
        <v>63</v>
      </c>
      <c r="H504" s="63" t="str">
        <f>Table1[[#This Row],[Tabela]]&amp;Table1[[#This Row],[Campo]]</f>
        <v>cd_imv_out_prccod_observacao</v>
      </c>
      <c r="I504" s="3" t="s">
        <v>477</v>
      </c>
      <c r="J504" s="45">
        <f>VLOOKUP(Table1[[#This Row],[Status]],Auxiliar!$B$16:$C$23,2,0)</f>
        <v>1</v>
      </c>
      <c r="K504" s="3" t="s">
        <v>1141</v>
      </c>
      <c r="L504" s="30" t="s">
        <v>1144</v>
      </c>
      <c r="M504" s="22" t="s">
        <v>1145</v>
      </c>
      <c r="N504" s="53">
        <v>45512</v>
      </c>
      <c r="O504" s="22">
        <f>INDEX(Auxiliar!$D$5:$F$13,MATCH(Table1[[#This Row],[Tipologia_Testes]],Auxiliar!$B$5:$B$13,0),MATCH(Table1[[#This Row],[Complexidade]],Auxiliar!$D$4:$F$4,0))</f>
        <v>0.1</v>
      </c>
      <c r="P504" s="3"/>
      <c r="Q504" s="3"/>
      <c r="R504" s="173">
        <v>45261</v>
      </c>
      <c r="S504" s="173"/>
      <c r="T504" s="173"/>
      <c r="U504" s="173"/>
      <c r="V504" s="173"/>
      <c r="W504" s="3">
        <f>VLOOKUP(Table1[[#This Row],[Status]],Auxiliar!$B$16:$D$23,3,0)*Table1[[#This Row],[Estimação (horas)]]</f>
        <v>0.1</v>
      </c>
      <c r="X504" s="3"/>
    </row>
    <row r="505" spans="2:24" ht="17.399999999999999" hidden="1" customHeight="1">
      <c r="B505" s="3" t="s">
        <v>28</v>
      </c>
      <c r="C505" s="3" t="s">
        <v>54</v>
      </c>
      <c r="D505" s="3" t="s">
        <v>38</v>
      </c>
      <c r="E505" s="3" t="s">
        <v>38</v>
      </c>
      <c r="F505" s="3" t="s">
        <v>55</v>
      </c>
      <c r="G505" s="3" t="s">
        <v>64</v>
      </c>
      <c r="H505" s="63" t="str">
        <f>Table1[[#This Row],[Tabela]]&amp;Table1[[#This Row],[Campo]]</f>
        <v>cd_imv_out_prccod_prd_grnt</v>
      </c>
      <c r="I505" s="3" t="s">
        <v>477</v>
      </c>
      <c r="J505" s="45">
        <f>VLOOKUP(Table1[[#This Row],[Status]],Auxiliar!$B$16:$C$23,2,0)</f>
        <v>1</v>
      </c>
      <c r="K505" s="3" t="s">
        <v>1137</v>
      </c>
      <c r="L505" s="30" t="s">
        <v>1144</v>
      </c>
      <c r="M505" s="22" t="s">
        <v>1145</v>
      </c>
      <c r="N505" s="53">
        <v>45512</v>
      </c>
      <c r="O505" s="22">
        <f>INDEX(Auxiliar!$D$5:$F$13,MATCH(Table1[[#This Row],[Tipologia_Testes]],Auxiliar!$B$5:$B$13,0),MATCH(Table1[[#This Row],[Complexidade]],Auxiliar!$D$4:$F$4,0))</f>
        <v>2</v>
      </c>
      <c r="P505" s="3"/>
      <c r="Q505" s="3"/>
      <c r="R505" s="173">
        <v>45261</v>
      </c>
      <c r="S505" s="173"/>
      <c r="T505" s="173"/>
      <c r="U505" s="173"/>
      <c r="V505" s="173"/>
      <c r="W505" s="3">
        <f>VLOOKUP(Table1[[#This Row],[Status]],Auxiliar!$B$16:$D$23,3,0)*Table1[[#This Row],[Estimação (horas)]]</f>
        <v>2</v>
      </c>
      <c r="X505" s="3"/>
    </row>
    <row r="506" spans="2:24" ht="17.399999999999999" hidden="1" customHeight="1">
      <c r="B506" s="3" t="s">
        <v>28</v>
      </c>
      <c r="C506" s="3" t="s">
        <v>54</v>
      </c>
      <c r="D506" s="3" t="s">
        <v>38</v>
      </c>
      <c r="E506" s="3" t="s">
        <v>38</v>
      </c>
      <c r="F506" s="3" t="s">
        <v>55</v>
      </c>
      <c r="G506" s="3" t="s">
        <v>64</v>
      </c>
      <c r="H506" s="63" t="str">
        <f>Table1[[#This Row],[Tabela]]&amp;Table1[[#This Row],[Campo]]</f>
        <v>cd_imv_out_prccod_prd_grnt</v>
      </c>
      <c r="I506" s="3" t="s">
        <v>477</v>
      </c>
      <c r="J506" s="45">
        <f>VLOOKUP(Table1[[#This Row],[Status]],Auxiliar!$B$16:$C$23,2,0)</f>
        <v>1</v>
      </c>
      <c r="K506" s="3" t="s">
        <v>1138</v>
      </c>
      <c r="L506" s="30" t="s">
        <v>1144</v>
      </c>
      <c r="M506" s="22" t="s">
        <v>1145</v>
      </c>
      <c r="N506" s="53">
        <v>45512</v>
      </c>
      <c r="O506" s="22">
        <f>INDEX(Auxiliar!$D$5:$F$13,MATCH(Table1[[#This Row],[Tipologia_Testes]],Auxiliar!$B$5:$B$13,0),MATCH(Table1[[#This Row],[Complexidade]],Auxiliar!$D$4:$F$4,0))</f>
        <v>2</v>
      </c>
      <c r="P506" s="3"/>
      <c r="Q506" s="3"/>
      <c r="R506" s="173">
        <v>45261</v>
      </c>
      <c r="S506" s="173"/>
      <c r="T506" s="173"/>
      <c r="U506" s="173"/>
      <c r="V506" s="173"/>
      <c r="W506" s="3">
        <f>VLOOKUP(Table1[[#This Row],[Status]],Auxiliar!$B$16:$D$23,3,0)*Table1[[#This Row],[Estimação (horas)]]</f>
        <v>2</v>
      </c>
      <c r="X506" s="3"/>
    </row>
    <row r="507" spans="2:24" ht="17.399999999999999" hidden="1" customHeight="1">
      <c r="B507" s="3" t="s">
        <v>28</v>
      </c>
      <c r="C507" s="3" t="s">
        <v>54</v>
      </c>
      <c r="D507" s="3" t="s">
        <v>38</v>
      </c>
      <c r="E507" s="3" t="s">
        <v>38</v>
      </c>
      <c r="F507" s="3" t="s">
        <v>55</v>
      </c>
      <c r="G507" s="3" t="s">
        <v>64</v>
      </c>
      <c r="H507" s="63" t="str">
        <f>Table1[[#This Row],[Tabela]]&amp;Table1[[#This Row],[Campo]]</f>
        <v>cd_imv_out_prccod_prd_grnt</v>
      </c>
      <c r="I507" s="3" t="s">
        <v>477</v>
      </c>
      <c r="J507" s="45">
        <f>VLOOKUP(Table1[[#This Row],[Status]],Auxiliar!$B$16:$C$23,2,0)</f>
        <v>1</v>
      </c>
      <c r="K507" s="3" t="s">
        <v>1141</v>
      </c>
      <c r="L507" s="30" t="s">
        <v>1144</v>
      </c>
      <c r="M507" s="22" t="s">
        <v>1145</v>
      </c>
      <c r="N507" s="53">
        <v>45512</v>
      </c>
      <c r="O507" s="22">
        <f>INDEX(Auxiliar!$D$5:$F$13,MATCH(Table1[[#This Row],[Tipologia_Testes]],Auxiliar!$B$5:$B$13,0),MATCH(Table1[[#This Row],[Complexidade]],Auxiliar!$D$4:$F$4,0))</f>
        <v>0.1</v>
      </c>
      <c r="P507" s="3"/>
      <c r="Q507" s="3"/>
      <c r="R507" s="173">
        <v>45261</v>
      </c>
      <c r="S507" s="173"/>
      <c r="T507" s="173"/>
      <c r="U507" s="173"/>
      <c r="V507" s="173"/>
      <c r="W507" s="3">
        <f>VLOOKUP(Table1[[#This Row],[Status]],Auxiliar!$B$16:$D$23,3,0)*Table1[[#This Row],[Estimação (horas)]]</f>
        <v>0.1</v>
      </c>
      <c r="X507" s="3"/>
    </row>
    <row r="508" spans="2:24" ht="17.399999999999999" hidden="1" customHeight="1">
      <c r="B508" s="3" t="s">
        <v>28</v>
      </c>
      <c r="C508" s="3" t="s">
        <v>54</v>
      </c>
      <c r="D508" s="3" t="s">
        <v>38</v>
      </c>
      <c r="E508" s="3" t="s">
        <v>38</v>
      </c>
      <c r="F508" s="3" t="s">
        <v>55</v>
      </c>
      <c r="G508" s="3" t="s">
        <v>65</v>
      </c>
      <c r="H508" s="63" t="str">
        <f>Table1[[#This Row],[Tabela]]&amp;Table1[[#This Row],[Campo]]</f>
        <v>cd_imv_out_prccod_sprd_grnt</v>
      </c>
      <c r="I508" s="3" t="s">
        <v>477</v>
      </c>
      <c r="J508" s="45">
        <f>VLOOKUP(Table1[[#This Row],[Status]],Auxiliar!$B$16:$C$23,2,0)</f>
        <v>1</v>
      </c>
      <c r="K508" s="3" t="s">
        <v>1137</v>
      </c>
      <c r="L508" s="30" t="s">
        <v>1144</v>
      </c>
      <c r="M508" s="22" t="s">
        <v>1145</v>
      </c>
      <c r="N508" s="53">
        <v>45512</v>
      </c>
      <c r="O508" s="22">
        <f>INDEX(Auxiliar!$D$5:$F$13,MATCH(Table1[[#This Row],[Tipologia_Testes]],Auxiliar!$B$5:$B$13,0),MATCH(Table1[[#This Row],[Complexidade]],Auxiliar!$D$4:$F$4,0))</f>
        <v>2</v>
      </c>
      <c r="P508" s="3"/>
      <c r="Q508" s="3"/>
      <c r="R508" s="173">
        <v>45261</v>
      </c>
      <c r="S508" s="173"/>
      <c r="T508" s="173"/>
      <c r="U508" s="173"/>
      <c r="V508" s="173"/>
      <c r="W508" s="3">
        <f>VLOOKUP(Table1[[#This Row],[Status]],Auxiliar!$B$16:$D$23,3,0)*Table1[[#This Row],[Estimação (horas)]]</f>
        <v>2</v>
      </c>
      <c r="X508" s="3"/>
    </row>
    <row r="509" spans="2:24" ht="17.399999999999999" hidden="1" customHeight="1">
      <c r="B509" s="3" t="s">
        <v>28</v>
      </c>
      <c r="C509" s="3" t="s">
        <v>54</v>
      </c>
      <c r="D509" s="3" t="s">
        <v>38</v>
      </c>
      <c r="E509" s="3" t="s">
        <v>38</v>
      </c>
      <c r="F509" s="3" t="s">
        <v>55</v>
      </c>
      <c r="G509" s="3" t="s">
        <v>65</v>
      </c>
      <c r="H509" s="63" t="str">
        <f>Table1[[#This Row],[Tabela]]&amp;Table1[[#This Row],[Campo]]</f>
        <v>cd_imv_out_prccod_sprd_grnt</v>
      </c>
      <c r="I509" s="3" t="s">
        <v>477</v>
      </c>
      <c r="J509" s="45">
        <f>VLOOKUP(Table1[[#This Row],[Status]],Auxiliar!$B$16:$C$23,2,0)</f>
        <v>1</v>
      </c>
      <c r="K509" s="3" t="s">
        <v>1138</v>
      </c>
      <c r="L509" s="30" t="s">
        <v>1144</v>
      </c>
      <c r="M509" s="22" t="s">
        <v>1145</v>
      </c>
      <c r="N509" s="53">
        <v>45512</v>
      </c>
      <c r="O509" s="22">
        <f>INDEX(Auxiliar!$D$5:$F$13,MATCH(Table1[[#This Row],[Tipologia_Testes]],Auxiliar!$B$5:$B$13,0),MATCH(Table1[[#This Row],[Complexidade]],Auxiliar!$D$4:$F$4,0))</f>
        <v>2</v>
      </c>
      <c r="P509" s="3"/>
      <c r="Q509" s="3"/>
      <c r="R509" s="173">
        <v>45261</v>
      </c>
      <c r="S509" s="173"/>
      <c r="T509" s="173"/>
      <c r="U509" s="173"/>
      <c r="V509" s="173"/>
      <c r="W509" s="3">
        <f>VLOOKUP(Table1[[#This Row],[Status]],Auxiliar!$B$16:$D$23,3,0)*Table1[[#This Row],[Estimação (horas)]]</f>
        <v>2</v>
      </c>
      <c r="X509" s="3"/>
    </row>
    <row r="510" spans="2:24" ht="17.399999999999999" hidden="1" customHeight="1">
      <c r="B510" s="3" t="s">
        <v>28</v>
      </c>
      <c r="C510" s="3" t="s">
        <v>54</v>
      </c>
      <c r="D510" s="3" t="s">
        <v>38</v>
      </c>
      <c r="E510" s="3" t="s">
        <v>38</v>
      </c>
      <c r="F510" s="3" t="s">
        <v>55</v>
      </c>
      <c r="G510" s="3" t="s">
        <v>65</v>
      </c>
      <c r="H510" s="63" t="str">
        <f>Table1[[#This Row],[Tabela]]&amp;Table1[[#This Row],[Campo]]</f>
        <v>cd_imv_out_prccod_sprd_grnt</v>
      </c>
      <c r="I510" s="3" t="s">
        <v>477</v>
      </c>
      <c r="J510" s="45">
        <f>VLOOKUP(Table1[[#This Row],[Status]],Auxiliar!$B$16:$C$23,2,0)</f>
        <v>1</v>
      </c>
      <c r="K510" s="3" t="s">
        <v>1141</v>
      </c>
      <c r="L510" s="30" t="s">
        <v>1144</v>
      </c>
      <c r="M510" s="22" t="s">
        <v>1145</v>
      </c>
      <c r="N510" s="53">
        <v>45512</v>
      </c>
      <c r="O510" s="22">
        <f>INDEX(Auxiliar!$D$5:$F$13,MATCH(Table1[[#This Row],[Tipologia_Testes]],Auxiliar!$B$5:$B$13,0),MATCH(Table1[[#This Row],[Complexidade]],Auxiliar!$D$4:$F$4,0))</f>
        <v>0.1</v>
      </c>
      <c r="P510" s="3"/>
      <c r="Q510" s="3"/>
      <c r="R510" s="173">
        <v>45261</v>
      </c>
      <c r="S510" s="173"/>
      <c r="T510" s="173"/>
      <c r="U510" s="173"/>
      <c r="V510" s="173"/>
      <c r="W510" s="3">
        <f>VLOOKUP(Table1[[#This Row],[Status]],Auxiliar!$B$16:$D$23,3,0)*Table1[[#This Row],[Estimação (horas)]]</f>
        <v>0.1</v>
      </c>
      <c r="X510" s="3"/>
    </row>
    <row r="511" spans="2:24" ht="17.399999999999999" hidden="1" customHeight="1">
      <c r="B511" s="3" t="s">
        <v>28</v>
      </c>
      <c r="C511" s="3" t="s">
        <v>54</v>
      </c>
      <c r="D511" s="3" t="s">
        <v>38</v>
      </c>
      <c r="E511" s="3" t="s">
        <v>38</v>
      </c>
      <c r="F511" s="3" t="s">
        <v>55</v>
      </c>
      <c r="G511" s="3" t="s">
        <v>66</v>
      </c>
      <c r="H511" s="63" t="str">
        <f>Table1[[#This Row],[Tabela]]&amp;Table1[[#This Row],[Campo]]</f>
        <v>cd_imv_out_prccod_tipo</v>
      </c>
      <c r="I511" s="3" t="s">
        <v>477</v>
      </c>
      <c r="J511" s="45">
        <f>VLOOKUP(Table1[[#This Row],[Status]],Auxiliar!$B$16:$C$23,2,0)</f>
        <v>1</v>
      </c>
      <c r="K511" s="3" t="s">
        <v>1137</v>
      </c>
      <c r="L511" s="30" t="s">
        <v>1144</v>
      </c>
      <c r="M511" s="22" t="s">
        <v>1145</v>
      </c>
      <c r="N511" s="53">
        <v>45512</v>
      </c>
      <c r="O511" s="22">
        <f>INDEX(Auxiliar!$D$5:$F$13,MATCH(Table1[[#This Row],[Tipologia_Testes]],Auxiliar!$B$5:$B$13,0),MATCH(Table1[[#This Row],[Complexidade]],Auxiliar!$D$4:$F$4,0))</f>
        <v>2</v>
      </c>
      <c r="P511" s="3"/>
      <c r="Q511" s="3"/>
      <c r="R511" s="173">
        <v>45261</v>
      </c>
      <c r="S511" s="173"/>
      <c r="T511" s="173"/>
      <c r="U511" s="173"/>
      <c r="V511" s="173"/>
      <c r="W511" s="3">
        <f>VLOOKUP(Table1[[#This Row],[Status]],Auxiliar!$B$16:$D$23,3,0)*Table1[[#This Row],[Estimação (horas)]]</f>
        <v>2</v>
      </c>
      <c r="X511" s="3"/>
    </row>
    <row r="512" spans="2:24" ht="17.399999999999999" hidden="1" customHeight="1">
      <c r="B512" s="3" t="s">
        <v>28</v>
      </c>
      <c r="C512" s="3" t="s">
        <v>54</v>
      </c>
      <c r="D512" s="3" t="s">
        <v>38</v>
      </c>
      <c r="E512" s="3" t="s">
        <v>38</v>
      </c>
      <c r="F512" s="3" t="s">
        <v>55</v>
      </c>
      <c r="G512" s="3" t="s">
        <v>66</v>
      </c>
      <c r="H512" s="63" t="str">
        <f>Table1[[#This Row],[Tabela]]&amp;Table1[[#This Row],[Campo]]</f>
        <v>cd_imv_out_prccod_tipo</v>
      </c>
      <c r="I512" s="3" t="s">
        <v>477</v>
      </c>
      <c r="J512" s="45">
        <f>VLOOKUP(Table1[[#This Row],[Status]],Auxiliar!$B$16:$C$23,2,0)</f>
        <v>1</v>
      </c>
      <c r="K512" s="3" t="s">
        <v>1138</v>
      </c>
      <c r="L512" s="30" t="s">
        <v>1144</v>
      </c>
      <c r="M512" s="22" t="s">
        <v>1145</v>
      </c>
      <c r="N512" s="53">
        <v>45512</v>
      </c>
      <c r="O512" s="22">
        <f>INDEX(Auxiliar!$D$5:$F$13,MATCH(Table1[[#This Row],[Tipologia_Testes]],Auxiliar!$B$5:$B$13,0),MATCH(Table1[[#This Row],[Complexidade]],Auxiliar!$D$4:$F$4,0))</f>
        <v>2</v>
      </c>
      <c r="P512" s="3"/>
      <c r="Q512" s="3"/>
      <c r="R512" s="173">
        <v>45261</v>
      </c>
      <c r="S512" s="173"/>
      <c r="T512" s="173"/>
      <c r="U512" s="173"/>
      <c r="V512" s="173"/>
      <c r="W512" s="3">
        <f>VLOOKUP(Table1[[#This Row],[Status]],Auxiliar!$B$16:$D$23,3,0)*Table1[[#This Row],[Estimação (horas)]]</f>
        <v>2</v>
      </c>
      <c r="X512" s="3"/>
    </row>
    <row r="513" spans="2:24" ht="17.399999999999999" hidden="1" customHeight="1">
      <c r="B513" s="3" t="s">
        <v>28</v>
      </c>
      <c r="C513" s="3" t="s">
        <v>54</v>
      </c>
      <c r="D513" s="3" t="s">
        <v>38</v>
      </c>
      <c r="E513" s="3" t="s">
        <v>38</v>
      </c>
      <c r="F513" s="3" t="s">
        <v>55</v>
      </c>
      <c r="G513" s="3" t="s">
        <v>66</v>
      </c>
      <c r="H513" s="63" t="str">
        <f>Table1[[#This Row],[Tabela]]&amp;Table1[[#This Row],[Campo]]</f>
        <v>cd_imv_out_prccod_tipo</v>
      </c>
      <c r="I513" s="3" t="s">
        <v>477</v>
      </c>
      <c r="J513" s="45">
        <f>VLOOKUP(Table1[[#This Row],[Status]],Auxiliar!$B$16:$C$23,2,0)</f>
        <v>1</v>
      </c>
      <c r="K513" s="3" t="s">
        <v>1141</v>
      </c>
      <c r="L513" s="30" t="s">
        <v>1144</v>
      </c>
      <c r="M513" s="22" t="s">
        <v>1145</v>
      </c>
      <c r="N513" s="53">
        <v>45512</v>
      </c>
      <c r="O513" s="22">
        <f>INDEX(Auxiliar!$D$5:$F$13,MATCH(Table1[[#This Row],[Tipologia_Testes]],Auxiliar!$B$5:$B$13,0),MATCH(Table1[[#This Row],[Complexidade]],Auxiliar!$D$4:$F$4,0))</f>
        <v>0.1</v>
      </c>
      <c r="P513" s="3"/>
      <c r="Q513" s="3"/>
      <c r="R513" s="173">
        <v>45261</v>
      </c>
      <c r="S513" s="173"/>
      <c r="T513" s="173"/>
      <c r="U513" s="173"/>
      <c r="V513" s="173"/>
      <c r="W513" s="3">
        <f>VLOOKUP(Table1[[#This Row],[Status]],Auxiliar!$B$16:$D$23,3,0)*Table1[[#This Row],[Estimação (horas)]]</f>
        <v>0.1</v>
      </c>
      <c r="X513" s="3"/>
    </row>
    <row r="514" spans="2:24" ht="17.399999999999999" hidden="1" customHeight="1">
      <c r="B514" s="3" t="s">
        <v>28</v>
      </c>
      <c r="C514" s="3" t="s">
        <v>54</v>
      </c>
      <c r="D514" s="3" t="s">
        <v>38</v>
      </c>
      <c r="E514" s="3" t="s">
        <v>38</v>
      </c>
      <c r="F514" s="3" t="s">
        <v>55</v>
      </c>
      <c r="G514" s="3" t="s">
        <v>67</v>
      </c>
      <c r="H514" s="63" t="str">
        <f>Table1[[#This Row],[Tabela]]&amp;Table1[[#This Row],[Campo]]</f>
        <v>cd_imv_out_prccomp_id_gar</v>
      </c>
      <c r="I514" s="3" t="s">
        <v>477</v>
      </c>
      <c r="J514" s="45">
        <f>VLOOKUP(Table1[[#This Row],[Status]],Auxiliar!$B$16:$C$23,2,0)</f>
        <v>1</v>
      </c>
      <c r="K514" s="3" t="s">
        <v>1137</v>
      </c>
      <c r="L514" s="30" t="s">
        <v>1144</v>
      </c>
      <c r="M514" s="22" t="s">
        <v>1145</v>
      </c>
      <c r="N514" s="53">
        <v>45512</v>
      </c>
      <c r="O514" s="22">
        <f>INDEX(Auxiliar!$D$5:$F$13,MATCH(Table1[[#This Row],[Tipologia_Testes]],Auxiliar!$B$5:$B$13,0),MATCH(Table1[[#This Row],[Complexidade]],Auxiliar!$D$4:$F$4,0))</f>
        <v>2</v>
      </c>
      <c r="P514" s="3"/>
      <c r="Q514" s="3"/>
      <c r="R514" s="173">
        <v>45261</v>
      </c>
      <c r="S514" s="173"/>
      <c r="T514" s="173"/>
      <c r="U514" s="173"/>
      <c r="V514" s="173"/>
      <c r="W514" s="3">
        <f>VLOOKUP(Table1[[#This Row],[Status]],Auxiliar!$B$16:$D$23,3,0)*Table1[[#This Row],[Estimação (horas)]]</f>
        <v>2</v>
      </c>
      <c r="X514" s="3"/>
    </row>
    <row r="515" spans="2:24" ht="17.399999999999999" hidden="1" customHeight="1">
      <c r="B515" s="3" t="s">
        <v>28</v>
      </c>
      <c r="C515" s="3" t="s">
        <v>54</v>
      </c>
      <c r="D515" s="3" t="s">
        <v>38</v>
      </c>
      <c r="E515" s="3" t="s">
        <v>38</v>
      </c>
      <c r="F515" s="3" t="s">
        <v>55</v>
      </c>
      <c r="G515" s="3" t="s">
        <v>67</v>
      </c>
      <c r="H515" s="63" t="str">
        <f>Table1[[#This Row],[Tabela]]&amp;Table1[[#This Row],[Campo]]</f>
        <v>cd_imv_out_prccomp_id_gar</v>
      </c>
      <c r="I515" s="3" t="s">
        <v>477</v>
      </c>
      <c r="J515" s="45">
        <f>VLOOKUP(Table1[[#This Row],[Status]],Auxiliar!$B$16:$C$23,2,0)</f>
        <v>1</v>
      </c>
      <c r="K515" s="3" t="s">
        <v>1138</v>
      </c>
      <c r="L515" s="30" t="s">
        <v>1144</v>
      </c>
      <c r="M515" s="22" t="s">
        <v>1145</v>
      </c>
      <c r="N515" s="53">
        <v>45512</v>
      </c>
      <c r="O515" s="22">
        <f>INDEX(Auxiliar!$D$5:$F$13,MATCH(Table1[[#This Row],[Tipologia_Testes]],Auxiliar!$B$5:$B$13,0),MATCH(Table1[[#This Row],[Complexidade]],Auxiliar!$D$4:$F$4,0))</f>
        <v>2</v>
      </c>
      <c r="P515" s="3"/>
      <c r="Q515" s="3"/>
      <c r="R515" s="173">
        <v>45261</v>
      </c>
      <c r="S515" s="173"/>
      <c r="T515" s="173"/>
      <c r="U515" s="173"/>
      <c r="V515" s="173"/>
      <c r="W515" s="3">
        <f>VLOOKUP(Table1[[#This Row],[Status]],Auxiliar!$B$16:$D$23,3,0)*Table1[[#This Row],[Estimação (horas)]]</f>
        <v>2</v>
      </c>
      <c r="X515" s="3"/>
    </row>
    <row r="516" spans="2:24" ht="17.399999999999999" hidden="1" customHeight="1">
      <c r="B516" s="3" t="s">
        <v>28</v>
      </c>
      <c r="C516" s="3" t="s">
        <v>54</v>
      </c>
      <c r="D516" s="3" t="s">
        <v>38</v>
      </c>
      <c r="E516" s="3" t="s">
        <v>38</v>
      </c>
      <c r="F516" s="3" t="s">
        <v>55</v>
      </c>
      <c r="G516" s="3" t="s">
        <v>67</v>
      </c>
      <c r="H516" s="63" t="str">
        <f>Table1[[#This Row],[Tabela]]&amp;Table1[[#This Row],[Campo]]</f>
        <v>cd_imv_out_prccomp_id_gar</v>
      </c>
      <c r="I516" s="3" t="s">
        <v>477</v>
      </c>
      <c r="J516" s="45">
        <f>VLOOKUP(Table1[[#This Row],[Status]],Auxiliar!$B$16:$C$23,2,0)</f>
        <v>1</v>
      </c>
      <c r="K516" s="3" t="s">
        <v>1141</v>
      </c>
      <c r="L516" s="30" t="s">
        <v>1144</v>
      </c>
      <c r="M516" s="22" t="s">
        <v>1145</v>
      </c>
      <c r="N516" s="53">
        <v>45512</v>
      </c>
      <c r="O516" s="22">
        <f>INDEX(Auxiliar!$D$5:$F$13,MATCH(Table1[[#This Row],[Tipologia_Testes]],Auxiliar!$B$5:$B$13,0),MATCH(Table1[[#This Row],[Complexidade]],Auxiliar!$D$4:$F$4,0))</f>
        <v>0.1</v>
      </c>
      <c r="P516" s="3"/>
      <c r="Q516" s="3"/>
      <c r="R516" s="173">
        <v>45261</v>
      </c>
      <c r="S516" s="173"/>
      <c r="T516" s="173"/>
      <c r="U516" s="173"/>
      <c r="V516" s="173"/>
      <c r="W516" s="3">
        <f>VLOOKUP(Table1[[#This Row],[Status]],Auxiliar!$B$16:$D$23,3,0)*Table1[[#This Row],[Estimação (horas)]]</f>
        <v>0.1</v>
      </c>
      <c r="X516" s="3"/>
    </row>
    <row r="517" spans="2:24" ht="17.399999999999999" hidden="1" customHeight="1">
      <c r="B517" s="3" t="s">
        <v>28</v>
      </c>
      <c r="C517" s="3" t="s">
        <v>54</v>
      </c>
      <c r="D517" s="3" t="s">
        <v>38</v>
      </c>
      <c r="E517" s="3" t="s">
        <v>38</v>
      </c>
      <c r="F517" s="3" t="s">
        <v>55</v>
      </c>
      <c r="G517" s="3" t="s">
        <v>68</v>
      </c>
      <c r="H517" s="63" t="str">
        <f>Table1[[#This Row],[Tabela]]&amp;Table1[[#This Row],[Campo]]</f>
        <v>cd_imv_out_prcdata_inicio</v>
      </c>
      <c r="I517" s="3" t="s">
        <v>477</v>
      </c>
      <c r="J517" s="45">
        <f>VLOOKUP(Table1[[#This Row],[Status]],Auxiliar!$B$16:$C$23,2,0)</f>
        <v>1</v>
      </c>
      <c r="K517" s="3" t="s">
        <v>1137</v>
      </c>
      <c r="L517" s="30" t="s">
        <v>1144</v>
      </c>
      <c r="M517" s="22" t="s">
        <v>1145</v>
      </c>
      <c r="N517" s="53">
        <v>45512</v>
      </c>
      <c r="O517" s="22">
        <f>INDEX(Auxiliar!$D$5:$F$13,MATCH(Table1[[#This Row],[Tipologia_Testes]],Auxiliar!$B$5:$B$13,0),MATCH(Table1[[#This Row],[Complexidade]],Auxiliar!$D$4:$F$4,0))</f>
        <v>2</v>
      </c>
      <c r="P517" s="3"/>
      <c r="Q517" s="3"/>
      <c r="R517" s="173">
        <v>45261</v>
      </c>
      <c r="S517" s="173"/>
      <c r="T517" s="173"/>
      <c r="U517" s="173"/>
      <c r="V517" s="173"/>
      <c r="W517" s="3">
        <f>VLOOKUP(Table1[[#This Row],[Status]],Auxiliar!$B$16:$D$23,3,0)*Table1[[#This Row],[Estimação (horas)]]</f>
        <v>2</v>
      </c>
      <c r="X517" s="3"/>
    </row>
    <row r="518" spans="2:24" ht="17.399999999999999" hidden="1" customHeight="1">
      <c r="B518" s="3" t="s">
        <v>28</v>
      </c>
      <c r="C518" s="3" t="s">
        <v>54</v>
      </c>
      <c r="D518" s="3" t="s">
        <v>38</v>
      </c>
      <c r="E518" s="3" t="s">
        <v>38</v>
      </c>
      <c r="F518" s="3" t="s">
        <v>55</v>
      </c>
      <c r="G518" s="3" t="s">
        <v>68</v>
      </c>
      <c r="H518" s="63" t="str">
        <f>Table1[[#This Row],[Tabela]]&amp;Table1[[#This Row],[Campo]]</f>
        <v>cd_imv_out_prcdata_inicio</v>
      </c>
      <c r="I518" s="3" t="s">
        <v>477</v>
      </c>
      <c r="J518" s="45">
        <f>VLOOKUP(Table1[[#This Row],[Status]],Auxiliar!$B$16:$C$23,2,0)</f>
        <v>1</v>
      </c>
      <c r="K518" s="3" t="s">
        <v>1138</v>
      </c>
      <c r="L518" s="30" t="s">
        <v>1144</v>
      </c>
      <c r="M518" s="22" t="s">
        <v>1145</v>
      </c>
      <c r="N518" s="53">
        <v>45512</v>
      </c>
      <c r="O518" s="22">
        <f>INDEX(Auxiliar!$D$5:$F$13,MATCH(Table1[[#This Row],[Tipologia_Testes]],Auxiliar!$B$5:$B$13,0),MATCH(Table1[[#This Row],[Complexidade]],Auxiliar!$D$4:$F$4,0))</f>
        <v>2</v>
      </c>
      <c r="P518" s="3"/>
      <c r="Q518" s="3"/>
      <c r="R518" s="173">
        <v>45261</v>
      </c>
      <c r="S518" s="173"/>
      <c r="T518" s="173"/>
      <c r="U518" s="173"/>
      <c r="V518" s="173"/>
      <c r="W518" s="3">
        <f>VLOOKUP(Table1[[#This Row],[Status]],Auxiliar!$B$16:$D$23,3,0)*Table1[[#This Row],[Estimação (horas)]]</f>
        <v>2</v>
      </c>
      <c r="X518" s="3"/>
    </row>
    <row r="519" spans="2:24" ht="17.399999999999999" hidden="1" customHeight="1">
      <c r="B519" s="3" t="s">
        <v>28</v>
      </c>
      <c r="C519" s="3" t="s">
        <v>54</v>
      </c>
      <c r="D519" s="3" t="s">
        <v>38</v>
      </c>
      <c r="E519" s="3" t="s">
        <v>38</v>
      </c>
      <c r="F519" s="3" t="s">
        <v>55</v>
      </c>
      <c r="G519" s="3" t="s">
        <v>68</v>
      </c>
      <c r="H519" s="63" t="str">
        <f>Table1[[#This Row],[Tabela]]&amp;Table1[[#This Row],[Campo]]</f>
        <v>cd_imv_out_prcdata_inicio</v>
      </c>
      <c r="I519" s="3" t="s">
        <v>477</v>
      </c>
      <c r="J519" s="45">
        <f>VLOOKUP(Table1[[#This Row],[Status]],Auxiliar!$B$16:$C$23,2,0)</f>
        <v>1</v>
      </c>
      <c r="K519" s="3" t="s">
        <v>1141</v>
      </c>
      <c r="L519" s="30" t="s">
        <v>1144</v>
      </c>
      <c r="M519" s="22" t="s">
        <v>1145</v>
      </c>
      <c r="N519" s="53">
        <v>45512</v>
      </c>
      <c r="O519" s="22">
        <f>INDEX(Auxiliar!$D$5:$F$13,MATCH(Table1[[#This Row],[Tipologia_Testes]],Auxiliar!$B$5:$B$13,0),MATCH(Table1[[#This Row],[Complexidade]],Auxiliar!$D$4:$F$4,0))</f>
        <v>0.1</v>
      </c>
      <c r="P519" s="3"/>
      <c r="Q519" s="3"/>
      <c r="R519" s="173">
        <v>45261</v>
      </c>
      <c r="S519" s="173"/>
      <c r="T519" s="173"/>
      <c r="U519" s="173"/>
      <c r="V519" s="173"/>
      <c r="W519" s="3">
        <f>VLOOKUP(Table1[[#This Row],[Status]],Auxiliar!$B$16:$D$23,3,0)*Table1[[#This Row],[Estimação (horas)]]</f>
        <v>0.1</v>
      </c>
      <c r="X519" s="3"/>
    </row>
    <row r="520" spans="2:24" ht="17.399999999999999" hidden="1" customHeight="1">
      <c r="B520" s="3" t="s">
        <v>28</v>
      </c>
      <c r="C520" s="3" t="s">
        <v>54</v>
      </c>
      <c r="D520" s="3" t="s">
        <v>38</v>
      </c>
      <c r="E520" s="3" t="s">
        <v>38</v>
      </c>
      <c r="F520" s="3" t="s">
        <v>55</v>
      </c>
      <c r="G520" s="3" t="s">
        <v>69</v>
      </c>
      <c r="H520" s="63" t="str">
        <f>Table1[[#This Row],[Tabela]]&amp;Table1[[#This Row],[Campo]]</f>
        <v>cd_imv_out_prcdata_vcmt</v>
      </c>
      <c r="I520" s="3" t="s">
        <v>477</v>
      </c>
      <c r="J520" s="45">
        <f>VLOOKUP(Table1[[#This Row],[Status]],Auxiliar!$B$16:$C$23,2,0)</f>
        <v>1</v>
      </c>
      <c r="K520" s="3" t="s">
        <v>1137</v>
      </c>
      <c r="L520" s="30" t="s">
        <v>1144</v>
      </c>
      <c r="M520" s="22" t="s">
        <v>1145</v>
      </c>
      <c r="N520" s="53">
        <v>45512</v>
      </c>
      <c r="O520" s="22">
        <f>INDEX(Auxiliar!$D$5:$F$13,MATCH(Table1[[#This Row],[Tipologia_Testes]],Auxiliar!$B$5:$B$13,0),MATCH(Table1[[#This Row],[Complexidade]],Auxiliar!$D$4:$F$4,0))</f>
        <v>2</v>
      </c>
      <c r="P520" s="3"/>
      <c r="Q520" s="3"/>
      <c r="R520" s="173">
        <v>45261</v>
      </c>
      <c r="S520" s="173"/>
      <c r="T520" s="173"/>
      <c r="U520" s="173"/>
      <c r="V520" s="173"/>
      <c r="W520" s="3">
        <f>VLOOKUP(Table1[[#This Row],[Status]],Auxiliar!$B$16:$D$23,3,0)*Table1[[#This Row],[Estimação (horas)]]</f>
        <v>2</v>
      </c>
      <c r="X520" s="3"/>
    </row>
    <row r="521" spans="2:24" ht="17.399999999999999" hidden="1" customHeight="1">
      <c r="B521" s="3" t="s">
        <v>28</v>
      </c>
      <c r="C521" s="3" t="s">
        <v>54</v>
      </c>
      <c r="D521" s="3" t="s">
        <v>38</v>
      </c>
      <c r="E521" s="3" t="s">
        <v>38</v>
      </c>
      <c r="F521" s="3" t="s">
        <v>55</v>
      </c>
      <c r="G521" s="3" t="s">
        <v>69</v>
      </c>
      <c r="H521" s="63" t="str">
        <f>Table1[[#This Row],[Tabela]]&amp;Table1[[#This Row],[Campo]]</f>
        <v>cd_imv_out_prcdata_vcmt</v>
      </c>
      <c r="I521" s="3" t="s">
        <v>477</v>
      </c>
      <c r="J521" s="45">
        <f>VLOOKUP(Table1[[#This Row],[Status]],Auxiliar!$B$16:$C$23,2,0)</f>
        <v>1</v>
      </c>
      <c r="K521" s="3" t="s">
        <v>1138</v>
      </c>
      <c r="L521" s="30" t="s">
        <v>1144</v>
      </c>
      <c r="M521" s="22" t="s">
        <v>1145</v>
      </c>
      <c r="N521" s="53">
        <v>45512</v>
      </c>
      <c r="O521" s="22">
        <f>INDEX(Auxiliar!$D$5:$F$13,MATCH(Table1[[#This Row],[Tipologia_Testes]],Auxiliar!$B$5:$B$13,0),MATCH(Table1[[#This Row],[Complexidade]],Auxiliar!$D$4:$F$4,0))</f>
        <v>2</v>
      </c>
      <c r="P521" s="3"/>
      <c r="Q521" s="3"/>
      <c r="R521" s="173">
        <v>45261</v>
      </c>
      <c r="S521" s="173"/>
      <c r="T521" s="173"/>
      <c r="U521" s="173"/>
      <c r="V521" s="173"/>
      <c r="W521" s="3">
        <f>VLOOKUP(Table1[[#This Row],[Status]],Auxiliar!$B$16:$D$23,3,0)*Table1[[#This Row],[Estimação (horas)]]</f>
        <v>2</v>
      </c>
      <c r="X521" s="3"/>
    </row>
    <row r="522" spans="2:24" ht="17.399999999999999" hidden="1" customHeight="1">
      <c r="B522" s="3" t="s">
        <v>28</v>
      </c>
      <c r="C522" s="3" t="s">
        <v>54</v>
      </c>
      <c r="D522" s="3" t="s">
        <v>38</v>
      </c>
      <c r="E522" s="3" t="s">
        <v>38</v>
      </c>
      <c r="F522" s="3" t="s">
        <v>55</v>
      </c>
      <c r="G522" s="3" t="s">
        <v>69</v>
      </c>
      <c r="H522" s="63" t="str">
        <f>Table1[[#This Row],[Tabela]]&amp;Table1[[#This Row],[Campo]]</f>
        <v>cd_imv_out_prcdata_vcmt</v>
      </c>
      <c r="I522" s="3" t="s">
        <v>477</v>
      </c>
      <c r="J522" s="45">
        <f>VLOOKUP(Table1[[#This Row],[Status]],Auxiliar!$B$16:$C$23,2,0)</f>
        <v>1</v>
      </c>
      <c r="K522" s="3" t="s">
        <v>1141</v>
      </c>
      <c r="L522" s="30" t="s">
        <v>1144</v>
      </c>
      <c r="M522" s="22" t="s">
        <v>1145</v>
      </c>
      <c r="N522" s="53">
        <v>45512</v>
      </c>
      <c r="O522" s="22">
        <f>INDEX(Auxiliar!$D$5:$F$13,MATCH(Table1[[#This Row],[Tipologia_Testes]],Auxiliar!$B$5:$B$13,0),MATCH(Table1[[#This Row],[Complexidade]],Auxiliar!$D$4:$F$4,0))</f>
        <v>0.1</v>
      </c>
      <c r="P522" s="3"/>
      <c r="Q522" s="3"/>
      <c r="R522" s="173">
        <v>45261</v>
      </c>
      <c r="S522" s="173"/>
      <c r="T522" s="173"/>
      <c r="U522" s="173"/>
      <c r="V522" s="173"/>
      <c r="W522" s="3">
        <f>VLOOKUP(Table1[[#This Row],[Status]],Auxiliar!$B$16:$D$23,3,0)*Table1[[#This Row],[Estimação (horas)]]</f>
        <v>0.1</v>
      </c>
      <c r="X522" s="3"/>
    </row>
    <row r="523" spans="2:24" ht="17.399999999999999" hidden="1" customHeight="1">
      <c r="B523" s="3" t="s">
        <v>28</v>
      </c>
      <c r="C523" s="3" t="s">
        <v>54</v>
      </c>
      <c r="D523" s="3" t="s">
        <v>38</v>
      </c>
      <c r="E523" s="3" t="s">
        <v>38</v>
      </c>
      <c r="F523" s="3" t="s">
        <v>55</v>
      </c>
      <c r="G523" s="3" t="s">
        <v>70</v>
      </c>
      <c r="H523" s="63" t="str">
        <f>Table1[[#This Row],[Tabela]]&amp;Table1[[#This Row],[Campo]]</f>
        <v>cd_imv_out_prcmontante_eur</v>
      </c>
      <c r="I523" s="3" t="s">
        <v>476</v>
      </c>
      <c r="J523" s="45">
        <f>VLOOKUP(Table1[[#This Row],[Status]],Auxiliar!$B$16:$C$23,2,0)</f>
        <v>0</v>
      </c>
      <c r="K523" s="3" t="s">
        <v>1137</v>
      </c>
      <c r="L523" s="3" t="s">
        <v>1171</v>
      </c>
      <c r="M523" s="22" t="s">
        <v>1145</v>
      </c>
      <c r="N523" s="53">
        <v>45485</v>
      </c>
      <c r="O523" s="22">
        <f>INDEX(Auxiliar!$D$5:$F$13,MATCH(Table1[[#This Row],[Tipologia_Testes]],Auxiliar!$B$5:$B$13,0),MATCH(Table1[[#This Row],[Complexidade]],Auxiliar!$D$4:$F$4,0))</f>
        <v>2</v>
      </c>
      <c r="P523" s="3" t="s">
        <v>1178</v>
      </c>
      <c r="Q523" s="3"/>
      <c r="R523" s="173">
        <v>45425</v>
      </c>
      <c r="S523" s="173"/>
      <c r="T523" s="173"/>
      <c r="U523" s="173"/>
      <c r="V523" s="173"/>
      <c r="W523" s="3">
        <f>VLOOKUP(Table1[[#This Row],[Status]],Auxiliar!$B$16:$D$23,3,0)*Table1[[#This Row],[Estimação (horas)]]</f>
        <v>0</v>
      </c>
      <c r="X523" s="3"/>
    </row>
    <row r="524" spans="2:24" ht="17.399999999999999" hidden="1" customHeight="1">
      <c r="B524" s="3" t="s">
        <v>28</v>
      </c>
      <c r="C524" s="3" t="s">
        <v>54</v>
      </c>
      <c r="D524" s="3" t="s">
        <v>38</v>
      </c>
      <c r="E524" s="3" t="s">
        <v>38</v>
      </c>
      <c r="F524" s="3" t="s">
        <v>55</v>
      </c>
      <c r="G524" s="3" t="s">
        <v>71</v>
      </c>
      <c r="H524" s="63" t="str">
        <f>Table1[[#This Row],[Tabela]]&amp;Table1[[#This Row],[Campo]]</f>
        <v>cd_imv_out_prcmontante_org</v>
      </c>
      <c r="I524" s="3" t="s">
        <v>476</v>
      </c>
      <c r="J524" s="45">
        <f>VLOOKUP(Table1[[#This Row],[Status]],Auxiliar!$B$16:$C$23,2,0)</f>
        <v>0</v>
      </c>
      <c r="K524" s="3" t="s">
        <v>1137</v>
      </c>
      <c r="L524" s="3" t="s">
        <v>1171</v>
      </c>
      <c r="M524" s="22" t="s">
        <v>1145</v>
      </c>
      <c r="N524" s="53">
        <v>45485</v>
      </c>
      <c r="O524" s="22">
        <f>INDEX(Auxiliar!$D$5:$F$13,MATCH(Table1[[#This Row],[Tipologia_Testes]],Auxiliar!$B$5:$B$13,0),MATCH(Table1[[#This Row],[Complexidade]],Auxiliar!$D$4:$F$4,0))</f>
        <v>2</v>
      </c>
      <c r="P524" s="3" t="s">
        <v>1178</v>
      </c>
      <c r="Q524" s="3"/>
      <c r="R524" s="173">
        <v>45425</v>
      </c>
      <c r="S524" s="173"/>
      <c r="T524" s="173"/>
      <c r="U524" s="173"/>
      <c r="V524" s="173"/>
      <c r="W524" s="3">
        <f>VLOOKUP(Table1[[#This Row],[Status]],Auxiliar!$B$16:$D$23,3,0)*Table1[[#This Row],[Estimação (horas)]]</f>
        <v>0</v>
      </c>
      <c r="X524" s="3"/>
    </row>
    <row r="525" spans="2:24" ht="17.399999999999999" hidden="1" customHeight="1">
      <c r="B525" s="3" t="s">
        <v>28</v>
      </c>
      <c r="C525" s="3" t="s">
        <v>54</v>
      </c>
      <c r="D525" s="3" t="s">
        <v>38</v>
      </c>
      <c r="E525" s="3" t="s">
        <v>38</v>
      </c>
      <c r="F525" s="3" t="s">
        <v>55</v>
      </c>
      <c r="G525" s="3" t="s">
        <v>72</v>
      </c>
      <c r="H525" s="63" t="str">
        <f>Table1[[#This Row],[Tabela]]&amp;Table1[[#This Row],[Campo]]</f>
        <v>cd_imv_out_prcorigem</v>
      </c>
      <c r="I525" s="3" t="s">
        <v>476</v>
      </c>
      <c r="J525" s="45">
        <f>VLOOKUP(Table1[[#This Row],[Status]],Auxiliar!$B$16:$C$23,2,0)</f>
        <v>0</v>
      </c>
      <c r="K525" s="3" t="s">
        <v>1137</v>
      </c>
      <c r="L525" s="30" t="s">
        <v>1144</v>
      </c>
      <c r="M525" s="22" t="s">
        <v>1145</v>
      </c>
      <c r="N525" s="53">
        <v>45512</v>
      </c>
      <c r="O525" s="22">
        <f>INDEX(Auxiliar!$D$5:$F$13,MATCH(Table1[[#This Row],[Tipologia_Testes]],Auxiliar!$B$5:$B$13,0),MATCH(Table1[[#This Row],[Complexidade]],Auxiliar!$D$4:$F$4,0))</f>
        <v>2</v>
      </c>
      <c r="P525" s="3"/>
      <c r="Q525" s="3"/>
      <c r="R525" s="173">
        <v>45261</v>
      </c>
      <c r="S525" s="173"/>
      <c r="T525" s="173"/>
      <c r="U525" s="173"/>
      <c r="V525" s="173"/>
      <c r="W525" s="3">
        <f>VLOOKUP(Table1[[#This Row],[Status]],Auxiliar!$B$16:$D$23,3,0)*Table1[[#This Row],[Estimação (horas)]]</f>
        <v>0</v>
      </c>
      <c r="X525" s="3"/>
    </row>
    <row r="526" spans="2:24" ht="17.399999999999999" hidden="1" customHeight="1">
      <c r="B526" s="3" t="s">
        <v>28</v>
      </c>
      <c r="C526" s="3" t="s">
        <v>54</v>
      </c>
      <c r="D526" s="3" t="s">
        <v>38</v>
      </c>
      <c r="E526" s="3" t="s">
        <v>38</v>
      </c>
      <c r="F526" s="3" t="s">
        <v>55</v>
      </c>
      <c r="G526" s="3" t="s">
        <v>72</v>
      </c>
      <c r="H526" s="63" t="str">
        <f>Table1[[#This Row],[Tabela]]&amp;Table1[[#This Row],[Campo]]</f>
        <v>cd_imv_out_prcorigem</v>
      </c>
      <c r="I526" s="3" t="s">
        <v>476</v>
      </c>
      <c r="J526" s="45">
        <f>VLOOKUP(Table1[[#This Row],[Status]],Auxiliar!$B$16:$C$23,2,0)</f>
        <v>0</v>
      </c>
      <c r="K526" s="3" t="s">
        <v>1138</v>
      </c>
      <c r="L526" s="30" t="s">
        <v>1144</v>
      </c>
      <c r="M526" s="22" t="s">
        <v>1145</v>
      </c>
      <c r="N526" s="53">
        <v>45512</v>
      </c>
      <c r="O526" s="22">
        <f>INDEX(Auxiliar!$D$5:$F$13,MATCH(Table1[[#This Row],[Tipologia_Testes]],Auxiliar!$B$5:$B$13,0),MATCH(Table1[[#This Row],[Complexidade]],Auxiliar!$D$4:$F$4,0))</f>
        <v>2</v>
      </c>
      <c r="P526" s="3"/>
      <c r="Q526" s="3"/>
      <c r="R526" s="173">
        <v>45261</v>
      </c>
      <c r="S526" s="173"/>
      <c r="T526" s="173"/>
      <c r="U526" s="173"/>
      <c r="V526" s="173"/>
      <c r="W526" s="3">
        <f>VLOOKUP(Table1[[#This Row],[Status]],Auxiliar!$B$16:$D$23,3,0)*Table1[[#This Row],[Estimação (horas)]]</f>
        <v>0</v>
      </c>
      <c r="X526" s="3"/>
    </row>
    <row r="527" spans="2:24" ht="17.399999999999999" hidden="1" customHeight="1">
      <c r="B527" s="3" t="s">
        <v>28</v>
      </c>
      <c r="C527" s="3" t="s">
        <v>54</v>
      </c>
      <c r="D527" s="3" t="s">
        <v>38</v>
      </c>
      <c r="E527" s="3" t="s">
        <v>38</v>
      </c>
      <c r="F527" s="3" t="s">
        <v>55</v>
      </c>
      <c r="G527" s="3" t="s">
        <v>72</v>
      </c>
      <c r="H527" s="63" t="str">
        <f>Table1[[#This Row],[Tabela]]&amp;Table1[[#This Row],[Campo]]</f>
        <v>cd_imv_out_prcorigem</v>
      </c>
      <c r="I527" s="3" t="s">
        <v>476</v>
      </c>
      <c r="J527" s="45">
        <f>VLOOKUP(Table1[[#This Row],[Status]],Auxiliar!$B$16:$C$23,2,0)</f>
        <v>0</v>
      </c>
      <c r="K527" s="3" t="s">
        <v>1141</v>
      </c>
      <c r="L527" s="30" t="s">
        <v>1144</v>
      </c>
      <c r="M527" s="22" t="s">
        <v>1145</v>
      </c>
      <c r="N527" s="53">
        <v>45512</v>
      </c>
      <c r="O527" s="22">
        <f>INDEX(Auxiliar!$D$5:$F$13,MATCH(Table1[[#This Row],[Tipologia_Testes]],Auxiliar!$B$5:$B$13,0),MATCH(Table1[[#This Row],[Complexidade]],Auxiliar!$D$4:$F$4,0))</f>
        <v>0.1</v>
      </c>
      <c r="P527" s="3"/>
      <c r="Q527" s="3"/>
      <c r="R527" s="173">
        <v>45261</v>
      </c>
      <c r="S527" s="173"/>
      <c r="T527" s="173"/>
      <c r="U527" s="173"/>
      <c r="V527" s="173"/>
      <c r="W527" s="3">
        <f>VLOOKUP(Table1[[#This Row],[Status]],Auxiliar!$B$16:$D$23,3,0)*Table1[[#This Row],[Estimação (horas)]]</f>
        <v>0</v>
      </c>
      <c r="X527" s="3"/>
    </row>
    <row r="528" spans="2:24" ht="17.399999999999999" hidden="1" customHeight="1">
      <c r="B528" s="3" t="s">
        <v>28</v>
      </c>
      <c r="C528" s="3" t="s">
        <v>54</v>
      </c>
      <c r="D528" s="3" t="s">
        <v>38</v>
      </c>
      <c r="E528" s="3" t="s">
        <v>38</v>
      </c>
      <c r="F528" s="3" t="s">
        <v>55</v>
      </c>
      <c r="G528" s="3" t="s">
        <v>73</v>
      </c>
      <c r="H528" s="63" t="str">
        <f>Table1[[#This Row],[Tabela]]&amp;Table1[[#This Row],[Campo]]</f>
        <v>cd_imv_out_prcref_date</v>
      </c>
      <c r="I528" s="3" t="s">
        <v>477</v>
      </c>
      <c r="J528" s="45">
        <f>VLOOKUP(Table1[[#This Row],[Status]],Auxiliar!$B$16:$C$23,2,0)</f>
        <v>1</v>
      </c>
      <c r="K528" s="3" t="s">
        <v>1137</v>
      </c>
      <c r="L528" s="30" t="s">
        <v>1144</v>
      </c>
      <c r="M528" s="22" t="s">
        <v>1145</v>
      </c>
      <c r="N528" s="53">
        <v>45512</v>
      </c>
      <c r="O528" s="22">
        <f>INDEX(Auxiliar!$D$5:$F$13,MATCH(Table1[[#This Row],[Tipologia_Testes]],Auxiliar!$B$5:$B$13,0),MATCH(Table1[[#This Row],[Complexidade]],Auxiliar!$D$4:$F$4,0))</f>
        <v>2</v>
      </c>
      <c r="P528" s="3"/>
      <c r="Q528" s="3"/>
      <c r="R528" s="173">
        <v>45261</v>
      </c>
      <c r="S528" s="173"/>
      <c r="T528" s="173"/>
      <c r="U528" s="173"/>
      <c r="V528" s="173"/>
      <c r="W528" s="3">
        <f>VLOOKUP(Table1[[#This Row],[Status]],Auxiliar!$B$16:$D$23,3,0)*Table1[[#This Row],[Estimação (horas)]]</f>
        <v>2</v>
      </c>
      <c r="X528" s="3"/>
    </row>
    <row r="529" spans="2:24" ht="17.399999999999999" hidden="1" customHeight="1">
      <c r="B529" s="3" t="s">
        <v>28</v>
      </c>
      <c r="C529" s="3" t="s">
        <v>54</v>
      </c>
      <c r="D529" s="3" t="s">
        <v>38</v>
      </c>
      <c r="E529" s="3" t="s">
        <v>38</v>
      </c>
      <c r="F529" s="3" t="s">
        <v>55</v>
      </c>
      <c r="G529" s="3" t="s">
        <v>73</v>
      </c>
      <c r="H529" s="63" t="str">
        <f>Table1[[#This Row],[Tabela]]&amp;Table1[[#This Row],[Campo]]</f>
        <v>cd_imv_out_prcref_date</v>
      </c>
      <c r="I529" s="3" t="s">
        <v>477</v>
      </c>
      <c r="J529" s="45">
        <f>VLOOKUP(Table1[[#This Row],[Status]],Auxiliar!$B$16:$C$23,2,0)</f>
        <v>1</v>
      </c>
      <c r="K529" s="3" t="s">
        <v>1138</v>
      </c>
      <c r="L529" s="30" t="s">
        <v>1144</v>
      </c>
      <c r="M529" s="22" t="s">
        <v>1145</v>
      </c>
      <c r="N529" s="53">
        <v>45512</v>
      </c>
      <c r="O529" s="22">
        <f>INDEX(Auxiliar!$D$5:$F$13,MATCH(Table1[[#This Row],[Tipologia_Testes]],Auxiliar!$B$5:$B$13,0),MATCH(Table1[[#This Row],[Complexidade]],Auxiliar!$D$4:$F$4,0))</f>
        <v>2</v>
      </c>
      <c r="P529" s="3"/>
      <c r="Q529" s="3"/>
      <c r="R529" s="173">
        <v>45261</v>
      </c>
      <c r="S529" s="173"/>
      <c r="T529" s="173"/>
      <c r="U529" s="173"/>
      <c r="V529" s="173"/>
      <c r="W529" s="3">
        <f>VLOOKUP(Table1[[#This Row],[Status]],Auxiliar!$B$16:$D$23,3,0)*Table1[[#This Row],[Estimação (horas)]]</f>
        <v>2</v>
      </c>
      <c r="X529" s="3"/>
    </row>
    <row r="530" spans="2:24" ht="17.399999999999999" hidden="1" customHeight="1">
      <c r="B530" s="3" t="s">
        <v>28</v>
      </c>
      <c r="C530" s="3" t="s">
        <v>54</v>
      </c>
      <c r="D530" s="3" t="s">
        <v>38</v>
      </c>
      <c r="E530" s="3" t="s">
        <v>38</v>
      </c>
      <c r="F530" s="3" t="s">
        <v>55</v>
      </c>
      <c r="G530" s="3" t="s">
        <v>73</v>
      </c>
      <c r="H530" s="63" t="str">
        <f>Table1[[#This Row],[Tabela]]&amp;Table1[[#This Row],[Campo]]</f>
        <v>cd_imv_out_prcref_date</v>
      </c>
      <c r="I530" s="3" t="s">
        <v>477</v>
      </c>
      <c r="J530" s="45">
        <f>VLOOKUP(Table1[[#This Row],[Status]],Auxiliar!$B$16:$C$23,2,0)</f>
        <v>1</v>
      </c>
      <c r="K530" s="3" t="s">
        <v>1141</v>
      </c>
      <c r="L530" s="30" t="s">
        <v>1144</v>
      </c>
      <c r="M530" s="22" t="s">
        <v>1145</v>
      </c>
      <c r="N530" s="53">
        <v>45512</v>
      </c>
      <c r="O530" s="22">
        <f>INDEX(Auxiliar!$D$5:$F$13,MATCH(Table1[[#This Row],[Tipologia_Testes]],Auxiliar!$B$5:$B$13,0),MATCH(Table1[[#This Row],[Complexidade]],Auxiliar!$D$4:$F$4,0))</f>
        <v>0.1</v>
      </c>
      <c r="P530" s="3"/>
      <c r="Q530" s="3"/>
      <c r="R530" s="173">
        <v>45261</v>
      </c>
      <c r="S530" s="173"/>
      <c r="T530" s="173"/>
      <c r="U530" s="173"/>
      <c r="V530" s="173"/>
      <c r="W530" s="3">
        <f>VLOOKUP(Table1[[#This Row],[Status]],Auxiliar!$B$16:$D$23,3,0)*Table1[[#This Row],[Estimação (horas)]]</f>
        <v>0.1</v>
      </c>
      <c r="X530" s="3"/>
    </row>
    <row r="531" spans="2:24" ht="69.599999999999994" hidden="1" customHeight="1">
      <c r="B531" s="3" t="s">
        <v>28</v>
      </c>
      <c r="C531" s="3" t="s">
        <v>54</v>
      </c>
      <c r="D531" s="3" t="s">
        <v>38</v>
      </c>
      <c r="E531" s="3" t="s">
        <v>38</v>
      </c>
      <c r="F531" s="3" t="s">
        <v>56</v>
      </c>
      <c r="G531" s="3" t="s">
        <v>38</v>
      </c>
      <c r="H531" s="63" t="str">
        <f>Table1[[#This Row],[Tabela]]&amp;Table1[[#This Row],[Campo]]</f>
        <v>cd_imv_out_trz_cred_prcn.a.</v>
      </c>
      <c r="I531" s="3" t="s">
        <v>477</v>
      </c>
      <c r="J531" s="45">
        <f>VLOOKUP(Table1[[#This Row],[Status]],Auxiliar!$B$16:$C$23,2,0)</f>
        <v>1</v>
      </c>
      <c r="K531" s="3" t="s">
        <v>1134</v>
      </c>
      <c r="L531" s="3" t="s">
        <v>1135</v>
      </c>
      <c r="M531" s="22" t="s">
        <v>1136</v>
      </c>
      <c r="N531" s="53">
        <v>45512</v>
      </c>
      <c r="O531" s="22">
        <f>INDEX(Auxiliar!$D$5:$F$13,MATCH(Table1[[#This Row],[Tipologia_Testes]],Auxiliar!$B$5:$B$13,0),MATCH(Table1[[#This Row],[Complexidade]],Auxiliar!$D$4:$F$4,0))</f>
        <v>8</v>
      </c>
      <c r="P531" s="24" t="s">
        <v>1179</v>
      </c>
      <c r="Q531" s="3"/>
      <c r="R531" s="173">
        <v>45261</v>
      </c>
      <c r="S531" s="173"/>
      <c r="T531" s="173"/>
      <c r="U531" s="173"/>
      <c r="V531" s="173"/>
      <c r="W531" s="3">
        <f>VLOOKUP(Table1[[#This Row],[Status]],Auxiliar!$B$16:$D$23,3,0)*Table1[[#This Row],[Estimação (horas)]]</f>
        <v>8</v>
      </c>
      <c r="X531" s="3"/>
    </row>
    <row r="532" spans="2:24" ht="17.399999999999999" hidden="1" customHeight="1">
      <c r="B532" s="3" t="s">
        <v>28</v>
      </c>
      <c r="C532" s="3" t="s">
        <v>54</v>
      </c>
      <c r="D532" s="3" t="s">
        <v>38</v>
      </c>
      <c r="E532" s="3" t="s">
        <v>38</v>
      </c>
      <c r="F532" s="3" t="s">
        <v>56</v>
      </c>
      <c r="G532" s="3" t="s">
        <v>57</v>
      </c>
      <c r="H532" s="63" t="str">
        <f>Table1[[#This Row],[Tabela]]&amp;Table1[[#This Row],[Campo]]</f>
        <v>cd_imv_out_trz_cred_prccempresa</v>
      </c>
      <c r="I532" s="3" t="s">
        <v>477</v>
      </c>
      <c r="J532" s="45">
        <f>VLOOKUP(Table1[[#This Row],[Status]],Auxiliar!$B$16:$C$23,2,0)</f>
        <v>1</v>
      </c>
      <c r="K532" s="3" t="s">
        <v>1137</v>
      </c>
      <c r="L532" s="29" t="s">
        <v>1135</v>
      </c>
      <c r="M532" s="22" t="s">
        <v>1155</v>
      </c>
      <c r="N532" s="53">
        <v>45499</v>
      </c>
      <c r="O532" s="22">
        <f>INDEX(Auxiliar!$D$5:$F$13,MATCH(Table1[[#This Row],[Tipologia_Testes]],Auxiliar!$B$5:$B$13,0),MATCH(Table1[[#This Row],[Complexidade]],Auxiliar!$D$4:$F$4,0))</f>
        <v>4</v>
      </c>
      <c r="P532" s="3" t="s">
        <v>1177</v>
      </c>
      <c r="Q532" s="3" t="s">
        <v>1170</v>
      </c>
      <c r="R532" s="173">
        <v>45261</v>
      </c>
      <c r="S532" s="173">
        <v>45495</v>
      </c>
      <c r="T532" s="173"/>
      <c r="U532" s="173"/>
      <c r="V532" s="173"/>
      <c r="W532" s="3">
        <f>VLOOKUP(Table1[[#This Row],[Status]],Auxiliar!$B$16:$D$23,3,0)*Table1[[#This Row],[Estimação (horas)]]</f>
        <v>4</v>
      </c>
      <c r="X532" s="3"/>
    </row>
    <row r="533" spans="2:24" ht="17.399999999999999" hidden="1" customHeight="1">
      <c r="B533" s="3" t="s">
        <v>28</v>
      </c>
      <c r="C533" s="3" t="s">
        <v>54</v>
      </c>
      <c r="D533" s="3" t="s">
        <v>38</v>
      </c>
      <c r="E533" s="3" t="s">
        <v>38</v>
      </c>
      <c r="F533" s="3" t="s">
        <v>56</v>
      </c>
      <c r="G533" s="3" t="s">
        <v>57</v>
      </c>
      <c r="H533" s="63" t="str">
        <f>Table1[[#This Row],[Tabela]]&amp;Table1[[#This Row],[Campo]]</f>
        <v>cd_imv_out_trz_cred_prccempresa</v>
      </c>
      <c r="I533" s="3" t="s">
        <v>477</v>
      </c>
      <c r="J533" s="45">
        <f>VLOOKUP(Table1[[#This Row],[Status]],Auxiliar!$B$16:$C$23,2,0)</f>
        <v>1</v>
      </c>
      <c r="K533" s="3" t="s">
        <v>1138</v>
      </c>
      <c r="L533" s="29" t="s">
        <v>1135</v>
      </c>
      <c r="M533" s="22" t="s">
        <v>1155</v>
      </c>
      <c r="N533" s="53">
        <v>45499</v>
      </c>
      <c r="O533" s="22">
        <f>INDEX(Auxiliar!$D$5:$F$13,MATCH(Table1[[#This Row],[Tipologia_Testes]],Auxiliar!$B$5:$B$13,0),MATCH(Table1[[#This Row],[Complexidade]],Auxiliar!$D$4:$F$4,0))</f>
        <v>4</v>
      </c>
      <c r="P533" s="3" t="s">
        <v>1177</v>
      </c>
      <c r="Q533" s="3" t="s">
        <v>1170</v>
      </c>
      <c r="R533" s="173">
        <v>45261</v>
      </c>
      <c r="S533" s="173">
        <v>45495</v>
      </c>
      <c r="T533" s="173"/>
      <c r="U533" s="173"/>
      <c r="V533" s="173"/>
      <c r="W533" s="3">
        <f>VLOOKUP(Table1[[#This Row],[Status]],Auxiliar!$B$16:$D$23,3,0)*Table1[[#This Row],[Estimação (horas)]]</f>
        <v>4</v>
      </c>
      <c r="X533" s="3"/>
    </row>
    <row r="534" spans="2:24" ht="17.399999999999999" hidden="1" customHeight="1">
      <c r="B534" s="3" t="s">
        <v>28</v>
      </c>
      <c r="C534" s="3" t="s">
        <v>54</v>
      </c>
      <c r="D534" s="3" t="s">
        <v>38</v>
      </c>
      <c r="E534" s="3" t="s">
        <v>38</v>
      </c>
      <c r="F534" s="3" t="s">
        <v>56</v>
      </c>
      <c r="G534" s="3" t="s">
        <v>57</v>
      </c>
      <c r="H534" s="63" t="str">
        <f>Table1[[#This Row],[Tabela]]&amp;Table1[[#This Row],[Campo]]</f>
        <v>cd_imv_out_trz_cred_prccempresa</v>
      </c>
      <c r="I534" s="3" t="s">
        <v>477</v>
      </c>
      <c r="J534" s="45">
        <f>VLOOKUP(Table1[[#This Row],[Status]],Auxiliar!$B$16:$C$23,2,0)</f>
        <v>1</v>
      </c>
      <c r="K534" s="3" t="s">
        <v>1141</v>
      </c>
      <c r="L534" s="29" t="s">
        <v>1135</v>
      </c>
      <c r="M534" s="22" t="s">
        <v>1155</v>
      </c>
      <c r="N534" s="53">
        <v>45499</v>
      </c>
      <c r="O534" s="22">
        <f>INDEX(Auxiliar!$D$5:$F$13,MATCH(Table1[[#This Row],[Tipologia_Testes]],Auxiliar!$B$5:$B$13,0),MATCH(Table1[[#This Row],[Complexidade]],Auxiliar!$D$4:$F$4,0))</f>
        <v>0.1</v>
      </c>
      <c r="P534" s="3" t="s">
        <v>1177</v>
      </c>
      <c r="Q534" s="3" t="s">
        <v>1170</v>
      </c>
      <c r="R534" s="173">
        <v>45261</v>
      </c>
      <c r="S534" s="173">
        <v>45495</v>
      </c>
      <c r="T534" s="173"/>
      <c r="U534" s="173"/>
      <c r="V534" s="173"/>
      <c r="W534" s="3">
        <f>VLOOKUP(Table1[[#This Row],[Status]],Auxiliar!$B$16:$D$23,3,0)*Table1[[#This Row],[Estimação (horas)]]</f>
        <v>0.1</v>
      </c>
      <c r="X534" s="3"/>
    </row>
    <row r="535" spans="2:24" ht="17.399999999999999" hidden="1" customHeight="1">
      <c r="B535" s="3" t="s">
        <v>28</v>
      </c>
      <c r="C535" s="3" t="s">
        <v>54</v>
      </c>
      <c r="D535" s="3" t="s">
        <v>38</v>
      </c>
      <c r="E535" s="3" t="s">
        <v>38</v>
      </c>
      <c r="F535" s="3" t="s">
        <v>56</v>
      </c>
      <c r="G535" s="3" t="s">
        <v>74</v>
      </c>
      <c r="H535" s="63" t="str">
        <f>Table1[[#This Row],[Tabela]]&amp;Table1[[#This Row],[Campo]]</f>
        <v>cd_imv_out_trz_cred_prccempresp</v>
      </c>
      <c r="I535" s="3" t="s">
        <v>477</v>
      </c>
      <c r="J535" s="45">
        <f>VLOOKUP(Table1[[#This Row],[Status]],Auxiliar!$B$16:$C$23,2,0)</f>
        <v>1</v>
      </c>
      <c r="K535" s="3" t="s">
        <v>1137</v>
      </c>
      <c r="L535" s="29" t="s">
        <v>1135</v>
      </c>
      <c r="M535" s="22" t="s">
        <v>1155</v>
      </c>
      <c r="N535" s="53">
        <v>45499</v>
      </c>
      <c r="O535" s="22">
        <f>INDEX(Auxiliar!$D$5:$F$13,MATCH(Table1[[#This Row],[Tipologia_Testes]],Auxiliar!$B$5:$B$13,0),MATCH(Table1[[#This Row],[Complexidade]],Auxiliar!$D$4:$F$4,0))</f>
        <v>4</v>
      </c>
      <c r="P535" s="3" t="s">
        <v>1177</v>
      </c>
      <c r="Q535" s="3" t="s">
        <v>1170</v>
      </c>
      <c r="R535" s="173">
        <v>45261</v>
      </c>
      <c r="S535" s="173">
        <v>45495</v>
      </c>
      <c r="T535" s="173"/>
      <c r="U535" s="173"/>
      <c r="V535" s="173"/>
      <c r="W535" s="3">
        <f>VLOOKUP(Table1[[#This Row],[Status]],Auxiliar!$B$16:$D$23,3,0)*Table1[[#This Row],[Estimação (horas)]]</f>
        <v>4</v>
      </c>
      <c r="X535" s="3"/>
    </row>
    <row r="536" spans="2:24" ht="17.399999999999999" hidden="1" customHeight="1">
      <c r="B536" s="3" t="s">
        <v>28</v>
      </c>
      <c r="C536" s="3" t="s">
        <v>54</v>
      </c>
      <c r="D536" s="3" t="s">
        <v>38</v>
      </c>
      <c r="E536" s="3" t="s">
        <v>38</v>
      </c>
      <c r="F536" s="3" t="s">
        <v>56</v>
      </c>
      <c r="G536" s="3" t="s">
        <v>74</v>
      </c>
      <c r="H536" s="63" t="str">
        <f>Table1[[#This Row],[Tabela]]&amp;Table1[[#This Row],[Campo]]</f>
        <v>cd_imv_out_trz_cred_prccempresp</v>
      </c>
      <c r="I536" s="3" t="s">
        <v>477</v>
      </c>
      <c r="J536" s="45">
        <f>VLOOKUP(Table1[[#This Row],[Status]],Auxiliar!$B$16:$C$23,2,0)</f>
        <v>1</v>
      </c>
      <c r="K536" s="3" t="s">
        <v>1138</v>
      </c>
      <c r="L536" s="29" t="s">
        <v>1135</v>
      </c>
      <c r="M536" s="22" t="s">
        <v>1155</v>
      </c>
      <c r="N536" s="53">
        <v>45499</v>
      </c>
      <c r="O536" s="22">
        <f>INDEX(Auxiliar!$D$5:$F$13,MATCH(Table1[[#This Row],[Tipologia_Testes]],Auxiliar!$B$5:$B$13,0),MATCH(Table1[[#This Row],[Complexidade]],Auxiliar!$D$4:$F$4,0))</f>
        <v>4</v>
      </c>
      <c r="P536" s="3" t="s">
        <v>1177</v>
      </c>
      <c r="Q536" s="3" t="s">
        <v>1170</v>
      </c>
      <c r="R536" s="173">
        <v>45261</v>
      </c>
      <c r="S536" s="173">
        <v>45495</v>
      </c>
      <c r="T536" s="173"/>
      <c r="U536" s="173"/>
      <c r="V536" s="173"/>
      <c r="W536" s="3">
        <f>VLOOKUP(Table1[[#This Row],[Status]],Auxiliar!$B$16:$D$23,3,0)*Table1[[#This Row],[Estimação (horas)]]</f>
        <v>4</v>
      </c>
      <c r="X536" s="3"/>
    </row>
    <row r="537" spans="2:24" ht="17.399999999999999" hidden="1" customHeight="1">
      <c r="B537" s="3" t="s">
        <v>28</v>
      </c>
      <c r="C537" s="3" t="s">
        <v>54</v>
      </c>
      <c r="D537" s="3" t="s">
        <v>38</v>
      </c>
      <c r="E537" s="3" t="s">
        <v>38</v>
      </c>
      <c r="F537" s="3" t="s">
        <v>56</v>
      </c>
      <c r="G537" s="3" t="s">
        <v>74</v>
      </c>
      <c r="H537" s="63" t="str">
        <f>Table1[[#This Row],[Tabela]]&amp;Table1[[#This Row],[Campo]]</f>
        <v>cd_imv_out_trz_cred_prccempresp</v>
      </c>
      <c r="I537" s="3" t="s">
        <v>477</v>
      </c>
      <c r="J537" s="45">
        <f>VLOOKUP(Table1[[#This Row],[Status]],Auxiliar!$B$16:$C$23,2,0)</f>
        <v>1</v>
      </c>
      <c r="K537" s="3" t="s">
        <v>1141</v>
      </c>
      <c r="L537" s="29" t="s">
        <v>1135</v>
      </c>
      <c r="M537" s="22" t="s">
        <v>1155</v>
      </c>
      <c r="N537" s="53">
        <v>45499</v>
      </c>
      <c r="O537" s="22">
        <f>INDEX(Auxiliar!$D$5:$F$13,MATCH(Table1[[#This Row],[Tipologia_Testes]],Auxiliar!$B$5:$B$13,0),MATCH(Table1[[#This Row],[Complexidade]],Auxiliar!$D$4:$F$4,0))</f>
        <v>0.1</v>
      </c>
      <c r="P537" s="3" t="s">
        <v>1177</v>
      </c>
      <c r="Q537" s="3" t="s">
        <v>1170</v>
      </c>
      <c r="R537" s="173">
        <v>45261</v>
      </c>
      <c r="S537" s="173">
        <v>45495</v>
      </c>
      <c r="T537" s="173"/>
      <c r="U537" s="173"/>
      <c r="V537" s="173"/>
      <c r="W537" s="3">
        <f>VLOOKUP(Table1[[#This Row],[Status]],Auxiliar!$B$16:$D$23,3,0)*Table1[[#This Row],[Estimação (horas)]]</f>
        <v>0.1</v>
      </c>
      <c r="X537" s="3"/>
    </row>
    <row r="538" spans="2:24" ht="17.399999999999999" hidden="1" customHeight="1">
      <c r="B538" s="3" t="s">
        <v>28</v>
      </c>
      <c r="C538" s="3" t="s">
        <v>54</v>
      </c>
      <c r="D538" s="3" t="s">
        <v>38</v>
      </c>
      <c r="E538" s="3" t="s">
        <v>38</v>
      </c>
      <c r="F538" s="3" t="s">
        <v>56</v>
      </c>
      <c r="G538" s="3" t="s">
        <v>58</v>
      </c>
      <c r="H538" s="63" t="str">
        <f>Table1[[#This Row],[Tabela]]&amp;Table1[[#This Row],[Campo]]</f>
        <v>cd_imv_out_trz_cred_prcckbalcao</v>
      </c>
      <c r="I538" s="3" t="s">
        <v>477</v>
      </c>
      <c r="J538" s="45">
        <f>VLOOKUP(Table1[[#This Row],[Status]],Auxiliar!$B$16:$C$23,2,0)</f>
        <v>1</v>
      </c>
      <c r="K538" s="3" t="s">
        <v>1137</v>
      </c>
      <c r="L538" s="29" t="s">
        <v>1135</v>
      </c>
      <c r="M538" s="22" t="s">
        <v>1155</v>
      </c>
      <c r="N538" s="53">
        <v>45499</v>
      </c>
      <c r="O538" s="22">
        <f>INDEX(Auxiliar!$D$5:$F$13,MATCH(Table1[[#This Row],[Tipologia_Testes]],Auxiliar!$B$5:$B$13,0),MATCH(Table1[[#This Row],[Complexidade]],Auxiliar!$D$4:$F$4,0))</f>
        <v>4</v>
      </c>
      <c r="P538" s="3" t="s">
        <v>1177</v>
      </c>
      <c r="Q538" s="3" t="s">
        <v>1170</v>
      </c>
      <c r="R538" s="173">
        <v>45261</v>
      </c>
      <c r="S538" s="173">
        <v>45495</v>
      </c>
      <c r="T538" s="173"/>
      <c r="U538" s="173"/>
      <c r="V538" s="173"/>
      <c r="W538" s="3">
        <f>VLOOKUP(Table1[[#This Row],[Status]],Auxiliar!$B$16:$D$23,3,0)*Table1[[#This Row],[Estimação (horas)]]</f>
        <v>4</v>
      </c>
      <c r="X538" s="3"/>
    </row>
    <row r="539" spans="2:24" ht="17.399999999999999" hidden="1" customHeight="1">
      <c r="B539" s="3" t="s">
        <v>28</v>
      </c>
      <c r="C539" s="3" t="s">
        <v>54</v>
      </c>
      <c r="D539" s="3" t="s">
        <v>38</v>
      </c>
      <c r="E539" s="3" t="s">
        <v>38</v>
      </c>
      <c r="F539" s="3" t="s">
        <v>56</v>
      </c>
      <c r="G539" s="3" t="s">
        <v>58</v>
      </c>
      <c r="H539" s="63" t="str">
        <f>Table1[[#This Row],[Tabela]]&amp;Table1[[#This Row],[Campo]]</f>
        <v>cd_imv_out_trz_cred_prcckbalcao</v>
      </c>
      <c r="I539" s="3" t="s">
        <v>477</v>
      </c>
      <c r="J539" s="45">
        <f>VLOOKUP(Table1[[#This Row],[Status]],Auxiliar!$B$16:$C$23,2,0)</f>
        <v>1</v>
      </c>
      <c r="K539" s="3" t="s">
        <v>1138</v>
      </c>
      <c r="L539" s="29" t="s">
        <v>1135</v>
      </c>
      <c r="M539" s="22" t="s">
        <v>1155</v>
      </c>
      <c r="N539" s="53">
        <v>45499</v>
      </c>
      <c r="O539" s="22">
        <f>INDEX(Auxiliar!$D$5:$F$13,MATCH(Table1[[#This Row],[Tipologia_Testes]],Auxiliar!$B$5:$B$13,0),MATCH(Table1[[#This Row],[Complexidade]],Auxiliar!$D$4:$F$4,0))</f>
        <v>4</v>
      </c>
      <c r="P539" s="3" t="s">
        <v>1177</v>
      </c>
      <c r="Q539" s="3" t="s">
        <v>1170</v>
      </c>
      <c r="R539" s="173">
        <v>45261</v>
      </c>
      <c r="S539" s="173">
        <v>45495</v>
      </c>
      <c r="T539" s="173"/>
      <c r="U539" s="173"/>
      <c r="V539" s="173"/>
      <c r="W539" s="3">
        <f>VLOOKUP(Table1[[#This Row],[Status]],Auxiliar!$B$16:$D$23,3,0)*Table1[[#This Row],[Estimação (horas)]]</f>
        <v>4</v>
      </c>
      <c r="X539" s="3"/>
    </row>
    <row r="540" spans="2:24" ht="17.399999999999999" hidden="1" customHeight="1">
      <c r="B540" s="3" t="s">
        <v>28</v>
      </c>
      <c r="C540" s="3" t="s">
        <v>54</v>
      </c>
      <c r="D540" s="3" t="s">
        <v>38</v>
      </c>
      <c r="E540" s="3" t="s">
        <v>38</v>
      </c>
      <c r="F540" s="3" t="s">
        <v>56</v>
      </c>
      <c r="G540" s="3" t="s">
        <v>58</v>
      </c>
      <c r="H540" s="63" t="str">
        <f>Table1[[#This Row],[Tabela]]&amp;Table1[[#This Row],[Campo]]</f>
        <v>cd_imv_out_trz_cred_prcckbalcao</v>
      </c>
      <c r="I540" s="3" t="s">
        <v>477</v>
      </c>
      <c r="J540" s="45">
        <f>VLOOKUP(Table1[[#This Row],[Status]],Auxiliar!$B$16:$C$23,2,0)</f>
        <v>1</v>
      </c>
      <c r="K540" s="3" t="s">
        <v>1141</v>
      </c>
      <c r="L540" s="29" t="s">
        <v>1135</v>
      </c>
      <c r="M540" s="22" t="s">
        <v>1155</v>
      </c>
      <c r="N540" s="53">
        <v>45499</v>
      </c>
      <c r="O540" s="22">
        <f>INDEX(Auxiliar!$D$5:$F$13,MATCH(Table1[[#This Row],[Tipologia_Testes]],Auxiliar!$B$5:$B$13,0),MATCH(Table1[[#This Row],[Complexidade]],Auxiliar!$D$4:$F$4,0))</f>
        <v>0.1</v>
      </c>
      <c r="P540" s="3" t="s">
        <v>1177</v>
      </c>
      <c r="Q540" s="3" t="s">
        <v>1170</v>
      </c>
      <c r="R540" s="173">
        <v>45261</v>
      </c>
      <c r="S540" s="173">
        <v>45495</v>
      </c>
      <c r="T540" s="173"/>
      <c r="U540" s="173"/>
      <c r="V540" s="173"/>
      <c r="W540" s="3">
        <f>VLOOKUP(Table1[[#This Row],[Status]],Auxiliar!$B$16:$D$23,3,0)*Table1[[#This Row],[Estimação (horas)]]</f>
        <v>0.1</v>
      </c>
      <c r="X540" s="3"/>
    </row>
    <row r="541" spans="2:24" ht="17.399999999999999" hidden="1" customHeight="1">
      <c r="B541" s="3" t="s">
        <v>28</v>
      </c>
      <c r="C541" s="3" t="s">
        <v>54</v>
      </c>
      <c r="D541" s="3" t="s">
        <v>38</v>
      </c>
      <c r="E541" s="3" t="s">
        <v>38</v>
      </c>
      <c r="F541" s="3" t="s">
        <v>56</v>
      </c>
      <c r="G541" s="3" t="s">
        <v>75</v>
      </c>
      <c r="H541" s="63" t="str">
        <f>Table1[[#This Row],[Tabela]]&amp;Table1[[#This Row],[Campo]]</f>
        <v>cd_imv_out_trz_cred_prcckbalres</v>
      </c>
      <c r="I541" s="3" t="s">
        <v>477</v>
      </c>
      <c r="J541" s="45">
        <f>VLOOKUP(Table1[[#This Row],[Status]],Auxiliar!$B$16:$C$23,2,0)</f>
        <v>1</v>
      </c>
      <c r="K541" s="3" t="s">
        <v>1137</v>
      </c>
      <c r="L541" s="29" t="s">
        <v>1135</v>
      </c>
      <c r="M541" s="22" t="s">
        <v>1155</v>
      </c>
      <c r="N541" s="53">
        <v>45499</v>
      </c>
      <c r="O541" s="22">
        <f>INDEX(Auxiliar!$D$5:$F$13,MATCH(Table1[[#This Row],[Tipologia_Testes]],Auxiliar!$B$5:$B$13,0),MATCH(Table1[[#This Row],[Complexidade]],Auxiliar!$D$4:$F$4,0))</f>
        <v>4</v>
      </c>
      <c r="P541" s="3" t="s">
        <v>1177</v>
      </c>
      <c r="Q541" s="3" t="s">
        <v>1170</v>
      </c>
      <c r="R541" s="173">
        <v>45261</v>
      </c>
      <c r="S541" s="173">
        <v>45495</v>
      </c>
      <c r="T541" s="173"/>
      <c r="U541" s="173"/>
      <c r="V541" s="173"/>
      <c r="W541" s="3">
        <f>VLOOKUP(Table1[[#This Row],[Status]],Auxiliar!$B$16:$D$23,3,0)*Table1[[#This Row],[Estimação (horas)]]</f>
        <v>4</v>
      </c>
      <c r="X541" s="3"/>
    </row>
    <row r="542" spans="2:24" ht="17.399999999999999" hidden="1" customHeight="1">
      <c r="B542" s="3" t="s">
        <v>28</v>
      </c>
      <c r="C542" s="3" t="s">
        <v>54</v>
      </c>
      <c r="D542" s="3" t="s">
        <v>38</v>
      </c>
      <c r="E542" s="3" t="s">
        <v>38</v>
      </c>
      <c r="F542" s="3" t="s">
        <v>56</v>
      </c>
      <c r="G542" s="3" t="s">
        <v>75</v>
      </c>
      <c r="H542" s="63" t="str">
        <f>Table1[[#This Row],[Tabela]]&amp;Table1[[#This Row],[Campo]]</f>
        <v>cd_imv_out_trz_cred_prcckbalres</v>
      </c>
      <c r="I542" s="3" t="s">
        <v>477</v>
      </c>
      <c r="J542" s="45">
        <f>VLOOKUP(Table1[[#This Row],[Status]],Auxiliar!$B$16:$C$23,2,0)</f>
        <v>1</v>
      </c>
      <c r="K542" s="3" t="s">
        <v>1138</v>
      </c>
      <c r="L542" s="29" t="s">
        <v>1135</v>
      </c>
      <c r="M542" s="22" t="s">
        <v>1155</v>
      </c>
      <c r="N542" s="53">
        <v>45499</v>
      </c>
      <c r="O542" s="22">
        <f>INDEX(Auxiliar!$D$5:$F$13,MATCH(Table1[[#This Row],[Tipologia_Testes]],Auxiliar!$B$5:$B$13,0),MATCH(Table1[[#This Row],[Complexidade]],Auxiliar!$D$4:$F$4,0))</f>
        <v>4</v>
      </c>
      <c r="P542" s="3" t="s">
        <v>1177</v>
      </c>
      <c r="Q542" s="3" t="s">
        <v>1170</v>
      </c>
      <c r="R542" s="173">
        <v>45261</v>
      </c>
      <c r="S542" s="173">
        <v>45495</v>
      </c>
      <c r="T542" s="173"/>
      <c r="U542" s="173"/>
      <c r="V542" s="173"/>
      <c r="W542" s="3">
        <f>VLOOKUP(Table1[[#This Row],[Status]],Auxiliar!$B$16:$D$23,3,0)*Table1[[#This Row],[Estimação (horas)]]</f>
        <v>4</v>
      </c>
      <c r="X542" s="3"/>
    </row>
    <row r="543" spans="2:24" ht="17.399999999999999" hidden="1" customHeight="1">
      <c r="B543" s="3" t="s">
        <v>28</v>
      </c>
      <c r="C543" s="3" t="s">
        <v>54</v>
      </c>
      <c r="D543" s="3" t="s">
        <v>38</v>
      </c>
      <c r="E543" s="3" t="s">
        <v>38</v>
      </c>
      <c r="F543" s="3" t="s">
        <v>56</v>
      </c>
      <c r="G543" s="3" t="s">
        <v>75</v>
      </c>
      <c r="H543" s="63" t="str">
        <f>Table1[[#This Row],[Tabela]]&amp;Table1[[#This Row],[Campo]]</f>
        <v>cd_imv_out_trz_cred_prcckbalres</v>
      </c>
      <c r="I543" s="3" t="s">
        <v>477</v>
      </c>
      <c r="J543" s="45">
        <f>VLOOKUP(Table1[[#This Row],[Status]],Auxiliar!$B$16:$C$23,2,0)</f>
        <v>1</v>
      </c>
      <c r="K543" s="3" t="s">
        <v>1141</v>
      </c>
      <c r="L543" s="29" t="s">
        <v>1135</v>
      </c>
      <c r="M543" s="22" t="s">
        <v>1155</v>
      </c>
      <c r="N543" s="53">
        <v>45499</v>
      </c>
      <c r="O543" s="22">
        <f>INDEX(Auxiliar!$D$5:$F$13,MATCH(Table1[[#This Row],[Tipologia_Testes]],Auxiliar!$B$5:$B$13,0),MATCH(Table1[[#This Row],[Complexidade]],Auxiliar!$D$4:$F$4,0))</f>
        <v>0.1</v>
      </c>
      <c r="P543" s="3" t="s">
        <v>1177</v>
      </c>
      <c r="Q543" s="3" t="s">
        <v>1170</v>
      </c>
      <c r="R543" s="173">
        <v>45261</v>
      </c>
      <c r="S543" s="173">
        <v>45495</v>
      </c>
      <c r="T543" s="173"/>
      <c r="U543" s="173"/>
      <c r="V543" s="173"/>
      <c r="W543" s="3">
        <f>VLOOKUP(Table1[[#This Row],[Status]],Auxiliar!$B$16:$D$23,3,0)*Table1[[#This Row],[Estimação (horas)]]</f>
        <v>0.1</v>
      </c>
      <c r="X543" s="3"/>
    </row>
    <row r="544" spans="2:24" ht="17.399999999999999" hidden="1" customHeight="1">
      <c r="B544" s="3" t="s">
        <v>28</v>
      </c>
      <c r="C544" s="3" t="s">
        <v>54</v>
      </c>
      <c r="D544" s="3" t="s">
        <v>38</v>
      </c>
      <c r="E544" s="3" t="s">
        <v>38</v>
      </c>
      <c r="F544" s="3" t="s">
        <v>56</v>
      </c>
      <c r="G544" s="3" t="s">
        <v>76</v>
      </c>
      <c r="H544" s="63" t="str">
        <f>Table1[[#This Row],[Tabela]]&amp;Table1[[#This Row],[Campo]]</f>
        <v>cd_imv_out_trz_cred_prcckctares</v>
      </c>
      <c r="I544" s="3" t="s">
        <v>477</v>
      </c>
      <c r="J544" s="45">
        <f>VLOOKUP(Table1[[#This Row],[Status]],Auxiliar!$B$16:$C$23,2,0)</f>
        <v>1</v>
      </c>
      <c r="K544" s="3" t="s">
        <v>1137</v>
      </c>
      <c r="L544" s="29" t="s">
        <v>1135</v>
      </c>
      <c r="M544" s="22" t="s">
        <v>1155</v>
      </c>
      <c r="N544" s="53">
        <v>45499</v>
      </c>
      <c r="O544" s="22">
        <f>INDEX(Auxiliar!$D$5:$F$13,MATCH(Table1[[#This Row],[Tipologia_Testes]],Auxiliar!$B$5:$B$13,0),MATCH(Table1[[#This Row],[Complexidade]],Auxiliar!$D$4:$F$4,0))</f>
        <v>4</v>
      </c>
      <c r="P544" s="3" t="s">
        <v>1177</v>
      </c>
      <c r="Q544" s="3" t="s">
        <v>1170</v>
      </c>
      <c r="R544" s="173">
        <v>45261</v>
      </c>
      <c r="S544" s="173">
        <v>45495</v>
      </c>
      <c r="T544" s="173"/>
      <c r="U544" s="173"/>
      <c r="V544" s="173"/>
      <c r="W544" s="3">
        <f>VLOOKUP(Table1[[#This Row],[Status]],Auxiliar!$B$16:$D$23,3,0)*Table1[[#This Row],[Estimação (horas)]]</f>
        <v>4</v>
      </c>
      <c r="X544" s="3"/>
    </row>
    <row r="545" spans="2:24" ht="17.399999999999999" hidden="1" customHeight="1">
      <c r="B545" s="3" t="s">
        <v>28</v>
      </c>
      <c r="C545" s="3" t="s">
        <v>54</v>
      </c>
      <c r="D545" s="3" t="s">
        <v>38</v>
      </c>
      <c r="E545" s="3" t="s">
        <v>38</v>
      </c>
      <c r="F545" s="3" t="s">
        <v>56</v>
      </c>
      <c r="G545" s="3" t="s">
        <v>76</v>
      </c>
      <c r="H545" s="63" t="str">
        <f>Table1[[#This Row],[Tabela]]&amp;Table1[[#This Row],[Campo]]</f>
        <v>cd_imv_out_trz_cred_prcckctares</v>
      </c>
      <c r="I545" s="3" t="s">
        <v>477</v>
      </c>
      <c r="J545" s="45">
        <f>VLOOKUP(Table1[[#This Row],[Status]],Auxiliar!$B$16:$C$23,2,0)</f>
        <v>1</v>
      </c>
      <c r="K545" s="3" t="s">
        <v>1138</v>
      </c>
      <c r="L545" s="29" t="s">
        <v>1135</v>
      </c>
      <c r="M545" s="22" t="s">
        <v>1155</v>
      </c>
      <c r="N545" s="53">
        <v>45499</v>
      </c>
      <c r="O545" s="22">
        <f>INDEX(Auxiliar!$D$5:$F$13,MATCH(Table1[[#This Row],[Tipologia_Testes]],Auxiliar!$B$5:$B$13,0),MATCH(Table1[[#This Row],[Complexidade]],Auxiliar!$D$4:$F$4,0))</f>
        <v>4</v>
      </c>
      <c r="P545" s="3" t="s">
        <v>1177</v>
      </c>
      <c r="Q545" s="3" t="s">
        <v>1170</v>
      </c>
      <c r="R545" s="173">
        <v>45261</v>
      </c>
      <c r="S545" s="173">
        <v>45495</v>
      </c>
      <c r="T545" s="173"/>
      <c r="U545" s="173"/>
      <c r="V545" s="173"/>
      <c r="W545" s="3">
        <f>VLOOKUP(Table1[[#This Row],[Status]],Auxiliar!$B$16:$D$23,3,0)*Table1[[#This Row],[Estimação (horas)]]</f>
        <v>4</v>
      </c>
      <c r="X545" s="3"/>
    </row>
    <row r="546" spans="2:24" ht="17.399999999999999" hidden="1" customHeight="1">
      <c r="B546" s="3" t="s">
        <v>28</v>
      </c>
      <c r="C546" s="3" t="s">
        <v>54</v>
      </c>
      <c r="D546" s="3" t="s">
        <v>38</v>
      </c>
      <c r="E546" s="3" t="s">
        <v>38</v>
      </c>
      <c r="F546" s="3" t="s">
        <v>56</v>
      </c>
      <c r="G546" s="3" t="s">
        <v>76</v>
      </c>
      <c r="H546" s="63" t="str">
        <f>Table1[[#This Row],[Tabela]]&amp;Table1[[#This Row],[Campo]]</f>
        <v>cd_imv_out_trz_cred_prcckctares</v>
      </c>
      <c r="I546" s="3" t="s">
        <v>477</v>
      </c>
      <c r="J546" s="45">
        <f>VLOOKUP(Table1[[#This Row],[Status]],Auxiliar!$B$16:$C$23,2,0)</f>
        <v>1</v>
      </c>
      <c r="K546" s="3" t="s">
        <v>1141</v>
      </c>
      <c r="L546" s="29" t="s">
        <v>1135</v>
      </c>
      <c r="M546" s="22" t="s">
        <v>1155</v>
      </c>
      <c r="N546" s="53">
        <v>45499</v>
      </c>
      <c r="O546" s="22">
        <f>INDEX(Auxiliar!$D$5:$F$13,MATCH(Table1[[#This Row],[Tipologia_Testes]],Auxiliar!$B$5:$B$13,0),MATCH(Table1[[#This Row],[Complexidade]],Auxiliar!$D$4:$F$4,0))</f>
        <v>0.1</v>
      </c>
      <c r="P546" s="3" t="s">
        <v>1177</v>
      </c>
      <c r="Q546" s="3" t="s">
        <v>1170</v>
      </c>
      <c r="R546" s="173">
        <v>45261</v>
      </c>
      <c r="S546" s="173">
        <v>45495</v>
      </c>
      <c r="T546" s="173"/>
      <c r="U546" s="173"/>
      <c r="V546" s="173"/>
      <c r="W546" s="3">
        <f>VLOOKUP(Table1[[#This Row],[Status]],Auxiliar!$B$16:$D$23,3,0)*Table1[[#This Row],[Estimação (horas)]]</f>
        <v>0.1</v>
      </c>
      <c r="X546" s="3"/>
    </row>
    <row r="547" spans="2:24" ht="17.399999999999999" hidden="1" customHeight="1">
      <c r="B547" s="3" t="s">
        <v>28</v>
      </c>
      <c r="C547" s="3" t="s">
        <v>54</v>
      </c>
      <c r="D547" s="3" t="s">
        <v>38</v>
      </c>
      <c r="E547" s="3" t="s">
        <v>38</v>
      </c>
      <c r="F547" s="3" t="s">
        <v>56</v>
      </c>
      <c r="G547" s="3" t="s">
        <v>59</v>
      </c>
      <c r="H547" s="63" t="str">
        <f>Table1[[#This Row],[Tabela]]&amp;Table1[[#This Row],[Campo]]</f>
        <v>cd_imv_out_trz_cred_prccknumcta</v>
      </c>
      <c r="I547" s="3" t="s">
        <v>477</v>
      </c>
      <c r="J547" s="45">
        <f>VLOOKUP(Table1[[#This Row],[Status]],Auxiliar!$B$16:$C$23,2,0)</f>
        <v>1</v>
      </c>
      <c r="K547" s="3" t="s">
        <v>1137</v>
      </c>
      <c r="L547" s="29" t="s">
        <v>1135</v>
      </c>
      <c r="M547" s="22" t="s">
        <v>1155</v>
      </c>
      <c r="N547" s="53">
        <v>45499</v>
      </c>
      <c r="O547" s="22">
        <f>INDEX(Auxiliar!$D$5:$F$13,MATCH(Table1[[#This Row],[Tipologia_Testes]],Auxiliar!$B$5:$B$13,0),MATCH(Table1[[#This Row],[Complexidade]],Auxiliar!$D$4:$F$4,0))</f>
        <v>4</v>
      </c>
      <c r="P547" s="3" t="s">
        <v>1177</v>
      </c>
      <c r="Q547" s="3" t="s">
        <v>1170</v>
      </c>
      <c r="R547" s="173">
        <v>45261</v>
      </c>
      <c r="S547" s="173">
        <v>45495</v>
      </c>
      <c r="T547" s="173"/>
      <c r="U547" s="173"/>
      <c r="V547" s="173"/>
      <c r="W547" s="3">
        <f>VLOOKUP(Table1[[#This Row],[Status]],Auxiliar!$B$16:$D$23,3,0)*Table1[[#This Row],[Estimação (horas)]]</f>
        <v>4</v>
      </c>
      <c r="X547" s="3"/>
    </row>
    <row r="548" spans="2:24" ht="17.399999999999999" hidden="1" customHeight="1">
      <c r="B548" s="3" t="s">
        <v>28</v>
      </c>
      <c r="C548" s="3" t="s">
        <v>54</v>
      </c>
      <c r="D548" s="3" t="s">
        <v>38</v>
      </c>
      <c r="E548" s="3" t="s">
        <v>38</v>
      </c>
      <c r="F548" s="3" t="s">
        <v>56</v>
      </c>
      <c r="G548" s="3" t="s">
        <v>59</v>
      </c>
      <c r="H548" s="63" t="str">
        <f>Table1[[#This Row],[Tabela]]&amp;Table1[[#This Row],[Campo]]</f>
        <v>cd_imv_out_trz_cred_prccknumcta</v>
      </c>
      <c r="I548" s="3" t="s">
        <v>477</v>
      </c>
      <c r="J548" s="45">
        <f>VLOOKUP(Table1[[#This Row],[Status]],Auxiliar!$B$16:$C$23,2,0)</f>
        <v>1</v>
      </c>
      <c r="K548" s="3" t="s">
        <v>1138</v>
      </c>
      <c r="L548" s="29" t="s">
        <v>1135</v>
      </c>
      <c r="M548" s="22" t="s">
        <v>1155</v>
      </c>
      <c r="N548" s="53">
        <v>45499</v>
      </c>
      <c r="O548" s="22">
        <f>INDEX(Auxiliar!$D$5:$F$13,MATCH(Table1[[#This Row],[Tipologia_Testes]],Auxiliar!$B$5:$B$13,0),MATCH(Table1[[#This Row],[Complexidade]],Auxiliar!$D$4:$F$4,0))</f>
        <v>4</v>
      </c>
      <c r="P548" s="3" t="s">
        <v>1177</v>
      </c>
      <c r="Q548" s="3" t="s">
        <v>1170</v>
      </c>
      <c r="R548" s="173">
        <v>45261</v>
      </c>
      <c r="S548" s="173">
        <v>45495</v>
      </c>
      <c r="T548" s="173"/>
      <c r="U548" s="173"/>
      <c r="V548" s="173"/>
      <c r="W548" s="3">
        <f>VLOOKUP(Table1[[#This Row],[Status]],Auxiliar!$B$16:$D$23,3,0)*Table1[[#This Row],[Estimação (horas)]]</f>
        <v>4</v>
      </c>
      <c r="X548" s="3"/>
    </row>
    <row r="549" spans="2:24" ht="17.399999999999999" hidden="1" customHeight="1">
      <c r="B549" s="3" t="s">
        <v>28</v>
      </c>
      <c r="C549" s="3" t="s">
        <v>54</v>
      </c>
      <c r="D549" s="3" t="s">
        <v>38</v>
      </c>
      <c r="E549" s="3" t="s">
        <v>38</v>
      </c>
      <c r="F549" s="3" t="s">
        <v>56</v>
      </c>
      <c r="G549" s="3" t="s">
        <v>59</v>
      </c>
      <c r="H549" s="63" t="str">
        <f>Table1[[#This Row],[Tabela]]&amp;Table1[[#This Row],[Campo]]</f>
        <v>cd_imv_out_trz_cred_prccknumcta</v>
      </c>
      <c r="I549" s="3" t="s">
        <v>477</v>
      </c>
      <c r="J549" s="45">
        <f>VLOOKUP(Table1[[#This Row],[Status]],Auxiliar!$B$16:$C$23,2,0)</f>
        <v>1</v>
      </c>
      <c r="K549" s="3" t="s">
        <v>1141</v>
      </c>
      <c r="L549" s="29" t="s">
        <v>1135</v>
      </c>
      <c r="M549" s="22" t="s">
        <v>1155</v>
      </c>
      <c r="N549" s="53">
        <v>45499</v>
      </c>
      <c r="O549" s="22">
        <f>INDEX(Auxiliar!$D$5:$F$13,MATCH(Table1[[#This Row],[Tipologia_Testes]],Auxiliar!$B$5:$B$13,0),MATCH(Table1[[#This Row],[Complexidade]],Auxiliar!$D$4:$F$4,0))</f>
        <v>0.1</v>
      </c>
      <c r="P549" s="3" t="s">
        <v>1177</v>
      </c>
      <c r="Q549" s="3" t="s">
        <v>1170</v>
      </c>
      <c r="R549" s="173">
        <v>45261</v>
      </c>
      <c r="S549" s="173">
        <v>45495</v>
      </c>
      <c r="T549" s="173"/>
      <c r="U549" s="173"/>
      <c r="V549" s="173"/>
      <c r="W549" s="3">
        <f>VLOOKUP(Table1[[#This Row],[Status]],Auxiliar!$B$16:$D$23,3,0)*Table1[[#This Row],[Estimação (horas)]]</f>
        <v>0.1</v>
      </c>
      <c r="X549" s="3"/>
    </row>
    <row r="550" spans="2:24" ht="17.399999999999999" hidden="1" customHeight="1">
      <c r="B550" s="3" t="s">
        <v>28</v>
      </c>
      <c r="C550" s="3" t="s">
        <v>54</v>
      </c>
      <c r="D550" s="3" t="s">
        <v>38</v>
      </c>
      <c r="E550" s="3" t="s">
        <v>38</v>
      </c>
      <c r="F550" s="3" t="s">
        <v>56</v>
      </c>
      <c r="G550" s="3" t="s">
        <v>77</v>
      </c>
      <c r="H550" s="63" t="str">
        <f>Table1[[#This Row],[Tabela]]&amp;Table1[[#This Row],[Campo]]</f>
        <v>cd_imv_out_trz_cred_prcckrefresp</v>
      </c>
      <c r="I550" s="3" t="s">
        <v>477</v>
      </c>
      <c r="J550" s="45">
        <f>VLOOKUP(Table1[[#This Row],[Status]],Auxiliar!$B$16:$C$23,2,0)</f>
        <v>1</v>
      </c>
      <c r="K550" s="3" t="s">
        <v>1137</v>
      </c>
      <c r="L550" s="30" t="s">
        <v>1144</v>
      </c>
      <c r="M550" s="22" t="s">
        <v>1155</v>
      </c>
      <c r="N550" s="53">
        <v>45499</v>
      </c>
      <c r="O550" s="22">
        <f>INDEX(Auxiliar!$D$5:$F$13,MATCH(Table1[[#This Row],[Tipologia_Testes]],Auxiliar!$B$5:$B$13,0),MATCH(Table1[[#This Row],[Complexidade]],Auxiliar!$D$4:$F$4,0))</f>
        <v>4</v>
      </c>
      <c r="P550" s="3" t="s">
        <v>1177</v>
      </c>
      <c r="Q550" s="3" t="s">
        <v>1170</v>
      </c>
      <c r="R550" s="173">
        <v>45261</v>
      </c>
      <c r="S550" s="173">
        <v>45495</v>
      </c>
      <c r="T550" s="173"/>
      <c r="U550" s="173"/>
      <c r="V550" s="173"/>
      <c r="W550" s="3">
        <f>VLOOKUP(Table1[[#This Row],[Status]],Auxiliar!$B$16:$D$23,3,0)*Table1[[#This Row],[Estimação (horas)]]</f>
        <v>4</v>
      </c>
      <c r="X550" s="3"/>
    </row>
    <row r="551" spans="2:24" ht="17.399999999999999" hidden="1" customHeight="1">
      <c r="B551" s="3" t="s">
        <v>28</v>
      </c>
      <c r="C551" s="3" t="s">
        <v>54</v>
      </c>
      <c r="D551" s="3" t="s">
        <v>38</v>
      </c>
      <c r="E551" s="3" t="s">
        <v>38</v>
      </c>
      <c r="F551" s="3" t="s">
        <v>56</v>
      </c>
      <c r="G551" s="3" t="s">
        <v>77</v>
      </c>
      <c r="H551" s="63" t="str">
        <f>Table1[[#This Row],[Tabela]]&amp;Table1[[#This Row],[Campo]]</f>
        <v>cd_imv_out_trz_cred_prcckrefresp</v>
      </c>
      <c r="I551" s="3" t="s">
        <v>477</v>
      </c>
      <c r="J551" s="45">
        <f>VLOOKUP(Table1[[#This Row],[Status]],Auxiliar!$B$16:$C$23,2,0)</f>
        <v>1</v>
      </c>
      <c r="K551" s="3" t="s">
        <v>1138</v>
      </c>
      <c r="L551" s="30" t="s">
        <v>1144</v>
      </c>
      <c r="M551" s="22" t="s">
        <v>1155</v>
      </c>
      <c r="N551" s="53">
        <v>45499</v>
      </c>
      <c r="O551" s="22">
        <f>INDEX(Auxiliar!$D$5:$F$13,MATCH(Table1[[#This Row],[Tipologia_Testes]],Auxiliar!$B$5:$B$13,0),MATCH(Table1[[#This Row],[Complexidade]],Auxiliar!$D$4:$F$4,0))</f>
        <v>4</v>
      </c>
      <c r="P551" s="3" t="s">
        <v>1177</v>
      </c>
      <c r="Q551" s="3" t="s">
        <v>1170</v>
      </c>
      <c r="R551" s="173">
        <v>45261</v>
      </c>
      <c r="S551" s="173">
        <v>45495</v>
      </c>
      <c r="T551" s="173"/>
      <c r="U551" s="173"/>
      <c r="V551" s="173"/>
      <c r="W551" s="3">
        <f>VLOOKUP(Table1[[#This Row],[Status]],Auxiliar!$B$16:$D$23,3,0)*Table1[[#This Row],[Estimação (horas)]]</f>
        <v>4</v>
      </c>
      <c r="X551" s="3"/>
    </row>
    <row r="552" spans="2:24" ht="17.399999999999999" hidden="1" customHeight="1">
      <c r="B552" s="3" t="s">
        <v>28</v>
      </c>
      <c r="C552" s="3" t="s">
        <v>54</v>
      </c>
      <c r="D552" s="3" t="s">
        <v>38</v>
      </c>
      <c r="E552" s="3" t="s">
        <v>38</v>
      </c>
      <c r="F552" s="3" t="s">
        <v>56</v>
      </c>
      <c r="G552" s="3" t="s">
        <v>77</v>
      </c>
      <c r="H552" s="63" t="str">
        <f>Table1[[#This Row],[Tabela]]&amp;Table1[[#This Row],[Campo]]</f>
        <v>cd_imv_out_trz_cred_prcckrefresp</v>
      </c>
      <c r="I552" s="3" t="s">
        <v>477</v>
      </c>
      <c r="J552" s="45">
        <f>VLOOKUP(Table1[[#This Row],[Status]],Auxiliar!$B$16:$C$23,2,0)</f>
        <v>1</v>
      </c>
      <c r="K552" s="3" t="s">
        <v>1141</v>
      </c>
      <c r="L552" s="30" t="s">
        <v>1144</v>
      </c>
      <c r="M552" s="22" t="s">
        <v>1155</v>
      </c>
      <c r="N552" s="53">
        <v>45499</v>
      </c>
      <c r="O552" s="22">
        <f>INDEX(Auxiliar!$D$5:$F$13,MATCH(Table1[[#This Row],[Tipologia_Testes]],Auxiliar!$B$5:$B$13,0),MATCH(Table1[[#This Row],[Complexidade]],Auxiliar!$D$4:$F$4,0))</f>
        <v>0.1</v>
      </c>
      <c r="P552" s="3" t="s">
        <v>1177</v>
      </c>
      <c r="Q552" s="3" t="s">
        <v>1170</v>
      </c>
      <c r="R552" s="173">
        <v>45261</v>
      </c>
      <c r="S552" s="173">
        <v>45495</v>
      </c>
      <c r="T552" s="173"/>
      <c r="U552" s="173"/>
      <c r="V552" s="173"/>
      <c r="W552" s="3">
        <f>VLOOKUP(Table1[[#This Row],[Status]],Auxiliar!$B$16:$D$23,3,0)*Table1[[#This Row],[Estimação (horas)]]</f>
        <v>0.1</v>
      </c>
      <c r="X552" s="3"/>
    </row>
    <row r="553" spans="2:24" ht="17.399999999999999" hidden="1" customHeight="1">
      <c r="B553" s="3" t="s">
        <v>28</v>
      </c>
      <c r="C553" s="3" t="s">
        <v>54</v>
      </c>
      <c r="D553" s="3" t="s">
        <v>38</v>
      </c>
      <c r="E553" s="3" t="s">
        <v>38</v>
      </c>
      <c r="F553" s="3" t="s">
        <v>56</v>
      </c>
      <c r="G553" s="3" t="s">
        <v>78</v>
      </c>
      <c r="H553" s="63" t="str">
        <f>Table1[[#This Row],[Tabela]]&amp;Table1[[#This Row],[Campo]]</f>
        <v>cd_imv_out_trz_cred_prccod_fnld</v>
      </c>
      <c r="I553" s="3" t="s">
        <v>477</v>
      </c>
      <c r="J553" s="45">
        <f>VLOOKUP(Table1[[#This Row],[Status]],Auxiliar!$B$16:$C$23,2,0)</f>
        <v>1</v>
      </c>
      <c r="K553" s="3" t="s">
        <v>1137</v>
      </c>
      <c r="L553" s="30" t="s">
        <v>1144</v>
      </c>
      <c r="M553" s="22" t="s">
        <v>1155</v>
      </c>
      <c r="N553" s="53">
        <v>45485</v>
      </c>
      <c r="O553" s="22">
        <f>INDEX(Auxiliar!$D$5:$F$13,MATCH(Table1[[#This Row],[Tipologia_Testes]],Auxiliar!$B$5:$B$13,0),MATCH(Table1[[#This Row],[Complexidade]],Auxiliar!$D$4:$F$4,0))</f>
        <v>4</v>
      </c>
      <c r="P553" s="3"/>
      <c r="Q553" s="3"/>
      <c r="R553" s="173">
        <v>45261</v>
      </c>
      <c r="S553" s="173"/>
      <c r="T553" s="173"/>
      <c r="U553" s="173"/>
      <c r="V553" s="173"/>
      <c r="W553" s="3">
        <f>VLOOKUP(Table1[[#This Row],[Status]],Auxiliar!$B$16:$D$23,3,0)*Table1[[#This Row],[Estimação (horas)]]</f>
        <v>4</v>
      </c>
      <c r="X553" s="3"/>
    </row>
    <row r="554" spans="2:24" ht="17.399999999999999" hidden="1" customHeight="1">
      <c r="B554" s="3" t="s">
        <v>28</v>
      </c>
      <c r="C554" s="3" t="s">
        <v>54</v>
      </c>
      <c r="D554" s="3" t="s">
        <v>38</v>
      </c>
      <c r="E554" s="3" t="s">
        <v>38</v>
      </c>
      <c r="F554" s="3" t="s">
        <v>56</v>
      </c>
      <c r="G554" s="3" t="s">
        <v>78</v>
      </c>
      <c r="H554" s="63" t="str">
        <f>Table1[[#This Row],[Tabela]]&amp;Table1[[#This Row],[Campo]]</f>
        <v>cd_imv_out_trz_cred_prccod_fnld</v>
      </c>
      <c r="I554" s="3" t="s">
        <v>477</v>
      </c>
      <c r="J554" s="45">
        <f>VLOOKUP(Table1[[#This Row],[Status]],Auxiliar!$B$16:$C$23,2,0)</f>
        <v>1</v>
      </c>
      <c r="K554" s="3" t="s">
        <v>1138</v>
      </c>
      <c r="L554" s="30" t="s">
        <v>1144</v>
      </c>
      <c r="M554" s="22" t="s">
        <v>1155</v>
      </c>
      <c r="N554" s="53">
        <v>45485</v>
      </c>
      <c r="O554" s="22">
        <f>INDEX(Auxiliar!$D$5:$F$13,MATCH(Table1[[#This Row],[Tipologia_Testes]],Auxiliar!$B$5:$B$13,0),MATCH(Table1[[#This Row],[Complexidade]],Auxiliar!$D$4:$F$4,0))</f>
        <v>4</v>
      </c>
      <c r="P554" s="3"/>
      <c r="Q554" s="3"/>
      <c r="R554" s="173">
        <v>45261</v>
      </c>
      <c r="S554" s="173"/>
      <c r="T554" s="173"/>
      <c r="U554" s="173"/>
      <c r="V554" s="173"/>
      <c r="W554" s="3">
        <f>VLOOKUP(Table1[[#This Row],[Status]],Auxiliar!$B$16:$D$23,3,0)*Table1[[#This Row],[Estimação (horas)]]</f>
        <v>4</v>
      </c>
      <c r="X554" s="3"/>
    </row>
    <row r="555" spans="2:24" ht="17.399999999999999" hidden="1" customHeight="1">
      <c r="B555" s="3" t="s">
        <v>28</v>
      </c>
      <c r="C555" s="3" t="s">
        <v>54</v>
      </c>
      <c r="D555" s="3" t="s">
        <v>38</v>
      </c>
      <c r="E555" s="3" t="s">
        <v>38</v>
      </c>
      <c r="F555" s="3" t="s">
        <v>56</v>
      </c>
      <c r="G555" s="3" t="s">
        <v>78</v>
      </c>
      <c r="H555" s="63" t="str">
        <f>Table1[[#This Row],[Tabela]]&amp;Table1[[#This Row],[Campo]]</f>
        <v>cd_imv_out_trz_cred_prccod_fnld</v>
      </c>
      <c r="I555" s="3" t="s">
        <v>477</v>
      </c>
      <c r="J555" s="45">
        <f>VLOOKUP(Table1[[#This Row],[Status]],Auxiliar!$B$16:$C$23,2,0)</f>
        <v>1</v>
      </c>
      <c r="K555" s="3" t="s">
        <v>1141</v>
      </c>
      <c r="L555" s="30" t="s">
        <v>1144</v>
      </c>
      <c r="M555" s="22" t="s">
        <v>1155</v>
      </c>
      <c r="N555" s="53">
        <v>45485</v>
      </c>
      <c r="O555" s="22">
        <f>INDEX(Auxiliar!$D$5:$F$13,MATCH(Table1[[#This Row],[Tipologia_Testes]],Auxiliar!$B$5:$B$13,0),MATCH(Table1[[#This Row],[Complexidade]],Auxiliar!$D$4:$F$4,0))</f>
        <v>0.1</v>
      </c>
      <c r="P555" s="3"/>
      <c r="Q555" s="3"/>
      <c r="R555" s="173">
        <v>45261</v>
      </c>
      <c r="S555" s="173"/>
      <c r="T555" s="173"/>
      <c r="U555" s="173"/>
      <c r="V555" s="173"/>
      <c r="W555" s="3">
        <f>VLOOKUP(Table1[[#This Row],[Status]],Auxiliar!$B$16:$D$23,3,0)*Table1[[#This Row],[Estimação (horas)]]</f>
        <v>0.1</v>
      </c>
      <c r="X555" s="3"/>
    </row>
    <row r="556" spans="2:24" ht="17.399999999999999" hidden="1" customHeight="1">
      <c r="B556" s="3" t="s">
        <v>28</v>
      </c>
      <c r="C556" s="3" t="s">
        <v>54</v>
      </c>
      <c r="D556" s="3" t="s">
        <v>38</v>
      </c>
      <c r="E556" s="3" t="s">
        <v>38</v>
      </c>
      <c r="F556" s="3" t="s">
        <v>56</v>
      </c>
      <c r="G556" s="3" t="s">
        <v>79</v>
      </c>
      <c r="H556" s="63" t="str">
        <f>Table1[[#This Row],[Tabela]]&amp;Table1[[#This Row],[Campo]]</f>
        <v>cd_imv_out_trz_cred_prccod_ocupacao</v>
      </c>
      <c r="I556" s="3" t="s">
        <v>477</v>
      </c>
      <c r="J556" s="45">
        <f>VLOOKUP(Table1[[#This Row],[Status]],Auxiliar!$B$16:$C$23,2,0)</f>
        <v>1</v>
      </c>
      <c r="K556" s="3" t="s">
        <v>1137</v>
      </c>
      <c r="L556" s="30" t="s">
        <v>1144</v>
      </c>
      <c r="M556" s="22" t="s">
        <v>1155</v>
      </c>
      <c r="N556" s="53">
        <v>45485</v>
      </c>
      <c r="O556" s="22">
        <f>INDEX(Auxiliar!$D$5:$F$13,MATCH(Table1[[#This Row],[Tipologia_Testes]],Auxiliar!$B$5:$B$13,0),MATCH(Table1[[#This Row],[Complexidade]],Auxiliar!$D$4:$F$4,0))</f>
        <v>4</v>
      </c>
      <c r="P556" s="3"/>
      <c r="Q556" s="3"/>
      <c r="R556" s="173">
        <v>45261</v>
      </c>
      <c r="S556" s="173"/>
      <c r="T556" s="173"/>
      <c r="U556" s="173"/>
      <c r="V556" s="173"/>
      <c r="W556" s="3">
        <f>VLOOKUP(Table1[[#This Row],[Status]],Auxiliar!$B$16:$D$23,3,0)*Table1[[#This Row],[Estimação (horas)]]</f>
        <v>4</v>
      </c>
      <c r="X556" s="3"/>
    </row>
    <row r="557" spans="2:24" ht="17.399999999999999" hidden="1" customHeight="1">
      <c r="B557" s="3" t="s">
        <v>28</v>
      </c>
      <c r="C557" s="3" t="s">
        <v>54</v>
      </c>
      <c r="D557" s="3" t="s">
        <v>38</v>
      </c>
      <c r="E557" s="3" t="s">
        <v>38</v>
      </c>
      <c r="F557" s="3" t="s">
        <v>56</v>
      </c>
      <c r="G557" s="3" t="s">
        <v>79</v>
      </c>
      <c r="H557" s="63" t="str">
        <f>Table1[[#This Row],[Tabela]]&amp;Table1[[#This Row],[Campo]]</f>
        <v>cd_imv_out_trz_cred_prccod_ocupacao</v>
      </c>
      <c r="I557" s="3" t="s">
        <v>477</v>
      </c>
      <c r="J557" s="45">
        <f>VLOOKUP(Table1[[#This Row],[Status]],Auxiliar!$B$16:$C$23,2,0)</f>
        <v>1</v>
      </c>
      <c r="K557" s="3" t="s">
        <v>1138</v>
      </c>
      <c r="L557" s="30" t="s">
        <v>1144</v>
      </c>
      <c r="M557" s="22" t="s">
        <v>1155</v>
      </c>
      <c r="N557" s="53">
        <v>45485</v>
      </c>
      <c r="O557" s="22">
        <f>INDEX(Auxiliar!$D$5:$F$13,MATCH(Table1[[#This Row],[Tipologia_Testes]],Auxiliar!$B$5:$B$13,0),MATCH(Table1[[#This Row],[Complexidade]],Auxiliar!$D$4:$F$4,0))</f>
        <v>4</v>
      </c>
      <c r="P557" s="3"/>
      <c r="Q557" s="3"/>
      <c r="R557" s="173">
        <v>45261</v>
      </c>
      <c r="S557" s="173"/>
      <c r="T557" s="173"/>
      <c r="U557" s="173"/>
      <c r="V557" s="173"/>
      <c r="W557" s="3">
        <f>VLOOKUP(Table1[[#This Row],[Status]],Auxiliar!$B$16:$D$23,3,0)*Table1[[#This Row],[Estimação (horas)]]</f>
        <v>4</v>
      </c>
      <c r="X557" s="3"/>
    </row>
    <row r="558" spans="2:24" ht="17.399999999999999" hidden="1" customHeight="1">
      <c r="B558" s="3" t="s">
        <v>28</v>
      </c>
      <c r="C558" s="3" t="s">
        <v>54</v>
      </c>
      <c r="D558" s="3" t="s">
        <v>38</v>
      </c>
      <c r="E558" s="3" t="s">
        <v>38</v>
      </c>
      <c r="F558" s="3" t="s">
        <v>56</v>
      </c>
      <c r="G558" s="3" t="s">
        <v>79</v>
      </c>
      <c r="H558" s="63" t="str">
        <f>Table1[[#This Row],[Tabela]]&amp;Table1[[#This Row],[Campo]]</f>
        <v>cd_imv_out_trz_cred_prccod_ocupacao</v>
      </c>
      <c r="I558" s="3" t="s">
        <v>477</v>
      </c>
      <c r="J558" s="45">
        <f>VLOOKUP(Table1[[#This Row],[Status]],Auxiliar!$B$16:$C$23,2,0)</f>
        <v>1</v>
      </c>
      <c r="K558" s="3" t="s">
        <v>1141</v>
      </c>
      <c r="L558" s="30" t="s">
        <v>1144</v>
      </c>
      <c r="M558" s="22" t="s">
        <v>1155</v>
      </c>
      <c r="N558" s="53">
        <v>45485</v>
      </c>
      <c r="O558" s="22">
        <f>INDEX(Auxiliar!$D$5:$F$13,MATCH(Table1[[#This Row],[Tipologia_Testes]],Auxiliar!$B$5:$B$13,0),MATCH(Table1[[#This Row],[Complexidade]],Auxiliar!$D$4:$F$4,0))</f>
        <v>0.1</v>
      </c>
      <c r="P558" s="3"/>
      <c r="Q558" s="3"/>
      <c r="R558" s="173">
        <v>45261</v>
      </c>
      <c r="S558" s="173"/>
      <c r="T558" s="173"/>
      <c r="U558" s="173"/>
      <c r="V558" s="173"/>
      <c r="W558" s="3">
        <f>VLOOKUP(Table1[[#This Row],[Status]],Auxiliar!$B$16:$D$23,3,0)*Table1[[#This Row],[Estimação (horas)]]</f>
        <v>0.1</v>
      </c>
      <c r="X558" s="3"/>
    </row>
    <row r="559" spans="2:24" ht="17.399999999999999" hidden="1" customHeight="1">
      <c r="B559" s="3" t="s">
        <v>28</v>
      </c>
      <c r="C559" s="3" t="s">
        <v>54</v>
      </c>
      <c r="D559" s="3" t="s">
        <v>38</v>
      </c>
      <c r="E559" s="3" t="s">
        <v>38</v>
      </c>
      <c r="F559" s="3" t="s">
        <v>56</v>
      </c>
      <c r="G559" s="3" t="s">
        <v>80</v>
      </c>
      <c r="H559" s="63" t="str">
        <f>Table1[[#This Row],[Tabela]]&amp;Table1[[#This Row],[Campo]]</f>
        <v>cd_imv_out_trz_cred_prccod_prd_resp</v>
      </c>
      <c r="I559" s="3" t="s">
        <v>477</v>
      </c>
      <c r="J559" s="45">
        <f>VLOOKUP(Table1[[#This Row],[Status]],Auxiliar!$B$16:$C$23,2,0)</f>
        <v>1</v>
      </c>
      <c r="K559" s="3" t="s">
        <v>1137</v>
      </c>
      <c r="L559" s="30" t="s">
        <v>1144</v>
      </c>
      <c r="M559" s="22" t="s">
        <v>1155</v>
      </c>
      <c r="N559" s="53">
        <v>45485</v>
      </c>
      <c r="O559" s="22">
        <f>INDEX(Auxiliar!$D$5:$F$13,MATCH(Table1[[#This Row],[Tipologia_Testes]],Auxiliar!$B$5:$B$13,0),MATCH(Table1[[#This Row],[Complexidade]],Auxiliar!$D$4:$F$4,0))</f>
        <v>4</v>
      </c>
      <c r="P559" s="3"/>
      <c r="Q559" s="3"/>
      <c r="R559" s="173">
        <v>45261</v>
      </c>
      <c r="S559" s="173"/>
      <c r="T559" s="173"/>
      <c r="U559" s="173"/>
      <c r="V559" s="173"/>
      <c r="W559" s="3">
        <f>VLOOKUP(Table1[[#This Row],[Status]],Auxiliar!$B$16:$D$23,3,0)*Table1[[#This Row],[Estimação (horas)]]</f>
        <v>4</v>
      </c>
      <c r="X559" s="3"/>
    </row>
    <row r="560" spans="2:24" ht="17.399999999999999" hidden="1" customHeight="1">
      <c r="B560" s="3" t="s">
        <v>28</v>
      </c>
      <c r="C560" s="3" t="s">
        <v>54</v>
      </c>
      <c r="D560" s="3" t="s">
        <v>38</v>
      </c>
      <c r="E560" s="3" t="s">
        <v>38</v>
      </c>
      <c r="F560" s="3" t="s">
        <v>56</v>
      </c>
      <c r="G560" s="3" t="s">
        <v>80</v>
      </c>
      <c r="H560" s="63" t="str">
        <f>Table1[[#This Row],[Tabela]]&amp;Table1[[#This Row],[Campo]]</f>
        <v>cd_imv_out_trz_cred_prccod_prd_resp</v>
      </c>
      <c r="I560" s="3" t="s">
        <v>477</v>
      </c>
      <c r="J560" s="45">
        <f>VLOOKUP(Table1[[#This Row],[Status]],Auxiliar!$B$16:$C$23,2,0)</f>
        <v>1</v>
      </c>
      <c r="K560" s="3" t="s">
        <v>1138</v>
      </c>
      <c r="L560" s="30" t="s">
        <v>1144</v>
      </c>
      <c r="M560" s="22" t="s">
        <v>1155</v>
      </c>
      <c r="N560" s="53">
        <v>45485</v>
      </c>
      <c r="O560" s="22">
        <f>INDEX(Auxiliar!$D$5:$F$13,MATCH(Table1[[#This Row],[Tipologia_Testes]],Auxiliar!$B$5:$B$13,0),MATCH(Table1[[#This Row],[Complexidade]],Auxiliar!$D$4:$F$4,0))</f>
        <v>4</v>
      </c>
      <c r="P560" s="3"/>
      <c r="Q560" s="3"/>
      <c r="R560" s="173">
        <v>45261</v>
      </c>
      <c r="S560" s="173"/>
      <c r="T560" s="173"/>
      <c r="U560" s="173"/>
      <c r="V560" s="173"/>
      <c r="W560" s="3">
        <f>VLOOKUP(Table1[[#This Row],[Status]],Auxiliar!$B$16:$D$23,3,0)*Table1[[#This Row],[Estimação (horas)]]</f>
        <v>4</v>
      </c>
      <c r="X560" s="3"/>
    </row>
    <row r="561" spans="2:24" ht="17.399999999999999" hidden="1" customHeight="1">
      <c r="B561" s="3" t="s">
        <v>28</v>
      </c>
      <c r="C561" s="3" t="s">
        <v>54</v>
      </c>
      <c r="D561" s="3" t="s">
        <v>38</v>
      </c>
      <c r="E561" s="3" t="s">
        <v>38</v>
      </c>
      <c r="F561" s="3" t="s">
        <v>56</v>
      </c>
      <c r="G561" s="3" t="s">
        <v>80</v>
      </c>
      <c r="H561" s="63" t="str">
        <f>Table1[[#This Row],[Tabela]]&amp;Table1[[#This Row],[Campo]]</f>
        <v>cd_imv_out_trz_cred_prccod_prd_resp</v>
      </c>
      <c r="I561" s="3" t="s">
        <v>477</v>
      </c>
      <c r="J561" s="45">
        <f>VLOOKUP(Table1[[#This Row],[Status]],Auxiliar!$B$16:$C$23,2,0)</f>
        <v>1</v>
      </c>
      <c r="K561" s="3" t="s">
        <v>1141</v>
      </c>
      <c r="L561" s="30" t="s">
        <v>1144</v>
      </c>
      <c r="M561" s="22" t="s">
        <v>1155</v>
      </c>
      <c r="N561" s="53">
        <v>45485</v>
      </c>
      <c r="O561" s="22">
        <f>INDEX(Auxiliar!$D$5:$F$13,MATCH(Table1[[#This Row],[Tipologia_Testes]],Auxiliar!$B$5:$B$13,0),MATCH(Table1[[#This Row],[Complexidade]],Auxiliar!$D$4:$F$4,0))</f>
        <v>0.1</v>
      </c>
      <c r="P561" s="3"/>
      <c r="Q561" s="3"/>
      <c r="R561" s="173">
        <v>45261</v>
      </c>
      <c r="S561" s="173"/>
      <c r="T561" s="173"/>
      <c r="U561" s="173"/>
      <c r="V561" s="173"/>
      <c r="W561" s="3">
        <f>VLOOKUP(Table1[[#This Row],[Status]],Auxiliar!$B$16:$D$23,3,0)*Table1[[#This Row],[Estimação (horas)]]</f>
        <v>0.1</v>
      </c>
      <c r="X561" s="3"/>
    </row>
    <row r="562" spans="2:24" ht="17.399999999999999" hidden="1" customHeight="1">
      <c r="B562" s="3" t="s">
        <v>28</v>
      </c>
      <c r="C562" s="3" t="s">
        <v>54</v>
      </c>
      <c r="D562" s="3" t="s">
        <v>38</v>
      </c>
      <c r="E562" s="3" t="s">
        <v>38</v>
      </c>
      <c r="F562" s="3" t="s">
        <v>56</v>
      </c>
      <c r="G562" s="3" t="s">
        <v>81</v>
      </c>
      <c r="H562" s="63" t="str">
        <f>Table1[[#This Row],[Tabela]]&amp;Table1[[#This Row],[Campo]]</f>
        <v>cd_imv_out_trz_cred_prccod_sit</v>
      </c>
      <c r="I562" s="3" t="s">
        <v>476</v>
      </c>
      <c r="J562" s="45">
        <f>VLOOKUP(Table1[[#This Row],[Status]],Auxiliar!$B$16:$C$23,2,0)</f>
        <v>0</v>
      </c>
      <c r="K562" s="3" t="s">
        <v>1137</v>
      </c>
      <c r="L562" s="3" t="s">
        <v>1171</v>
      </c>
      <c r="M562" s="22" t="s">
        <v>1155</v>
      </c>
      <c r="N562" s="53">
        <v>45485</v>
      </c>
      <c r="O562" s="22">
        <f>INDEX(Auxiliar!$D$5:$F$13,MATCH(Table1[[#This Row],[Tipologia_Testes]],Auxiliar!$B$5:$B$13,0),MATCH(Table1[[#This Row],[Complexidade]],Auxiliar!$D$4:$F$4,0))</f>
        <v>4</v>
      </c>
      <c r="P562" s="3" t="s">
        <v>1178</v>
      </c>
      <c r="Q562" s="3"/>
      <c r="R562" s="173">
        <v>45425</v>
      </c>
      <c r="S562" s="173"/>
      <c r="T562" s="173"/>
      <c r="U562" s="173"/>
      <c r="V562" s="173"/>
      <c r="W562" s="3">
        <f>VLOOKUP(Table1[[#This Row],[Status]],Auxiliar!$B$16:$D$23,3,0)*Table1[[#This Row],[Estimação (horas)]]</f>
        <v>0</v>
      </c>
      <c r="X562" s="3"/>
    </row>
    <row r="563" spans="2:24" ht="17.399999999999999" hidden="1" customHeight="1">
      <c r="B563" s="3" t="s">
        <v>28</v>
      </c>
      <c r="C563" s="3" t="s">
        <v>54</v>
      </c>
      <c r="D563" s="3" t="s">
        <v>38</v>
      </c>
      <c r="E563" s="3" t="s">
        <v>38</v>
      </c>
      <c r="F563" s="3" t="s">
        <v>56</v>
      </c>
      <c r="G563" s="3" t="s">
        <v>82</v>
      </c>
      <c r="H563" s="63" t="str">
        <f>Table1[[#This Row],[Tabela]]&amp;Table1[[#This Row],[Campo]]</f>
        <v>cd_imv_out_trz_cred_prccod_sprd_resp</v>
      </c>
      <c r="I563" s="3" t="s">
        <v>477</v>
      </c>
      <c r="J563" s="45">
        <f>VLOOKUP(Table1[[#This Row],[Status]],Auxiliar!$B$16:$C$23,2,0)</f>
        <v>1</v>
      </c>
      <c r="K563" s="3" t="s">
        <v>1137</v>
      </c>
      <c r="L563" s="30" t="s">
        <v>1144</v>
      </c>
      <c r="M563" s="22" t="s">
        <v>1155</v>
      </c>
      <c r="N563" s="53">
        <v>45485</v>
      </c>
      <c r="O563" s="22">
        <f>INDEX(Auxiliar!$D$5:$F$13,MATCH(Table1[[#This Row],[Tipologia_Testes]],Auxiliar!$B$5:$B$13,0),MATCH(Table1[[#This Row],[Complexidade]],Auxiliar!$D$4:$F$4,0))</f>
        <v>4</v>
      </c>
      <c r="P563" s="3"/>
      <c r="Q563" s="3"/>
      <c r="R563" s="173">
        <v>45261</v>
      </c>
      <c r="S563" s="173"/>
      <c r="T563" s="173"/>
      <c r="U563" s="173"/>
      <c r="V563" s="173"/>
      <c r="W563" s="3">
        <f>VLOOKUP(Table1[[#This Row],[Status]],Auxiliar!$B$16:$D$23,3,0)*Table1[[#This Row],[Estimação (horas)]]</f>
        <v>4</v>
      </c>
      <c r="X563" s="3"/>
    </row>
    <row r="564" spans="2:24" ht="17.399999999999999" hidden="1" customHeight="1">
      <c r="B564" s="3" t="s">
        <v>28</v>
      </c>
      <c r="C564" s="3" t="s">
        <v>54</v>
      </c>
      <c r="D564" s="3" t="s">
        <v>38</v>
      </c>
      <c r="E564" s="3" t="s">
        <v>38</v>
      </c>
      <c r="F564" s="3" t="s">
        <v>56</v>
      </c>
      <c r="G564" s="3" t="s">
        <v>82</v>
      </c>
      <c r="H564" s="63" t="str">
        <f>Table1[[#This Row],[Tabela]]&amp;Table1[[#This Row],[Campo]]</f>
        <v>cd_imv_out_trz_cred_prccod_sprd_resp</v>
      </c>
      <c r="I564" s="3" t="s">
        <v>477</v>
      </c>
      <c r="J564" s="45">
        <f>VLOOKUP(Table1[[#This Row],[Status]],Auxiliar!$B$16:$C$23,2,0)</f>
        <v>1</v>
      </c>
      <c r="K564" s="3" t="s">
        <v>1138</v>
      </c>
      <c r="L564" s="30" t="s">
        <v>1144</v>
      </c>
      <c r="M564" s="22" t="s">
        <v>1155</v>
      </c>
      <c r="N564" s="53">
        <v>45485</v>
      </c>
      <c r="O564" s="22">
        <f>INDEX(Auxiliar!$D$5:$F$13,MATCH(Table1[[#This Row],[Tipologia_Testes]],Auxiliar!$B$5:$B$13,0),MATCH(Table1[[#This Row],[Complexidade]],Auxiliar!$D$4:$F$4,0))</f>
        <v>4</v>
      </c>
      <c r="P564" s="3"/>
      <c r="Q564" s="3"/>
      <c r="R564" s="173">
        <v>45261</v>
      </c>
      <c r="S564" s="173"/>
      <c r="T564" s="173"/>
      <c r="U564" s="173"/>
      <c r="V564" s="173"/>
      <c r="W564" s="3">
        <f>VLOOKUP(Table1[[#This Row],[Status]],Auxiliar!$B$16:$D$23,3,0)*Table1[[#This Row],[Estimação (horas)]]</f>
        <v>4</v>
      </c>
      <c r="X564" s="3"/>
    </row>
    <row r="565" spans="2:24" ht="17.399999999999999" hidden="1" customHeight="1">
      <c r="B565" s="3" t="s">
        <v>28</v>
      </c>
      <c r="C565" s="3" t="s">
        <v>54</v>
      </c>
      <c r="D565" s="3" t="s">
        <v>38</v>
      </c>
      <c r="E565" s="3" t="s">
        <v>38</v>
      </c>
      <c r="F565" s="3" t="s">
        <v>56</v>
      </c>
      <c r="G565" s="3" t="s">
        <v>82</v>
      </c>
      <c r="H565" s="63" t="str">
        <f>Table1[[#This Row],[Tabela]]&amp;Table1[[#This Row],[Campo]]</f>
        <v>cd_imv_out_trz_cred_prccod_sprd_resp</v>
      </c>
      <c r="I565" s="3" t="s">
        <v>477</v>
      </c>
      <c r="J565" s="45">
        <f>VLOOKUP(Table1[[#This Row],[Status]],Auxiliar!$B$16:$C$23,2,0)</f>
        <v>1</v>
      </c>
      <c r="K565" s="3" t="s">
        <v>1141</v>
      </c>
      <c r="L565" s="30" t="s">
        <v>1144</v>
      </c>
      <c r="M565" s="22" t="s">
        <v>1155</v>
      </c>
      <c r="N565" s="53">
        <v>45485</v>
      </c>
      <c r="O565" s="22">
        <f>INDEX(Auxiliar!$D$5:$F$13,MATCH(Table1[[#This Row],[Tipologia_Testes]],Auxiliar!$B$5:$B$13,0),MATCH(Table1[[#This Row],[Complexidade]],Auxiliar!$D$4:$F$4,0))</f>
        <v>0.1</v>
      </c>
      <c r="P565" s="3"/>
      <c r="Q565" s="3"/>
      <c r="R565" s="173">
        <v>45261</v>
      </c>
      <c r="S565" s="173"/>
      <c r="T565" s="173"/>
      <c r="U565" s="173"/>
      <c r="V565" s="173"/>
      <c r="W565" s="3">
        <f>VLOOKUP(Table1[[#This Row],[Status]],Auxiliar!$B$16:$D$23,3,0)*Table1[[#This Row],[Estimação (horas)]]</f>
        <v>0.1</v>
      </c>
      <c r="X565" s="3"/>
    </row>
    <row r="566" spans="2:24" ht="17.399999999999999" hidden="1" customHeight="1">
      <c r="B566" s="3" t="s">
        <v>28</v>
      </c>
      <c r="C566" s="3" t="s">
        <v>54</v>
      </c>
      <c r="D566" s="3" t="s">
        <v>38</v>
      </c>
      <c r="E566" s="3" t="s">
        <v>38</v>
      </c>
      <c r="F566" s="3" t="s">
        <v>56</v>
      </c>
      <c r="G566" s="3" t="s">
        <v>67</v>
      </c>
      <c r="H566" s="63" t="str">
        <f>Table1[[#This Row],[Tabela]]&amp;Table1[[#This Row],[Campo]]</f>
        <v>cd_imv_out_trz_cred_prccomp_id_gar</v>
      </c>
      <c r="I566" s="3" t="s">
        <v>477</v>
      </c>
      <c r="J566" s="45">
        <f>VLOOKUP(Table1[[#This Row],[Status]],Auxiliar!$B$16:$C$23,2,0)</f>
        <v>1</v>
      </c>
      <c r="K566" s="3" t="s">
        <v>1137</v>
      </c>
      <c r="L566" s="30" t="s">
        <v>1135</v>
      </c>
      <c r="M566" s="22" t="s">
        <v>1155</v>
      </c>
      <c r="N566" s="53">
        <v>45512</v>
      </c>
      <c r="O566" s="22">
        <f>INDEX(Auxiliar!$D$5:$F$13,MATCH(Table1[[#This Row],[Tipologia_Testes]],Auxiliar!$B$5:$B$13,0),MATCH(Table1[[#This Row],[Complexidade]],Auxiliar!$D$4:$F$4,0))</f>
        <v>4</v>
      </c>
      <c r="P566" s="3" t="s">
        <v>1180</v>
      </c>
      <c r="Q566" s="3"/>
      <c r="R566" s="173">
        <v>45261</v>
      </c>
      <c r="S566" s="173"/>
      <c r="T566" s="173"/>
      <c r="U566" s="173"/>
      <c r="V566" s="173"/>
      <c r="W566" s="3">
        <f>VLOOKUP(Table1[[#This Row],[Status]],Auxiliar!$B$16:$D$23,3,0)*Table1[[#This Row],[Estimação (horas)]]</f>
        <v>4</v>
      </c>
      <c r="X566" s="3"/>
    </row>
    <row r="567" spans="2:24" ht="17.399999999999999" hidden="1" customHeight="1">
      <c r="B567" s="3" t="s">
        <v>28</v>
      </c>
      <c r="C567" s="3" t="s">
        <v>54</v>
      </c>
      <c r="D567" s="3" t="s">
        <v>38</v>
      </c>
      <c r="E567" s="3" t="s">
        <v>38</v>
      </c>
      <c r="F567" s="3" t="s">
        <v>56</v>
      </c>
      <c r="G567" s="3" t="s">
        <v>67</v>
      </c>
      <c r="H567" s="63" t="str">
        <f>Table1[[#This Row],[Tabela]]&amp;Table1[[#This Row],[Campo]]</f>
        <v>cd_imv_out_trz_cred_prccomp_id_gar</v>
      </c>
      <c r="I567" s="3" t="s">
        <v>477</v>
      </c>
      <c r="J567" s="45">
        <f>VLOOKUP(Table1[[#This Row],[Status]],Auxiliar!$B$16:$C$23,2,0)</f>
        <v>1</v>
      </c>
      <c r="K567" s="3" t="s">
        <v>1138</v>
      </c>
      <c r="L567" s="30" t="s">
        <v>1135</v>
      </c>
      <c r="M567" s="22" t="s">
        <v>1155</v>
      </c>
      <c r="N567" s="53">
        <v>45512</v>
      </c>
      <c r="O567" s="22">
        <f>INDEX(Auxiliar!$D$5:$F$13,MATCH(Table1[[#This Row],[Tipologia_Testes]],Auxiliar!$B$5:$B$13,0),MATCH(Table1[[#This Row],[Complexidade]],Auxiliar!$D$4:$F$4,0))</f>
        <v>4</v>
      </c>
      <c r="P567" s="3" t="s">
        <v>1180</v>
      </c>
      <c r="Q567" s="3"/>
      <c r="R567" s="173">
        <v>45261</v>
      </c>
      <c r="S567" s="173"/>
      <c r="T567" s="173"/>
      <c r="U567" s="173"/>
      <c r="V567" s="173"/>
      <c r="W567" s="3">
        <f>VLOOKUP(Table1[[#This Row],[Status]],Auxiliar!$B$16:$D$23,3,0)*Table1[[#This Row],[Estimação (horas)]]</f>
        <v>4</v>
      </c>
      <c r="X567" s="3"/>
    </row>
    <row r="568" spans="2:24" ht="17.399999999999999" hidden="1" customHeight="1">
      <c r="B568" s="3" t="s">
        <v>28</v>
      </c>
      <c r="C568" s="3" t="s">
        <v>54</v>
      </c>
      <c r="D568" s="3" t="s">
        <v>38</v>
      </c>
      <c r="E568" s="3" t="s">
        <v>38</v>
      </c>
      <c r="F568" s="3" t="s">
        <v>56</v>
      </c>
      <c r="G568" s="3" t="s">
        <v>67</v>
      </c>
      <c r="H568" s="63" t="str">
        <f>Table1[[#This Row],[Tabela]]&amp;Table1[[#This Row],[Campo]]</f>
        <v>cd_imv_out_trz_cred_prccomp_id_gar</v>
      </c>
      <c r="I568" s="3" t="s">
        <v>477</v>
      </c>
      <c r="J568" s="45">
        <f>VLOOKUP(Table1[[#This Row],[Status]],Auxiliar!$B$16:$C$23,2,0)</f>
        <v>1</v>
      </c>
      <c r="K568" s="3" t="s">
        <v>1141</v>
      </c>
      <c r="L568" s="30" t="s">
        <v>1135</v>
      </c>
      <c r="M568" s="22" t="s">
        <v>1155</v>
      </c>
      <c r="N568" s="53">
        <v>45512</v>
      </c>
      <c r="O568" s="22">
        <f>INDEX(Auxiliar!$D$5:$F$13,MATCH(Table1[[#This Row],[Tipologia_Testes]],Auxiliar!$B$5:$B$13,0),MATCH(Table1[[#This Row],[Complexidade]],Auxiliar!$D$4:$F$4,0))</f>
        <v>0.1</v>
      </c>
      <c r="P568" s="3" t="s">
        <v>1180</v>
      </c>
      <c r="Q568" s="3"/>
      <c r="R568" s="173">
        <v>45261</v>
      </c>
      <c r="S568" s="173"/>
      <c r="T568" s="173"/>
      <c r="U568" s="173"/>
      <c r="V568" s="173"/>
      <c r="W568" s="3">
        <f>VLOOKUP(Table1[[#This Row],[Status]],Auxiliar!$B$16:$D$23,3,0)*Table1[[#This Row],[Estimação (horas)]]</f>
        <v>0.1</v>
      </c>
      <c r="X568" s="3"/>
    </row>
    <row r="569" spans="2:24" ht="17.399999999999999" hidden="1" customHeight="1">
      <c r="B569" s="3" t="s">
        <v>28</v>
      </c>
      <c r="C569" s="3" t="s">
        <v>54</v>
      </c>
      <c r="D569" s="3" t="s">
        <v>38</v>
      </c>
      <c r="E569" s="3" t="s">
        <v>38</v>
      </c>
      <c r="F569" s="3" t="s">
        <v>56</v>
      </c>
      <c r="G569" s="3" t="s">
        <v>83</v>
      </c>
      <c r="H569" s="63" t="str">
        <f>Table1[[#This Row],[Tabela]]&amp;Table1[[#This Row],[Campo]]</f>
        <v>cd_imv_out_trz_cred_prcdata_fim</v>
      </c>
      <c r="I569" s="3" t="s">
        <v>477</v>
      </c>
      <c r="J569" s="45">
        <f>VLOOKUP(Table1[[#This Row],[Status]],Auxiliar!$B$16:$C$23,2,0)</f>
        <v>1</v>
      </c>
      <c r="K569" s="3" t="s">
        <v>1137</v>
      </c>
      <c r="L569" s="30" t="s">
        <v>1144</v>
      </c>
      <c r="M569" s="22" t="s">
        <v>1155</v>
      </c>
      <c r="N569" s="53">
        <v>45485</v>
      </c>
      <c r="O569" s="22">
        <f>INDEX(Auxiliar!$D$5:$F$13,MATCH(Table1[[#This Row],[Tipologia_Testes]],Auxiliar!$B$5:$B$13,0),MATCH(Table1[[#This Row],[Complexidade]],Auxiliar!$D$4:$F$4,0))</f>
        <v>4</v>
      </c>
      <c r="P569" s="3"/>
      <c r="Q569" s="3"/>
      <c r="R569" s="173">
        <v>45261</v>
      </c>
      <c r="S569" s="173"/>
      <c r="T569" s="173"/>
      <c r="U569" s="173"/>
      <c r="V569" s="173"/>
      <c r="W569" s="3">
        <f>VLOOKUP(Table1[[#This Row],[Status]],Auxiliar!$B$16:$D$23,3,0)*Table1[[#This Row],[Estimação (horas)]]</f>
        <v>4</v>
      </c>
      <c r="X569" s="3"/>
    </row>
    <row r="570" spans="2:24" ht="17.399999999999999" hidden="1" customHeight="1">
      <c r="B570" s="3" t="s">
        <v>28</v>
      </c>
      <c r="C570" s="3" t="s">
        <v>54</v>
      </c>
      <c r="D570" s="3" t="s">
        <v>38</v>
      </c>
      <c r="E570" s="3" t="s">
        <v>38</v>
      </c>
      <c r="F570" s="3" t="s">
        <v>56</v>
      </c>
      <c r="G570" s="3" t="s">
        <v>83</v>
      </c>
      <c r="H570" s="63" t="str">
        <f>Table1[[#This Row],[Tabela]]&amp;Table1[[#This Row],[Campo]]</f>
        <v>cd_imv_out_trz_cred_prcdata_fim</v>
      </c>
      <c r="I570" s="3" t="s">
        <v>477</v>
      </c>
      <c r="J570" s="45">
        <f>VLOOKUP(Table1[[#This Row],[Status]],Auxiliar!$B$16:$C$23,2,0)</f>
        <v>1</v>
      </c>
      <c r="K570" s="3" t="s">
        <v>1138</v>
      </c>
      <c r="L570" s="30" t="s">
        <v>1144</v>
      </c>
      <c r="M570" s="22" t="s">
        <v>1155</v>
      </c>
      <c r="N570" s="53">
        <v>45485</v>
      </c>
      <c r="O570" s="22">
        <f>INDEX(Auxiliar!$D$5:$F$13,MATCH(Table1[[#This Row],[Tipologia_Testes]],Auxiliar!$B$5:$B$13,0),MATCH(Table1[[#This Row],[Complexidade]],Auxiliar!$D$4:$F$4,0))</f>
        <v>4</v>
      </c>
      <c r="P570" s="3"/>
      <c r="Q570" s="3"/>
      <c r="R570" s="173">
        <v>45261</v>
      </c>
      <c r="S570" s="173"/>
      <c r="T570" s="173"/>
      <c r="U570" s="173"/>
      <c r="V570" s="173"/>
      <c r="W570" s="3">
        <f>VLOOKUP(Table1[[#This Row],[Status]],Auxiliar!$B$16:$D$23,3,0)*Table1[[#This Row],[Estimação (horas)]]</f>
        <v>4</v>
      </c>
      <c r="X570" s="3"/>
    </row>
    <row r="571" spans="2:24" ht="17.399999999999999" hidden="1" customHeight="1">
      <c r="B571" s="3" t="s">
        <v>28</v>
      </c>
      <c r="C571" s="3" t="s">
        <v>54</v>
      </c>
      <c r="D571" s="3" t="s">
        <v>38</v>
      </c>
      <c r="E571" s="3" t="s">
        <v>38</v>
      </c>
      <c r="F571" s="3" t="s">
        <v>56</v>
      </c>
      <c r="G571" s="3" t="s">
        <v>83</v>
      </c>
      <c r="H571" s="63" t="str">
        <f>Table1[[#This Row],[Tabela]]&amp;Table1[[#This Row],[Campo]]</f>
        <v>cd_imv_out_trz_cred_prcdata_fim</v>
      </c>
      <c r="I571" s="3" t="s">
        <v>477</v>
      </c>
      <c r="J571" s="45">
        <f>VLOOKUP(Table1[[#This Row],[Status]],Auxiliar!$B$16:$C$23,2,0)</f>
        <v>1</v>
      </c>
      <c r="K571" s="3" t="s">
        <v>1141</v>
      </c>
      <c r="L571" s="30" t="s">
        <v>1144</v>
      </c>
      <c r="M571" s="22" t="s">
        <v>1155</v>
      </c>
      <c r="N571" s="53">
        <v>45485</v>
      </c>
      <c r="O571" s="22">
        <f>INDEX(Auxiliar!$D$5:$F$13,MATCH(Table1[[#This Row],[Tipologia_Testes]],Auxiliar!$B$5:$B$13,0),MATCH(Table1[[#This Row],[Complexidade]],Auxiliar!$D$4:$F$4,0))</f>
        <v>0.1</v>
      </c>
      <c r="P571" s="3"/>
      <c r="Q571" s="3"/>
      <c r="R571" s="173">
        <v>45261</v>
      </c>
      <c r="S571" s="173"/>
      <c r="T571" s="173"/>
      <c r="U571" s="173"/>
      <c r="V571" s="173"/>
      <c r="W571" s="3">
        <f>VLOOKUP(Table1[[#This Row],[Status]],Auxiliar!$B$16:$D$23,3,0)*Table1[[#This Row],[Estimação (horas)]]</f>
        <v>0.1</v>
      </c>
      <c r="X571" s="3"/>
    </row>
    <row r="572" spans="2:24" ht="17.399999999999999" hidden="1" customHeight="1">
      <c r="B572" s="3" t="s">
        <v>28</v>
      </c>
      <c r="C572" s="3" t="s">
        <v>54</v>
      </c>
      <c r="D572" s="3" t="s">
        <v>38</v>
      </c>
      <c r="E572" s="3" t="s">
        <v>38</v>
      </c>
      <c r="F572" s="3" t="s">
        <v>56</v>
      </c>
      <c r="G572" s="3" t="s">
        <v>68</v>
      </c>
      <c r="H572" s="63" t="str">
        <f>Table1[[#This Row],[Tabela]]&amp;Table1[[#This Row],[Campo]]</f>
        <v>cd_imv_out_trz_cred_prcdata_inicio</v>
      </c>
      <c r="I572" s="3" t="s">
        <v>477</v>
      </c>
      <c r="J572" s="45">
        <f>VLOOKUP(Table1[[#This Row],[Status]],Auxiliar!$B$16:$C$23,2,0)</f>
        <v>1</v>
      </c>
      <c r="K572" s="3" t="s">
        <v>1137</v>
      </c>
      <c r="L572" s="30" t="s">
        <v>1144</v>
      </c>
      <c r="M572" s="22" t="s">
        <v>1155</v>
      </c>
      <c r="N572" s="53">
        <v>45485</v>
      </c>
      <c r="O572" s="22">
        <f>INDEX(Auxiliar!$D$5:$F$13,MATCH(Table1[[#This Row],[Tipologia_Testes]],Auxiliar!$B$5:$B$13,0),MATCH(Table1[[#This Row],[Complexidade]],Auxiliar!$D$4:$F$4,0))</f>
        <v>4</v>
      </c>
      <c r="P572" s="3"/>
      <c r="Q572" s="3"/>
      <c r="R572" s="173">
        <v>45261</v>
      </c>
      <c r="S572" s="173"/>
      <c r="T572" s="173"/>
      <c r="U572" s="173"/>
      <c r="V572" s="173"/>
      <c r="W572" s="3">
        <f>VLOOKUP(Table1[[#This Row],[Status]],Auxiliar!$B$16:$D$23,3,0)*Table1[[#This Row],[Estimação (horas)]]</f>
        <v>4</v>
      </c>
      <c r="X572" s="3"/>
    </row>
    <row r="573" spans="2:24" ht="17.399999999999999" hidden="1" customHeight="1">
      <c r="B573" s="3" t="s">
        <v>28</v>
      </c>
      <c r="C573" s="3" t="s">
        <v>54</v>
      </c>
      <c r="D573" s="3" t="s">
        <v>38</v>
      </c>
      <c r="E573" s="3" t="s">
        <v>38</v>
      </c>
      <c r="F573" s="3" t="s">
        <v>56</v>
      </c>
      <c r="G573" s="3" t="s">
        <v>68</v>
      </c>
      <c r="H573" s="63" t="str">
        <f>Table1[[#This Row],[Tabela]]&amp;Table1[[#This Row],[Campo]]</f>
        <v>cd_imv_out_trz_cred_prcdata_inicio</v>
      </c>
      <c r="I573" s="3" t="s">
        <v>477</v>
      </c>
      <c r="J573" s="45">
        <f>VLOOKUP(Table1[[#This Row],[Status]],Auxiliar!$B$16:$C$23,2,0)</f>
        <v>1</v>
      </c>
      <c r="K573" s="3" t="s">
        <v>1138</v>
      </c>
      <c r="L573" s="30" t="s">
        <v>1144</v>
      </c>
      <c r="M573" s="22" t="s">
        <v>1155</v>
      </c>
      <c r="N573" s="53">
        <v>45485</v>
      </c>
      <c r="O573" s="22">
        <f>INDEX(Auxiliar!$D$5:$F$13,MATCH(Table1[[#This Row],[Tipologia_Testes]],Auxiliar!$B$5:$B$13,0),MATCH(Table1[[#This Row],[Complexidade]],Auxiliar!$D$4:$F$4,0))</f>
        <v>4</v>
      </c>
      <c r="P573" s="3"/>
      <c r="Q573" s="3"/>
      <c r="R573" s="173">
        <v>45261</v>
      </c>
      <c r="S573" s="173"/>
      <c r="T573" s="173"/>
      <c r="U573" s="173"/>
      <c r="V573" s="173"/>
      <c r="W573" s="3">
        <f>VLOOKUP(Table1[[#This Row],[Status]],Auxiliar!$B$16:$D$23,3,0)*Table1[[#This Row],[Estimação (horas)]]</f>
        <v>4</v>
      </c>
      <c r="X573" s="3"/>
    </row>
    <row r="574" spans="2:24" ht="17.399999999999999" hidden="1" customHeight="1">
      <c r="B574" s="3" t="s">
        <v>28</v>
      </c>
      <c r="C574" s="3" t="s">
        <v>54</v>
      </c>
      <c r="D574" s="3" t="s">
        <v>38</v>
      </c>
      <c r="E574" s="3" t="s">
        <v>38</v>
      </c>
      <c r="F574" s="3" t="s">
        <v>56</v>
      </c>
      <c r="G574" s="3" t="s">
        <v>68</v>
      </c>
      <c r="H574" s="63" t="str">
        <f>Table1[[#This Row],[Tabela]]&amp;Table1[[#This Row],[Campo]]</f>
        <v>cd_imv_out_trz_cred_prcdata_inicio</v>
      </c>
      <c r="I574" s="3" t="s">
        <v>477</v>
      </c>
      <c r="J574" s="45">
        <f>VLOOKUP(Table1[[#This Row],[Status]],Auxiliar!$B$16:$C$23,2,0)</f>
        <v>1</v>
      </c>
      <c r="K574" s="3" t="s">
        <v>1141</v>
      </c>
      <c r="L574" s="30" t="s">
        <v>1144</v>
      </c>
      <c r="M574" s="22" t="s">
        <v>1155</v>
      </c>
      <c r="N574" s="53">
        <v>45485</v>
      </c>
      <c r="O574" s="22">
        <f>INDEX(Auxiliar!$D$5:$F$13,MATCH(Table1[[#This Row],[Tipologia_Testes]],Auxiliar!$B$5:$B$13,0),MATCH(Table1[[#This Row],[Complexidade]],Auxiliar!$D$4:$F$4,0))</f>
        <v>0.1</v>
      </c>
      <c r="P574" s="3"/>
      <c r="Q574" s="3"/>
      <c r="R574" s="173">
        <v>45261</v>
      </c>
      <c r="S574" s="173"/>
      <c r="T574" s="173"/>
      <c r="U574" s="173"/>
      <c r="V574" s="173"/>
      <c r="W574" s="3">
        <f>VLOOKUP(Table1[[#This Row],[Status]],Auxiliar!$B$16:$D$23,3,0)*Table1[[#This Row],[Estimação (horas)]]</f>
        <v>0.1</v>
      </c>
      <c r="X574" s="3"/>
    </row>
    <row r="575" spans="2:24" ht="17.399999999999999" hidden="1" customHeight="1">
      <c r="B575" s="3" t="s">
        <v>28</v>
      </c>
      <c r="C575" s="3" t="s">
        <v>54</v>
      </c>
      <c r="D575" s="3" t="s">
        <v>38</v>
      </c>
      <c r="E575" s="3" t="s">
        <v>38</v>
      </c>
      <c r="F575" s="3" t="s">
        <v>56</v>
      </c>
      <c r="G575" s="3" t="s">
        <v>69</v>
      </c>
      <c r="H575" s="63" t="str">
        <f>Table1[[#This Row],[Tabela]]&amp;Table1[[#This Row],[Campo]]</f>
        <v>cd_imv_out_trz_cred_prcdata_vcmt</v>
      </c>
      <c r="I575" s="3" t="s">
        <v>477</v>
      </c>
      <c r="J575" s="45">
        <f>VLOOKUP(Table1[[#This Row],[Status]],Auxiliar!$B$16:$C$23,2,0)</f>
        <v>1</v>
      </c>
      <c r="K575" s="3" t="s">
        <v>1137</v>
      </c>
      <c r="L575" s="30" t="s">
        <v>1144</v>
      </c>
      <c r="M575" s="22" t="s">
        <v>1155</v>
      </c>
      <c r="N575" s="53">
        <v>45485</v>
      </c>
      <c r="O575" s="22">
        <f>INDEX(Auxiliar!$D$5:$F$13,MATCH(Table1[[#This Row],[Tipologia_Testes]],Auxiliar!$B$5:$B$13,0),MATCH(Table1[[#This Row],[Complexidade]],Auxiliar!$D$4:$F$4,0))</f>
        <v>4</v>
      </c>
      <c r="P575" s="3"/>
      <c r="Q575" s="3"/>
      <c r="R575" s="173">
        <v>45261</v>
      </c>
      <c r="S575" s="173"/>
      <c r="T575" s="173"/>
      <c r="U575" s="173"/>
      <c r="V575" s="173"/>
      <c r="W575" s="3">
        <f>VLOOKUP(Table1[[#This Row],[Status]],Auxiliar!$B$16:$D$23,3,0)*Table1[[#This Row],[Estimação (horas)]]</f>
        <v>4</v>
      </c>
      <c r="X575" s="3"/>
    </row>
    <row r="576" spans="2:24" ht="17.399999999999999" hidden="1" customHeight="1">
      <c r="B576" s="3" t="s">
        <v>28</v>
      </c>
      <c r="C576" s="3" t="s">
        <v>54</v>
      </c>
      <c r="D576" s="3" t="s">
        <v>38</v>
      </c>
      <c r="E576" s="3" t="s">
        <v>38</v>
      </c>
      <c r="F576" s="3" t="s">
        <v>56</v>
      </c>
      <c r="G576" s="3" t="s">
        <v>69</v>
      </c>
      <c r="H576" s="63" t="str">
        <f>Table1[[#This Row],[Tabela]]&amp;Table1[[#This Row],[Campo]]</f>
        <v>cd_imv_out_trz_cred_prcdata_vcmt</v>
      </c>
      <c r="I576" s="3" t="s">
        <v>477</v>
      </c>
      <c r="J576" s="45">
        <f>VLOOKUP(Table1[[#This Row],[Status]],Auxiliar!$B$16:$C$23,2,0)</f>
        <v>1</v>
      </c>
      <c r="K576" s="3" t="s">
        <v>1138</v>
      </c>
      <c r="L576" s="30" t="s">
        <v>1144</v>
      </c>
      <c r="M576" s="22" t="s">
        <v>1155</v>
      </c>
      <c r="N576" s="53">
        <v>45485</v>
      </c>
      <c r="O576" s="22">
        <f>INDEX(Auxiliar!$D$5:$F$13,MATCH(Table1[[#This Row],[Tipologia_Testes]],Auxiliar!$B$5:$B$13,0),MATCH(Table1[[#This Row],[Complexidade]],Auxiliar!$D$4:$F$4,0))</f>
        <v>4</v>
      </c>
      <c r="P576" s="3"/>
      <c r="Q576" s="3"/>
      <c r="R576" s="173">
        <v>45261</v>
      </c>
      <c r="S576" s="173"/>
      <c r="T576" s="173"/>
      <c r="U576" s="173"/>
      <c r="V576" s="173"/>
      <c r="W576" s="3">
        <f>VLOOKUP(Table1[[#This Row],[Status]],Auxiliar!$B$16:$D$23,3,0)*Table1[[#This Row],[Estimação (horas)]]</f>
        <v>4</v>
      </c>
      <c r="X576" s="3"/>
    </row>
    <row r="577" spans="2:24" ht="17.399999999999999" hidden="1" customHeight="1">
      <c r="B577" s="3" t="s">
        <v>28</v>
      </c>
      <c r="C577" s="3" t="s">
        <v>54</v>
      </c>
      <c r="D577" s="3" t="s">
        <v>38</v>
      </c>
      <c r="E577" s="3" t="s">
        <v>38</v>
      </c>
      <c r="F577" s="3" t="s">
        <v>56</v>
      </c>
      <c r="G577" s="3" t="s">
        <v>69</v>
      </c>
      <c r="H577" s="63" t="str">
        <f>Table1[[#This Row],[Tabela]]&amp;Table1[[#This Row],[Campo]]</f>
        <v>cd_imv_out_trz_cred_prcdata_vcmt</v>
      </c>
      <c r="I577" s="3" t="s">
        <v>477</v>
      </c>
      <c r="J577" s="45">
        <f>VLOOKUP(Table1[[#This Row],[Status]],Auxiliar!$B$16:$C$23,2,0)</f>
        <v>1</v>
      </c>
      <c r="K577" s="3" t="s">
        <v>1141</v>
      </c>
      <c r="L577" s="30" t="s">
        <v>1144</v>
      </c>
      <c r="M577" s="22" t="s">
        <v>1155</v>
      </c>
      <c r="N577" s="53">
        <v>45485</v>
      </c>
      <c r="O577" s="22">
        <f>INDEX(Auxiliar!$D$5:$F$13,MATCH(Table1[[#This Row],[Tipologia_Testes]],Auxiliar!$B$5:$B$13,0),MATCH(Table1[[#This Row],[Complexidade]],Auxiliar!$D$4:$F$4,0))</f>
        <v>0.1</v>
      </c>
      <c r="P577" s="3"/>
      <c r="Q577" s="3"/>
      <c r="R577" s="173">
        <v>45261</v>
      </c>
      <c r="S577" s="173"/>
      <c r="T577" s="173"/>
      <c r="U577" s="173"/>
      <c r="V577" s="173"/>
      <c r="W577" s="3">
        <f>VLOOKUP(Table1[[#This Row],[Status]],Auxiliar!$B$16:$D$23,3,0)*Table1[[#This Row],[Estimação (horas)]]</f>
        <v>0.1</v>
      </c>
      <c r="X577" s="3"/>
    </row>
    <row r="578" spans="2:24" ht="17.399999999999999" hidden="1" customHeight="1">
      <c r="B578" s="3" t="s">
        <v>28</v>
      </c>
      <c r="C578" s="3" t="s">
        <v>54</v>
      </c>
      <c r="D578" s="3" t="s">
        <v>38</v>
      </c>
      <c r="E578" s="3" t="s">
        <v>38</v>
      </c>
      <c r="F578" s="3" t="s">
        <v>56</v>
      </c>
      <c r="G578" s="3" t="s">
        <v>84</v>
      </c>
      <c r="H578" s="63" t="str">
        <f>Table1[[#This Row],[Tabela]]&amp;Table1[[#This Row],[Campo]]</f>
        <v>cd_imv_out_trz_cred_prcidetgar</v>
      </c>
      <c r="I578" s="3" t="s">
        <v>476</v>
      </c>
      <c r="J578" s="45">
        <f>VLOOKUP(Table1[[#This Row],[Status]],Auxiliar!$B$16:$C$23,2,0)</f>
        <v>0</v>
      </c>
      <c r="K578" s="3" t="s">
        <v>1137</v>
      </c>
      <c r="L578" s="3" t="s">
        <v>1171</v>
      </c>
      <c r="M578" s="22" t="s">
        <v>1155</v>
      </c>
      <c r="N578" s="53">
        <v>45485</v>
      </c>
      <c r="O578" s="22">
        <f>INDEX(Auxiliar!$D$5:$F$13,MATCH(Table1[[#This Row],[Tipologia_Testes]],Auxiliar!$B$5:$B$13,0),MATCH(Table1[[#This Row],[Complexidade]],Auxiliar!$D$4:$F$4,0))</f>
        <v>4</v>
      </c>
      <c r="P578" s="3" t="s">
        <v>1178</v>
      </c>
      <c r="Q578" s="3"/>
      <c r="R578" s="173">
        <v>45425</v>
      </c>
      <c r="S578" s="173"/>
      <c r="T578" s="173"/>
      <c r="U578" s="173"/>
      <c r="V578" s="173"/>
      <c r="W578" s="3">
        <f>VLOOKUP(Table1[[#This Row],[Status]],Auxiliar!$B$16:$D$23,3,0)*Table1[[#This Row],[Estimação (horas)]]</f>
        <v>0</v>
      </c>
      <c r="X578" s="3"/>
    </row>
    <row r="579" spans="2:24" ht="17.399999999999999" hidden="1" customHeight="1">
      <c r="B579" s="3" t="s">
        <v>28</v>
      </c>
      <c r="C579" s="3" t="s">
        <v>54</v>
      </c>
      <c r="D579" s="3" t="s">
        <v>38</v>
      </c>
      <c r="E579" s="3" t="s">
        <v>38</v>
      </c>
      <c r="F579" s="3" t="s">
        <v>56</v>
      </c>
      <c r="G579" s="3" t="s">
        <v>85</v>
      </c>
      <c r="H579" s="63" t="str">
        <f>Table1[[#This Row],[Tabela]]&amp;Table1[[#This Row],[Campo]]</f>
        <v>cd_imv_out_trz_cred_prcnum_prop</v>
      </c>
      <c r="I579" s="3" t="s">
        <v>476</v>
      </c>
      <c r="J579" s="45">
        <f>VLOOKUP(Table1[[#This Row],[Status]],Auxiliar!$B$16:$C$23,2,0)</f>
        <v>0</v>
      </c>
      <c r="K579" s="3" t="s">
        <v>1137</v>
      </c>
      <c r="L579" s="3" t="s">
        <v>1171</v>
      </c>
      <c r="M579" s="22" t="s">
        <v>1155</v>
      </c>
      <c r="N579" s="53">
        <v>45485</v>
      </c>
      <c r="O579" s="22">
        <f>INDEX(Auxiliar!$D$5:$F$13,MATCH(Table1[[#This Row],[Tipologia_Testes]],Auxiliar!$B$5:$B$13,0),MATCH(Table1[[#This Row],[Complexidade]],Auxiliar!$D$4:$F$4,0))</f>
        <v>4</v>
      </c>
      <c r="P579" s="3" t="s">
        <v>1178</v>
      </c>
      <c r="Q579" s="3"/>
      <c r="R579" s="173">
        <v>45425</v>
      </c>
      <c r="S579" s="173"/>
      <c r="T579" s="173"/>
      <c r="U579" s="173"/>
      <c r="V579" s="173"/>
      <c r="W579" s="3">
        <f>VLOOKUP(Table1[[#This Row],[Status]],Auxiliar!$B$16:$D$23,3,0)*Table1[[#This Row],[Estimação (horas)]]</f>
        <v>0</v>
      </c>
      <c r="X579" s="3"/>
    </row>
    <row r="580" spans="2:24" ht="17.399999999999999" hidden="1" customHeight="1">
      <c r="B580" s="3" t="s">
        <v>28</v>
      </c>
      <c r="C580" s="3" t="s">
        <v>54</v>
      </c>
      <c r="D580" s="3" t="s">
        <v>38</v>
      </c>
      <c r="E580" s="3" t="s">
        <v>38</v>
      </c>
      <c r="F580" s="3" t="s">
        <v>56</v>
      </c>
      <c r="G580" s="3" t="s">
        <v>72</v>
      </c>
      <c r="H580" s="63" t="str">
        <f>Table1[[#This Row],[Tabela]]&amp;Table1[[#This Row],[Campo]]</f>
        <v>cd_imv_out_trz_cred_prcorigem</v>
      </c>
      <c r="I580" s="3" t="s">
        <v>477</v>
      </c>
      <c r="J580" s="45">
        <f>VLOOKUP(Table1[[#This Row],[Status]],Auxiliar!$B$16:$C$23,2,0)</f>
        <v>1</v>
      </c>
      <c r="K580" s="3" t="s">
        <v>1137</v>
      </c>
      <c r="L580" s="30" t="s">
        <v>1144</v>
      </c>
      <c r="M580" s="22" t="s">
        <v>1145</v>
      </c>
      <c r="N580" s="53">
        <v>45512</v>
      </c>
      <c r="O580" s="22">
        <f>INDEX(Auxiliar!$D$5:$F$13,MATCH(Table1[[#This Row],[Tipologia_Testes]],Auxiliar!$B$5:$B$13,0),MATCH(Table1[[#This Row],[Complexidade]],Auxiliar!$D$4:$F$4,0))</f>
        <v>2</v>
      </c>
      <c r="P580" s="3"/>
      <c r="Q580" s="3"/>
      <c r="R580" s="173">
        <v>45261</v>
      </c>
      <c r="S580" s="173"/>
      <c r="T580" s="173"/>
      <c r="U580" s="173"/>
      <c r="V580" s="173"/>
      <c r="W580" s="3">
        <f>VLOOKUP(Table1[[#This Row],[Status]],Auxiliar!$B$16:$D$23,3,0)*Table1[[#This Row],[Estimação (horas)]]</f>
        <v>2</v>
      </c>
      <c r="X580" s="3"/>
    </row>
    <row r="581" spans="2:24" ht="17.399999999999999" hidden="1" customHeight="1">
      <c r="B581" s="3" t="s">
        <v>28</v>
      </c>
      <c r="C581" s="3" t="s">
        <v>54</v>
      </c>
      <c r="D581" s="3" t="s">
        <v>38</v>
      </c>
      <c r="E581" s="3" t="s">
        <v>38</v>
      </c>
      <c r="F581" s="3" t="s">
        <v>56</v>
      </c>
      <c r="G581" s="3" t="s">
        <v>72</v>
      </c>
      <c r="H581" s="63" t="str">
        <f>Table1[[#This Row],[Tabela]]&amp;Table1[[#This Row],[Campo]]</f>
        <v>cd_imv_out_trz_cred_prcorigem</v>
      </c>
      <c r="I581" s="3" t="s">
        <v>477</v>
      </c>
      <c r="J581" s="45">
        <f>VLOOKUP(Table1[[#This Row],[Status]],Auxiliar!$B$16:$C$23,2,0)</f>
        <v>1</v>
      </c>
      <c r="K581" s="3" t="s">
        <v>1138</v>
      </c>
      <c r="L581" s="30" t="s">
        <v>1144</v>
      </c>
      <c r="M581" s="22" t="s">
        <v>1145</v>
      </c>
      <c r="N581" s="53">
        <v>45512</v>
      </c>
      <c r="O581" s="22">
        <f>INDEX(Auxiliar!$D$5:$F$13,MATCH(Table1[[#This Row],[Tipologia_Testes]],Auxiliar!$B$5:$B$13,0),MATCH(Table1[[#This Row],[Complexidade]],Auxiliar!$D$4:$F$4,0))</f>
        <v>2</v>
      </c>
      <c r="P581" s="3"/>
      <c r="Q581" s="3"/>
      <c r="R581" s="173">
        <v>45261</v>
      </c>
      <c r="S581" s="173"/>
      <c r="T581" s="173"/>
      <c r="U581" s="173"/>
      <c r="V581" s="173"/>
      <c r="W581" s="3">
        <f>VLOOKUP(Table1[[#This Row],[Status]],Auxiliar!$B$16:$D$23,3,0)*Table1[[#This Row],[Estimação (horas)]]</f>
        <v>2</v>
      </c>
      <c r="X581" s="3"/>
    </row>
    <row r="582" spans="2:24" ht="17.399999999999999" hidden="1" customHeight="1">
      <c r="B582" s="3" t="s">
        <v>28</v>
      </c>
      <c r="C582" s="3" t="s">
        <v>54</v>
      </c>
      <c r="D582" s="3" t="s">
        <v>38</v>
      </c>
      <c r="E582" s="3" t="s">
        <v>38</v>
      </c>
      <c r="F582" s="3" t="s">
        <v>56</v>
      </c>
      <c r="G582" s="3" t="s">
        <v>72</v>
      </c>
      <c r="H582" s="63" t="str">
        <f>Table1[[#This Row],[Tabela]]&amp;Table1[[#This Row],[Campo]]</f>
        <v>cd_imv_out_trz_cred_prcorigem</v>
      </c>
      <c r="I582" s="3" t="s">
        <v>477</v>
      </c>
      <c r="J582" s="45">
        <f>VLOOKUP(Table1[[#This Row],[Status]],Auxiliar!$B$16:$C$23,2,0)</f>
        <v>1</v>
      </c>
      <c r="K582" s="3" t="s">
        <v>1141</v>
      </c>
      <c r="L582" s="30" t="s">
        <v>1144</v>
      </c>
      <c r="M582" s="22" t="s">
        <v>1145</v>
      </c>
      <c r="N582" s="53">
        <v>45512</v>
      </c>
      <c r="O582" s="22">
        <f>INDEX(Auxiliar!$D$5:$F$13,MATCH(Table1[[#This Row],[Tipologia_Testes]],Auxiliar!$B$5:$B$13,0),MATCH(Table1[[#This Row],[Complexidade]],Auxiliar!$D$4:$F$4,0))</f>
        <v>0.1</v>
      </c>
      <c r="P582" s="3"/>
      <c r="Q582" s="3"/>
      <c r="R582" s="173">
        <v>45261</v>
      </c>
      <c r="S582" s="173"/>
      <c r="T582" s="173"/>
      <c r="U582" s="173"/>
      <c r="V582" s="173"/>
      <c r="W582" s="3">
        <f>VLOOKUP(Table1[[#This Row],[Status]],Auxiliar!$B$16:$D$23,3,0)*Table1[[#This Row],[Estimação (horas)]]</f>
        <v>0.1</v>
      </c>
      <c r="X582" s="3"/>
    </row>
    <row r="583" spans="2:24" ht="17.399999999999999" hidden="1" customHeight="1">
      <c r="B583" s="3" t="s">
        <v>28</v>
      </c>
      <c r="C583" s="3" t="s">
        <v>54</v>
      </c>
      <c r="D583" s="3" t="s">
        <v>38</v>
      </c>
      <c r="E583" s="3" t="s">
        <v>38</v>
      </c>
      <c r="F583" s="3" t="s">
        <v>56</v>
      </c>
      <c r="G583" s="3" t="s">
        <v>73</v>
      </c>
      <c r="H583" s="63" t="str">
        <f>Table1[[#This Row],[Tabela]]&amp;Table1[[#This Row],[Campo]]</f>
        <v>cd_imv_out_trz_cred_prcref_date</v>
      </c>
      <c r="I583" s="3" t="s">
        <v>477</v>
      </c>
      <c r="J583" s="45">
        <f>VLOOKUP(Table1[[#This Row],[Status]],Auxiliar!$B$16:$C$23,2,0)</f>
        <v>1</v>
      </c>
      <c r="K583" s="3" t="s">
        <v>1137</v>
      </c>
      <c r="L583" s="30" t="s">
        <v>1144</v>
      </c>
      <c r="M583" s="22" t="s">
        <v>1145</v>
      </c>
      <c r="N583" s="53">
        <v>45512</v>
      </c>
      <c r="O583" s="22">
        <f>INDEX(Auxiliar!$D$5:$F$13,MATCH(Table1[[#This Row],[Tipologia_Testes]],Auxiliar!$B$5:$B$13,0),MATCH(Table1[[#This Row],[Complexidade]],Auxiliar!$D$4:$F$4,0))</f>
        <v>2</v>
      </c>
      <c r="P583" s="3"/>
      <c r="Q583" s="3"/>
      <c r="R583" s="173">
        <v>45261</v>
      </c>
      <c r="S583" s="173"/>
      <c r="T583" s="173"/>
      <c r="U583" s="173"/>
      <c r="V583" s="173"/>
      <c r="W583" s="3">
        <f>VLOOKUP(Table1[[#This Row],[Status]],Auxiliar!$B$16:$D$23,3,0)*Table1[[#This Row],[Estimação (horas)]]</f>
        <v>2</v>
      </c>
      <c r="X583" s="3"/>
    </row>
    <row r="584" spans="2:24" ht="17.399999999999999" hidden="1" customHeight="1">
      <c r="B584" s="3" t="s">
        <v>28</v>
      </c>
      <c r="C584" s="3" t="s">
        <v>54</v>
      </c>
      <c r="D584" s="3" t="s">
        <v>38</v>
      </c>
      <c r="E584" s="3" t="s">
        <v>38</v>
      </c>
      <c r="F584" s="3" t="s">
        <v>56</v>
      </c>
      <c r="G584" s="3" t="s">
        <v>73</v>
      </c>
      <c r="H584" s="63" t="str">
        <f>Table1[[#This Row],[Tabela]]&amp;Table1[[#This Row],[Campo]]</f>
        <v>cd_imv_out_trz_cred_prcref_date</v>
      </c>
      <c r="I584" s="3" t="s">
        <v>477</v>
      </c>
      <c r="J584" s="45">
        <f>VLOOKUP(Table1[[#This Row],[Status]],Auxiliar!$B$16:$C$23,2,0)</f>
        <v>1</v>
      </c>
      <c r="K584" s="3" t="s">
        <v>1138</v>
      </c>
      <c r="L584" s="30" t="s">
        <v>1144</v>
      </c>
      <c r="M584" s="22" t="s">
        <v>1145</v>
      </c>
      <c r="N584" s="53">
        <v>45512</v>
      </c>
      <c r="O584" s="22">
        <f>INDEX(Auxiliar!$D$5:$F$13,MATCH(Table1[[#This Row],[Tipologia_Testes]],Auxiliar!$B$5:$B$13,0),MATCH(Table1[[#This Row],[Complexidade]],Auxiliar!$D$4:$F$4,0))</f>
        <v>2</v>
      </c>
      <c r="P584" s="3"/>
      <c r="Q584" s="3"/>
      <c r="R584" s="173">
        <v>45261</v>
      </c>
      <c r="S584" s="173"/>
      <c r="T584" s="173"/>
      <c r="U584" s="173"/>
      <c r="V584" s="173"/>
      <c r="W584" s="3">
        <f>VLOOKUP(Table1[[#This Row],[Status]],Auxiliar!$B$16:$D$23,3,0)*Table1[[#This Row],[Estimação (horas)]]</f>
        <v>2</v>
      </c>
      <c r="X584" s="3"/>
    </row>
    <row r="585" spans="2:24" ht="17.399999999999999" hidden="1" customHeight="1">
      <c r="B585" s="3" t="s">
        <v>28</v>
      </c>
      <c r="C585" s="3" t="s">
        <v>54</v>
      </c>
      <c r="D585" s="3" t="s">
        <v>38</v>
      </c>
      <c r="E585" s="3" t="s">
        <v>38</v>
      </c>
      <c r="F585" s="3" t="s">
        <v>56</v>
      </c>
      <c r="G585" s="3" t="s">
        <v>73</v>
      </c>
      <c r="H585" s="63" t="str">
        <f>Table1[[#This Row],[Tabela]]&amp;Table1[[#This Row],[Campo]]</f>
        <v>cd_imv_out_trz_cred_prcref_date</v>
      </c>
      <c r="I585" s="3" t="s">
        <v>477</v>
      </c>
      <c r="J585" s="45">
        <f>VLOOKUP(Table1[[#This Row],[Status]],Auxiliar!$B$16:$C$23,2,0)</f>
        <v>1</v>
      </c>
      <c r="K585" s="3" t="s">
        <v>1141</v>
      </c>
      <c r="L585" s="30" t="s">
        <v>1144</v>
      </c>
      <c r="M585" s="22" t="s">
        <v>1145</v>
      </c>
      <c r="N585" s="53">
        <v>45512</v>
      </c>
      <c r="O585" s="22">
        <f>INDEX(Auxiliar!$D$5:$F$13,MATCH(Table1[[#This Row],[Tipologia_Testes]],Auxiliar!$B$5:$B$13,0),MATCH(Table1[[#This Row],[Complexidade]],Auxiliar!$D$4:$F$4,0))</f>
        <v>0.1</v>
      </c>
      <c r="P585" s="3"/>
      <c r="Q585" s="3"/>
      <c r="R585" s="173">
        <v>45261</v>
      </c>
      <c r="S585" s="173"/>
      <c r="T585" s="173"/>
      <c r="U585" s="173"/>
      <c r="V585" s="173"/>
      <c r="W585" s="3">
        <f>VLOOKUP(Table1[[#This Row],[Status]],Auxiliar!$B$16:$D$23,3,0)*Table1[[#This Row],[Estimação (horas)]]</f>
        <v>0.1</v>
      </c>
      <c r="X585" s="3"/>
    </row>
    <row r="586" spans="2:24" ht="69.599999999999994" hidden="1" customHeight="1">
      <c r="B586" s="3" t="s">
        <v>28</v>
      </c>
      <c r="C586" s="3" t="s">
        <v>54</v>
      </c>
      <c r="D586" s="3" t="s">
        <v>38</v>
      </c>
      <c r="E586" s="3" t="s">
        <v>38</v>
      </c>
      <c r="F586" s="3" t="s">
        <v>86</v>
      </c>
      <c r="G586" s="3" t="s">
        <v>38</v>
      </c>
      <c r="H586" s="63" t="str">
        <f>Table1[[#This Row],[Tabela]]&amp;Table1[[#This Row],[Campo]]</f>
        <v>cd_imv_out_trz_prc_bens_imvn.a.</v>
      </c>
      <c r="I586" s="3" t="s">
        <v>477</v>
      </c>
      <c r="J586" s="45">
        <f>VLOOKUP(Table1[[#This Row],[Status]],Auxiliar!$B$16:$C$23,2,0)</f>
        <v>1</v>
      </c>
      <c r="K586" s="3" t="s">
        <v>1134</v>
      </c>
      <c r="L586" s="3" t="s">
        <v>1135</v>
      </c>
      <c r="M586" s="22" t="s">
        <v>1136</v>
      </c>
      <c r="N586" s="53">
        <v>45485</v>
      </c>
      <c r="O586" s="22">
        <f>INDEX(Auxiliar!$D$5:$F$13,MATCH(Table1[[#This Row],[Tipologia_Testes]],Auxiliar!$B$5:$B$13,0),MATCH(Table1[[#This Row],[Complexidade]],Auxiliar!$D$4:$F$4,0))</f>
        <v>8</v>
      </c>
      <c r="P586" s="24" t="s">
        <v>1179</v>
      </c>
      <c r="Q586" s="3"/>
      <c r="R586" s="173">
        <v>45261</v>
      </c>
      <c r="S586" s="173"/>
      <c r="T586" s="173"/>
      <c r="U586" s="173"/>
      <c r="V586" s="173"/>
      <c r="W586" s="3">
        <f>VLOOKUP(Table1[[#This Row],[Status]],Auxiliar!$B$16:$D$23,3,0)*Table1[[#This Row],[Estimação (horas)]]</f>
        <v>8</v>
      </c>
      <c r="X586" s="3"/>
    </row>
    <row r="587" spans="2:24" ht="17.399999999999999" hidden="1" customHeight="1">
      <c r="B587" s="3" t="s">
        <v>28</v>
      </c>
      <c r="C587" s="3" t="s">
        <v>54</v>
      </c>
      <c r="D587" s="3" t="s">
        <v>38</v>
      </c>
      <c r="E587" s="3" t="s">
        <v>38</v>
      </c>
      <c r="F587" s="3" t="s">
        <v>86</v>
      </c>
      <c r="G587" s="3" t="s">
        <v>41</v>
      </c>
      <c r="H587" s="63" t="str">
        <f>Table1[[#This Row],[Tabela]]&amp;Table1[[#This Row],[Campo]]</f>
        <v>cd_imv_out_trz_prc_bens_imvcempbem</v>
      </c>
      <c r="I587" s="4" t="s">
        <v>477</v>
      </c>
      <c r="J587" s="60">
        <f>VLOOKUP(Table1[[#This Row],[Status]],Auxiliar!$B$16:$C$23,2,0)</f>
        <v>1</v>
      </c>
      <c r="K587" s="3" t="s">
        <v>1137</v>
      </c>
      <c r="L587" s="3" t="s">
        <v>1144</v>
      </c>
      <c r="M587" s="22" t="s">
        <v>1145</v>
      </c>
      <c r="N587" s="53">
        <v>45485</v>
      </c>
      <c r="O587" s="22">
        <f>INDEX(Auxiliar!$D$5:$F$13,MATCH(Table1[[#This Row],[Tipologia_Testes]],Auxiliar!$B$5:$B$13,0),MATCH(Table1[[#This Row],[Complexidade]],Auxiliar!$D$4:$F$4,0))</f>
        <v>2</v>
      </c>
      <c r="P587" s="3" t="s">
        <v>1177</v>
      </c>
      <c r="Q587" s="3" t="s">
        <v>1170</v>
      </c>
      <c r="R587" s="173">
        <v>45261</v>
      </c>
      <c r="S587" s="173"/>
      <c r="T587" s="173"/>
      <c r="U587" s="173"/>
      <c r="V587" s="173"/>
      <c r="W587" s="3">
        <f>VLOOKUP(Table1[[#This Row],[Status]],Auxiliar!$B$16:$D$23,3,0)*Table1[[#This Row],[Estimação (horas)]]</f>
        <v>2</v>
      </c>
      <c r="X587" s="3"/>
    </row>
    <row r="588" spans="2:24" ht="17.399999999999999" hidden="1" customHeight="1">
      <c r="B588" s="3" t="s">
        <v>28</v>
      </c>
      <c r="C588" s="3" t="s">
        <v>54</v>
      </c>
      <c r="D588" s="3" t="s">
        <v>38</v>
      </c>
      <c r="E588" s="3" t="s">
        <v>38</v>
      </c>
      <c r="F588" s="3" t="s">
        <v>86</v>
      </c>
      <c r="G588" s="3" t="s">
        <v>41</v>
      </c>
      <c r="H588" s="63" t="str">
        <f>Table1[[#This Row],[Tabela]]&amp;Table1[[#This Row],[Campo]]</f>
        <v>cd_imv_out_trz_prc_bens_imvcempbem</v>
      </c>
      <c r="I588" s="4" t="s">
        <v>477</v>
      </c>
      <c r="J588" s="60">
        <f>VLOOKUP(Table1[[#This Row],[Status]],Auxiliar!$B$16:$C$23,2,0)</f>
        <v>1</v>
      </c>
      <c r="K588" s="3" t="s">
        <v>1138</v>
      </c>
      <c r="L588" s="3" t="s">
        <v>1144</v>
      </c>
      <c r="M588" s="22" t="s">
        <v>1145</v>
      </c>
      <c r="N588" s="53">
        <v>45485</v>
      </c>
      <c r="O588" s="22">
        <f>INDEX(Auxiliar!$D$5:$F$13,MATCH(Table1[[#This Row],[Tipologia_Testes]],Auxiliar!$B$5:$B$13,0),MATCH(Table1[[#This Row],[Complexidade]],Auxiliar!$D$4:$F$4,0))</f>
        <v>2</v>
      </c>
      <c r="P588" s="3" t="s">
        <v>1177</v>
      </c>
      <c r="Q588" s="3" t="s">
        <v>1170</v>
      </c>
      <c r="R588" s="173">
        <v>45261</v>
      </c>
      <c r="S588" s="173"/>
      <c r="T588" s="173"/>
      <c r="U588" s="173"/>
      <c r="V588" s="173"/>
      <c r="W588" s="3">
        <f>VLOOKUP(Table1[[#This Row],[Status]],Auxiliar!$B$16:$D$23,3,0)*Table1[[#This Row],[Estimação (horas)]]</f>
        <v>2</v>
      </c>
      <c r="X588" s="3"/>
    </row>
    <row r="589" spans="2:24" ht="17.399999999999999" hidden="1" customHeight="1">
      <c r="B589" s="3" t="s">
        <v>28</v>
      </c>
      <c r="C589" s="3" t="s">
        <v>54</v>
      </c>
      <c r="D589" s="3" t="s">
        <v>38</v>
      </c>
      <c r="E589" s="3" t="s">
        <v>38</v>
      </c>
      <c r="F589" s="3" t="s">
        <v>86</v>
      </c>
      <c r="G589" s="3" t="s">
        <v>41</v>
      </c>
      <c r="H589" s="63" t="str">
        <f>Table1[[#This Row],[Tabela]]&amp;Table1[[#This Row],[Campo]]</f>
        <v>cd_imv_out_trz_prc_bens_imvcempbem</v>
      </c>
      <c r="I589" s="4" t="s">
        <v>477</v>
      </c>
      <c r="J589" s="60">
        <f>VLOOKUP(Table1[[#This Row],[Status]],Auxiliar!$B$16:$C$23,2,0)</f>
        <v>1</v>
      </c>
      <c r="K589" s="3" t="s">
        <v>1141</v>
      </c>
      <c r="L589" s="3" t="s">
        <v>1144</v>
      </c>
      <c r="M589" s="22" t="s">
        <v>1145</v>
      </c>
      <c r="N589" s="53">
        <v>45485</v>
      </c>
      <c r="O589" s="22">
        <f>INDEX(Auxiliar!$D$5:$F$13,MATCH(Table1[[#This Row],[Tipologia_Testes]],Auxiliar!$B$5:$B$13,0),MATCH(Table1[[#This Row],[Complexidade]],Auxiliar!$D$4:$F$4,0))</f>
        <v>0.1</v>
      </c>
      <c r="P589" s="3" t="s">
        <v>1177</v>
      </c>
      <c r="Q589" s="3" t="s">
        <v>1170</v>
      </c>
      <c r="R589" s="173">
        <v>45261</v>
      </c>
      <c r="S589" s="173"/>
      <c r="T589" s="173"/>
      <c r="U589" s="173"/>
      <c r="V589" s="173"/>
      <c r="W589" s="3">
        <f>VLOOKUP(Table1[[#This Row],[Status]],Auxiliar!$B$16:$D$23,3,0)*Table1[[#This Row],[Estimação (horas)]]</f>
        <v>0.1</v>
      </c>
      <c r="X589" s="3"/>
    </row>
    <row r="590" spans="2:24" ht="17.399999999999999" hidden="1" customHeight="1">
      <c r="B590" s="3" t="s">
        <v>28</v>
      </c>
      <c r="C590" s="3" t="s">
        <v>54</v>
      </c>
      <c r="D590" s="3" t="s">
        <v>38</v>
      </c>
      <c r="E590" s="3" t="s">
        <v>38</v>
      </c>
      <c r="F590" s="3" t="s">
        <v>86</v>
      </c>
      <c r="G590" s="3" t="s">
        <v>57</v>
      </c>
      <c r="H590" s="63" t="str">
        <f>Table1[[#This Row],[Tabela]]&amp;Table1[[#This Row],[Campo]]</f>
        <v>cd_imv_out_trz_prc_bens_imvcempresa</v>
      </c>
      <c r="I590" s="3" t="s">
        <v>477</v>
      </c>
      <c r="J590" s="45">
        <f>VLOOKUP(Table1[[#This Row],[Status]],Auxiliar!$B$16:$C$23,2,0)</f>
        <v>1</v>
      </c>
      <c r="K590" s="3" t="s">
        <v>1137</v>
      </c>
      <c r="L590" s="30" t="s">
        <v>1135</v>
      </c>
      <c r="M590" s="22" t="s">
        <v>1155</v>
      </c>
      <c r="N590" s="53">
        <v>45499</v>
      </c>
      <c r="O590" s="22">
        <f>INDEX(Auxiliar!$D$5:$F$13,MATCH(Table1[[#This Row],[Tipologia_Testes]],Auxiliar!$B$5:$B$13,0),MATCH(Table1[[#This Row],[Complexidade]],Auxiliar!$D$4:$F$4,0))</f>
        <v>4</v>
      </c>
      <c r="P590" s="3" t="s">
        <v>1177</v>
      </c>
      <c r="Q590" s="3" t="s">
        <v>1170</v>
      </c>
      <c r="R590" s="173">
        <v>45261</v>
      </c>
      <c r="S590" s="173">
        <v>45495</v>
      </c>
      <c r="T590" s="173"/>
      <c r="U590" s="173"/>
      <c r="V590" s="173"/>
      <c r="W590" s="3">
        <f>VLOOKUP(Table1[[#This Row],[Status]],Auxiliar!$B$16:$D$23,3,0)*Table1[[#This Row],[Estimação (horas)]]</f>
        <v>4</v>
      </c>
      <c r="X590" s="3"/>
    </row>
    <row r="591" spans="2:24" ht="17.399999999999999" hidden="1" customHeight="1">
      <c r="B591" s="3" t="s">
        <v>28</v>
      </c>
      <c r="C591" s="3" t="s">
        <v>54</v>
      </c>
      <c r="D591" s="3" t="s">
        <v>38</v>
      </c>
      <c r="E591" s="3" t="s">
        <v>38</v>
      </c>
      <c r="F591" s="3" t="s">
        <v>86</v>
      </c>
      <c r="G591" s="3" t="s">
        <v>57</v>
      </c>
      <c r="H591" s="63" t="str">
        <f>Table1[[#This Row],[Tabela]]&amp;Table1[[#This Row],[Campo]]</f>
        <v>cd_imv_out_trz_prc_bens_imvcempresa</v>
      </c>
      <c r="I591" s="3" t="s">
        <v>477</v>
      </c>
      <c r="J591" s="45">
        <f>VLOOKUP(Table1[[#This Row],[Status]],Auxiliar!$B$16:$C$23,2,0)</f>
        <v>1</v>
      </c>
      <c r="K591" s="3" t="s">
        <v>1138</v>
      </c>
      <c r="L591" s="30" t="s">
        <v>1135</v>
      </c>
      <c r="M591" s="22" t="s">
        <v>1155</v>
      </c>
      <c r="N591" s="53">
        <v>45499</v>
      </c>
      <c r="O591" s="22">
        <f>INDEX(Auxiliar!$D$5:$F$13,MATCH(Table1[[#This Row],[Tipologia_Testes]],Auxiliar!$B$5:$B$13,0),MATCH(Table1[[#This Row],[Complexidade]],Auxiliar!$D$4:$F$4,0))</f>
        <v>4</v>
      </c>
      <c r="P591" s="3" t="s">
        <v>1177</v>
      </c>
      <c r="Q591" s="3" t="s">
        <v>1170</v>
      </c>
      <c r="R591" s="173">
        <v>45261</v>
      </c>
      <c r="S591" s="173">
        <v>45495</v>
      </c>
      <c r="T591" s="173"/>
      <c r="U591" s="173"/>
      <c r="V591" s="173"/>
      <c r="W591" s="3">
        <f>VLOOKUP(Table1[[#This Row],[Status]],Auxiliar!$B$16:$D$23,3,0)*Table1[[#This Row],[Estimação (horas)]]</f>
        <v>4</v>
      </c>
      <c r="X591" s="3"/>
    </row>
    <row r="592" spans="2:24" ht="17.399999999999999" hidden="1" customHeight="1">
      <c r="B592" s="3" t="s">
        <v>28</v>
      </c>
      <c r="C592" s="3" t="s">
        <v>54</v>
      </c>
      <c r="D592" s="3" t="s">
        <v>38</v>
      </c>
      <c r="E592" s="3" t="s">
        <v>38</v>
      </c>
      <c r="F592" s="3" t="s">
        <v>86</v>
      </c>
      <c r="G592" s="3" t="s">
        <v>57</v>
      </c>
      <c r="H592" s="63" t="str">
        <f>Table1[[#This Row],[Tabela]]&amp;Table1[[#This Row],[Campo]]</f>
        <v>cd_imv_out_trz_prc_bens_imvcempresa</v>
      </c>
      <c r="I592" s="3" t="s">
        <v>477</v>
      </c>
      <c r="J592" s="45">
        <f>VLOOKUP(Table1[[#This Row],[Status]],Auxiliar!$B$16:$C$23,2,0)</f>
        <v>1</v>
      </c>
      <c r="K592" s="3" t="s">
        <v>1141</v>
      </c>
      <c r="L592" s="30" t="s">
        <v>1135</v>
      </c>
      <c r="M592" s="22" t="s">
        <v>1155</v>
      </c>
      <c r="N592" s="53">
        <v>45499</v>
      </c>
      <c r="O592" s="22">
        <f>INDEX(Auxiliar!$D$5:$F$13,MATCH(Table1[[#This Row],[Tipologia_Testes]],Auxiliar!$B$5:$B$13,0),MATCH(Table1[[#This Row],[Complexidade]],Auxiliar!$D$4:$F$4,0))</f>
        <v>0.1</v>
      </c>
      <c r="P592" s="3" t="s">
        <v>1177</v>
      </c>
      <c r="Q592" s="3" t="s">
        <v>1170</v>
      </c>
      <c r="R592" s="173">
        <v>45261</v>
      </c>
      <c r="S592" s="173">
        <v>45495</v>
      </c>
      <c r="T592" s="173"/>
      <c r="U592" s="173"/>
      <c r="V592" s="173"/>
      <c r="W592" s="3">
        <f>VLOOKUP(Table1[[#This Row],[Status]],Auxiliar!$B$16:$D$23,3,0)*Table1[[#This Row],[Estimação (horas)]]</f>
        <v>0.1</v>
      </c>
      <c r="X592" s="3"/>
    </row>
    <row r="593" spans="2:24" ht="17.399999999999999" hidden="1" customHeight="1">
      <c r="B593" s="3" t="s">
        <v>28</v>
      </c>
      <c r="C593" s="3" t="s">
        <v>54</v>
      </c>
      <c r="D593" s="3" t="s">
        <v>38</v>
      </c>
      <c r="E593" s="3" t="s">
        <v>38</v>
      </c>
      <c r="F593" s="3" t="s">
        <v>86</v>
      </c>
      <c r="G593" s="3" t="s">
        <v>43</v>
      </c>
      <c r="H593" s="63" t="str">
        <f>Table1[[#This Row],[Tabela]]&amp;Table1[[#This Row],[Campo]]</f>
        <v>cd_imv_out_trz_prc_bens_imvckbalbem</v>
      </c>
      <c r="I593" s="3" t="s">
        <v>477</v>
      </c>
      <c r="J593" s="45">
        <f>VLOOKUP(Table1[[#This Row],[Status]],Auxiliar!$B$16:$C$23,2,0)</f>
        <v>1</v>
      </c>
      <c r="K593" s="3" t="s">
        <v>1137</v>
      </c>
      <c r="L593" s="30" t="s">
        <v>1135</v>
      </c>
      <c r="M593" s="22" t="s">
        <v>1155</v>
      </c>
      <c r="N593" s="53">
        <v>45499</v>
      </c>
      <c r="O593" s="22">
        <f>INDEX(Auxiliar!$D$5:$F$13,MATCH(Table1[[#This Row],[Tipologia_Testes]],Auxiliar!$B$5:$B$13,0),MATCH(Table1[[#This Row],[Complexidade]],Auxiliar!$D$4:$F$4,0))</f>
        <v>4</v>
      </c>
      <c r="P593" s="3" t="s">
        <v>1177</v>
      </c>
      <c r="Q593" s="3" t="s">
        <v>1170</v>
      </c>
      <c r="R593" s="173">
        <v>45261</v>
      </c>
      <c r="S593" s="173">
        <v>45495</v>
      </c>
      <c r="T593" s="173"/>
      <c r="U593" s="173"/>
      <c r="V593" s="173"/>
      <c r="W593" s="3">
        <f>VLOOKUP(Table1[[#This Row],[Status]],Auxiliar!$B$16:$D$23,3,0)*Table1[[#This Row],[Estimação (horas)]]</f>
        <v>4</v>
      </c>
      <c r="X593" s="3"/>
    </row>
    <row r="594" spans="2:24" ht="17.399999999999999" hidden="1" customHeight="1">
      <c r="B594" s="3" t="s">
        <v>28</v>
      </c>
      <c r="C594" s="3" t="s">
        <v>54</v>
      </c>
      <c r="D594" s="3" t="s">
        <v>38</v>
      </c>
      <c r="E594" s="3" t="s">
        <v>38</v>
      </c>
      <c r="F594" s="3" t="s">
        <v>86</v>
      </c>
      <c r="G594" s="3" t="s">
        <v>43</v>
      </c>
      <c r="H594" s="63" t="str">
        <f>Table1[[#This Row],[Tabela]]&amp;Table1[[#This Row],[Campo]]</f>
        <v>cd_imv_out_trz_prc_bens_imvckbalbem</v>
      </c>
      <c r="I594" s="3" t="s">
        <v>477</v>
      </c>
      <c r="J594" s="45">
        <f>VLOOKUP(Table1[[#This Row],[Status]],Auxiliar!$B$16:$C$23,2,0)</f>
        <v>1</v>
      </c>
      <c r="K594" s="3" t="s">
        <v>1138</v>
      </c>
      <c r="L594" s="30" t="s">
        <v>1135</v>
      </c>
      <c r="M594" s="22" t="s">
        <v>1155</v>
      </c>
      <c r="N594" s="53">
        <v>45499</v>
      </c>
      <c r="O594" s="22">
        <f>INDEX(Auxiliar!$D$5:$F$13,MATCH(Table1[[#This Row],[Tipologia_Testes]],Auxiliar!$B$5:$B$13,0),MATCH(Table1[[#This Row],[Complexidade]],Auxiliar!$D$4:$F$4,0))</f>
        <v>4</v>
      </c>
      <c r="P594" s="3" t="s">
        <v>1177</v>
      </c>
      <c r="Q594" s="3" t="s">
        <v>1170</v>
      </c>
      <c r="R594" s="173">
        <v>45261</v>
      </c>
      <c r="S594" s="173">
        <v>45495</v>
      </c>
      <c r="T594" s="173"/>
      <c r="U594" s="173"/>
      <c r="V594" s="173"/>
      <c r="W594" s="3">
        <f>VLOOKUP(Table1[[#This Row],[Status]],Auxiliar!$B$16:$D$23,3,0)*Table1[[#This Row],[Estimação (horas)]]</f>
        <v>4</v>
      </c>
      <c r="X594" s="3"/>
    </row>
    <row r="595" spans="2:24" ht="17.399999999999999" hidden="1" customHeight="1">
      <c r="B595" s="3" t="s">
        <v>28</v>
      </c>
      <c r="C595" s="3" t="s">
        <v>54</v>
      </c>
      <c r="D595" s="3" t="s">
        <v>38</v>
      </c>
      <c r="E595" s="3" t="s">
        <v>38</v>
      </c>
      <c r="F595" s="3" t="s">
        <v>86</v>
      </c>
      <c r="G595" s="3" t="s">
        <v>43</v>
      </c>
      <c r="H595" s="63" t="str">
        <f>Table1[[#This Row],[Tabela]]&amp;Table1[[#This Row],[Campo]]</f>
        <v>cd_imv_out_trz_prc_bens_imvckbalbem</v>
      </c>
      <c r="I595" s="3" t="s">
        <v>477</v>
      </c>
      <c r="J595" s="45">
        <f>VLOOKUP(Table1[[#This Row],[Status]],Auxiliar!$B$16:$C$23,2,0)</f>
        <v>1</v>
      </c>
      <c r="K595" s="3" t="s">
        <v>1141</v>
      </c>
      <c r="L595" s="30" t="s">
        <v>1135</v>
      </c>
      <c r="M595" s="22" t="s">
        <v>1155</v>
      </c>
      <c r="N595" s="53">
        <v>45499</v>
      </c>
      <c r="O595" s="22">
        <f>INDEX(Auxiliar!$D$5:$F$13,MATCH(Table1[[#This Row],[Tipologia_Testes]],Auxiliar!$B$5:$B$13,0),MATCH(Table1[[#This Row],[Complexidade]],Auxiliar!$D$4:$F$4,0))</f>
        <v>0.1</v>
      </c>
      <c r="P595" s="3" t="s">
        <v>1177</v>
      </c>
      <c r="Q595" s="3" t="s">
        <v>1170</v>
      </c>
      <c r="R595" s="173">
        <v>45261</v>
      </c>
      <c r="S595" s="173">
        <v>45495</v>
      </c>
      <c r="T595" s="173"/>
      <c r="U595" s="173"/>
      <c r="V595" s="173"/>
      <c r="W595" s="3">
        <f>VLOOKUP(Table1[[#This Row],[Status]],Auxiliar!$B$16:$D$23,3,0)*Table1[[#This Row],[Estimação (horas)]]</f>
        <v>0.1</v>
      </c>
      <c r="X595" s="3"/>
    </row>
    <row r="596" spans="2:24" ht="17.399999999999999" hidden="1" customHeight="1">
      <c r="B596" s="3" t="s">
        <v>28</v>
      </c>
      <c r="C596" s="3" t="s">
        <v>54</v>
      </c>
      <c r="D596" s="3" t="s">
        <v>38</v>
      </c>
      <c r="E596" s="3" t="s">
        <v>38</v>
      </c>
      <c r="F596" s="3" t="s">
        <v>86</v>
      </c>
      <c r="G596" s="3" t="s">
        <v>58</v>
      </c>
      <c r="H596" s="63" t="str">
        <f>Table1[[#This Row],[Tabela]]&amp;Table1[[#This Row],[Campo]]</f>
        <v>cd_imv_out_trz_prc_bens_imvckbalcao</v>
      </c>
      <c r="I596" s="3" t="s">
        <v>477</v>
      </c>
      <c r="J596" s="45">
        <f>VLOOKUP(Table1[[#This Row],[Status]],Auxiliar!$B$16:$C$23,2,0)</f>
        <v>1</v>
      </c>
      <c r="K596" s="3" t="s">
        <v>1137</v>
      </c>
      <c r="L596" s="30" t="s">
        <v>1135</v>
      </c>
      <c r="M596" s="22" t="s">
        <v>1155</v>
      </c>
      <c r="N596" s="53">
        <v>45499</v>
      </c>
      <c r="O596" s="22">
        <f>INDEX(Auxiliar!$D$5:$F$13,MATCH(Table1[[#This Row],[Tipologia_Testes]],Auxiliar!$B$5:$B$13,0),MATCH(Table1[[#This Row],[Complexidade]],Auxiliar!$D$4:$F$4,0))</f>
        <v>4</v>
      </c>
      <c r="P596" s="3" t="s">
        <v>1177</v>
      </c>
      <c r="Q596" s="3" t="s">
        <v>1170</v>
      </c>
      <c r="R596" s="173">
        <v>45261</v>
      </c>
      <c r="S596" s="173">
        <v>45495</v>
      </c>
      <c r="T596" s="173"/>
      <c r="U596" s="173"/>
      <c r="V596" s="173"/>
      <c r="W596" s="3">
        <f>VLOOKUP(Table1[[#This Row],[Status]],Auxiliar!$B$16:$D$23,3,0)*Table1[[#This Row],[Estimação (horas)]]</f>
        <v>4</v>
      </c>
      <c r="X596" s="3"/>
    </row>
    <row r="597" spans="2:24" ht="17.399999999999999" hidden="1" customHeight="1">
      <c r="B597" s="3" t="s">
        <v>28</v>
      </c>
      <c r="C597" s="3" t="s">
        <v>54</v>
      </c>
      <c r="D597" s="3" t="s">
        <v>38</v>
      </c>
      <c r="E597" s="3" t="s">
        <v>38</v>
      </c>
      <c r="F597" s="3" t="s">
        <v>86</v>
      </c>
      <c r="G597" s="3" t="s">
        <v>58</v>
      </c>
      <c r="H597" s="63" t="str">
        <f>Table1[[#This Row],[Tabela]]&amp;Table1[[#This Row],[Campo]]</f>
        <v>cd_imv_out_trz_prc_bens_imvckbalcao</v>
      </c>
      <c r="I597" s="3" t="s">
        <v>477</v>
      </c>
      <c r="J597" s="45">
        <f>VLOOKUP(Table1[[#This Row],[Status]],Auxiliar!$B$16:$C$23,2,0)</f>
        <v>1</v>
      </c>
      <c r="K597" s="3" t="s">
        <v>1138</v>
      </c>
      <c r="L597" s="30" t="s">
        <v>1135</v>
      </c>
      <c r="M597" s="22" t="s">
        <v>1155</v>
      </c>
      <c r="N597" s="53">
        <v>45499</v>
      </c>
      <c r="O597" s="22">
        <f>INDEX(Auxiliar!$D$5:$F$13,MATCH(Table1[[#This Row],[Tipologia_Testes]],Auxiliar!$B$5:$B$13,0),MATCH(Table1[[#This Row],[Complexidade]],Auxiliar!$D$4:$F$4,0))</f>
        <v>4</v>
      </c>
      <c r="P597" s="3" t="s">
        <v>1177</v>
      </c>
      <c r="Q597" s="3" t="s">
        <v>1170</v>
      </c>
      <c r="R597" s="173">
        <v>45261</v>
      </c>
      <c r="S597" s="173">
        <v>45495</v>
      </c>
      <c r="T597" s="173"/>
      <c r="U597" s="173"/>
      <c r="V597" s="173"/>
      <c r="W597" s="3">
        <f>VLOOKUP(Table1[[#This Row],[Status]],Auxiliar!$B$16:$D$23,3,0)*Table1[[#This Row],[Estimação (horas)]]</f>
        <v>4</v>
      </c>
      <c r="X597" s="3"/>
    </row>
    <row r="598" spans="2:24" ht="17.399999999999999" hidden="1" customHeight="1">
      <c r="B598" s="3" t="s">
        <v>28</v>
      </c>
      <c r="C598" s="3" t="s">
        <v>54</v>
      </c>
      <c r="D598" s="3" t="s">
        <v>38</v>
      </c>
      <c r="E598" s="3" t="s">
        <v>38</v>
      </c>
      <c r="F598" s="3" t="s">
        <v>86</v>
      </c>
      <c r="G598" s="3" t="s">
        <v>58</v>
      </c>
      <c r="H598" s="63" t="str">
        <f>Table1[[#This Row],[Tabela]]&amp;Table1[[#This Row],[Campo]]</f>
        <v>cd_imv_out_trz_prc_bens_imvckbalcao</v>
      </c>
      <c r="I598" s="3" t="s">
        <v>477</v>
      </c>
      <c r="J598" s="45">
        <f>VLOOKUP(Table1[[#This Row],[Status]],Auxiliar!$B$16:$C$23,2,0)</f>
        <v>1</v>
      </c>
      <c r="K598" s="3" t="s">
        <v>1141</v>
      </c>
      <c r="L598" s="30" t="s">
        <v>1135</v>
      </c>
      <c r="M598" s="22" t="s">
        <v>1155</v>
      </c>
      <c r="N598" s="53">
        <v>45499</v>
      </c>
      <c r="O598" s="22">
        <f>INDEX(Auxiliar!$D$5:$F$13,MATCH(Table1[[#This Row],[Tipologia_Testes]],Auxiliar!$B$5:$B$13,0),MATCH(Table1[[#This Row],[Complexidade]],Auxiliar!$D$4:$F$4,0))</f>
        <v>0.1</v>
      </c>
      <c r="P598" s="3" t="s">
        <v>1177</v>
      </c>
      <c r="Q598" s="3" t="s">
        <v>1170</v>
      </c>
      <c r="R598" s="173">
        <v>45261</v>
      </c>
      <c r="S598" s="173">
        <v>45495</v>
      </c>
      <c r="T598" s="173"/>
      <c r="U598" s="173"/>
      <c r="V598" s="173"/>
      <c r="W598" s="3">
        <f>VLOOKUP(Table1[[#This Row],[Status]],Auxiliar!$B$16:$D$23,3,0)*Table1[[#This Row],[Estimação (horas)]]</f>
        <v>0.1</v>
      </c>
      <c r="X598" s="3"/>
    </row>
    <row r="599" spans="2:24" ht="17.399999999999999" hidden="1" customHeight="1">
      <c r="B599" s="3" t="s">
        <v>28</v>
      </c>
      <c r="C599" s="3" t="s">
        <v>54</v>
      </c>
      <c r="D599" s="3" t="s">
        <v>38</v>
      </c>
      <c r="E599" s="3" t="s">
        <v>38</v>
      </c>
      <c r="F599" s="3" t="s">
        <v>86</v>
      </c>
      <c r="G599" s="3" t="s">
        <v>44</v>
      </c>
      <c r="H599" s="63" t="str">
        <f>Table1[[#This Row],[Tabela]]&amp;Table1[[#This Row],[Campo]]</f>
        <v>cd_imv_out_trz_prc_bens_imvckctabem</v>
      </c>
      <c r="I599" s="3" t="s">
        <v>477</v>
      </c>
      <c r="J599" s="45">
        <f>VLOOKUP(Table1[[#This Row],[Status]],Auxiliar!$B$16:$C$23,2,0)</f>
        <v>1</v>
      </c>
      <c r="K599" s="3" t="s">
        <v>1137</v>
      </c>
      <c r="L599" s="30" t="s">
        <v>1135</v>
      </c>
      <c r="M599" s="22" t="s">
        <v>1155</v>
      </c>
      <c r="N599" s="53">
        <v>45499</v>
      </c>
      <c r="O599" s="22">
        <f>INDEX(Auxiliar!$D$5:$F$13,MATCH(Table1[[#This Row],[Tipologia_Testes]],Auxiliar!$B$5:$B$13,0),MATCH(Table1[[#This Row],[Complexidade]],Auxiliar!$D$4:$F$4,0))</f>
        <v>4</v>
      </c>
      <c r="P599" s="3" t="s">
        <v>1177</v>
      </c>
      <c r="Q599" s="3" t="s">
        <v>1170</v>
      </c>
      <c r="R599" s="173">
        <v>45261</v>
      </c>
      <c r="S599" s="173">
        <v>45495</v>
      </c>
      <c r="T599" s="173"/>
      <c r="U599" s="173"/>
      <c r="V599" s="173"/>
      <c r="W599" s="3">
        <f>VLOOKUP(Table1[[#This Row],[Status]],Auxiliar!$B$16:$D$23,3,0)*Table1[[#This Row],[Estimação (horas)]]</f>
        <v>4</v>
      </c>
      <c r="X599" s="3"/>
    </row>
    <row r="600" spans="2:24" ht="17.399999999999999" hidden="1" customHeight="1">
      <c r="B600" s="3" t="s">
        <v>28</v>
      </c>
      <c r="C600" s="3" t="s">
        <v>54</v>
      </c>
      <c r="D600" s="3" t="s">
        <v>38</v>
      </c>
      <c r="E600" s="3" t="s">
        <v>38</v>
      </c>
      <c r="F600" s="3" t="s">
        <v>86</v>
      </c>
      <c r="G600" s="3" t="s">
        <v>44</v>
      </c>
      <c r="H600" s="63" t="str">
        <f>Table1[[#This Row],[Tabela]]&amp;Table1[[#This Row],[Campo]]</f>
        <v>cd_imv_out_trz_prc_bens_imvckctabem</v>
      </c>
      <c r="I600" s="3" t="s">
        <v>477</v>
      </c>
      <c r="J600" s="45">
        <f>VLOOKUP(Table1[[#This Row],[Status]],Auxiliar!$B$16:$C$23,2,0)</f>
        <v>1</v>
      </c>
      <c r="K600" s="3" t="s">
        <v>1138</v>
      </c>
      <c r="L600" s="30" t="s">
        <v>1135</v>
      </c>
      <c r="M600" s="22" t="s">
        <v>1155</v>
      </c>
      <c r="N600" s="53">
        <v>45499</v>
      </c>
      <c r="O600" s="22">
        <f>INDEX(Auxiliar!$D$5:$F$13,MATCH(Table1[[#This Row],[Tipologia_Testes]],Auxiliar!$B$5:$B$13,0),MATCH(Table1[[#This Row],[Complexidade]],Auxiliar!$D$4:$F$4,0))</f>
        <v>4</v>
      </c>
      <c r="P600" s="3" t="s">
        <v>1177</v>
      </c>
      <c r="Q600" s="3" t="s">
        <v>1170</v>
      </c>
      <c r="R600" s="173">
        <v>45261</v>
      </c>
      <c r="S600" s="173">
        <v>45495</v>
      </c>
      <c r="T600" s="173"/>
      <c r="U600" s="173"/>
      <c r="V600" s="173"/>
      <c r="W600" s="3">
        <f>VLOOKUP(Table1[[#This Row],[Status]],Auxiliar!$B$16:$D$23,3,0)*Table1[[#This Row],[Estimação (horas)]]</f>
        <v>4</v>
      </c>
      <c r="X600" s="3"/>
    </row>
    <row r="601" spans="2:24" ht="17.399999999999999" hidden="1" customHeight="1">
      <c r="B601" s="3" t="s">
        <v>28</v>
      </c>
      <c r="C601" s="3" t="s">
        <v>54</v>
      </c>
      <c r="D601" s="3" t="s">
        <v>38</v>
      </c>
      <c r="E601" s="3" t="s">
        <v>38</v>
      </c>
      <c r="F601" s="3" t="s">
        <v>86</v>
      </c>
      <c r="G601" s="3" t="s">
        <v>44</v>
      </c>
      <c r="H601" s="63" t="str">
        <f>Table1[[#This Row],[Tabela]]&amp;Table1[[#This Row],[Campo]]</f>
        <v>cd_imv_out_trz_prc_bens_imvckctabem</v>
      </c>
      <c r="I601" s="3" t="s">
        <v>477</v>
      </c>
      <c r="J601" s="45">
        <f>VLOOKUP(Table1[[#This Row],[Status]],Auxiliar!$B$16:$C$23,2,0)</f>
        <v>1</v>
      </c>
      <c r="K601" s="3" t="s">
        <v>1141</v>
      </c>
      <c r="L601" s="30" t="s">
        <v>1135</v>
      </c>
      <c r="M601" s="22" t="s">
        <v>1155</v>
      </c>
      <c r="N601" s="53">
        <v>45499</v>
      </c>
      <c r="O601" s="22">
        <f>INDEX(Auxiliar!$D$5:$F$13,MATCH(Table1[[#This Row],[Tipologia_Testes]],Auxiliar!$B$5:$B$13,0),MATCH(Table1[[#This Row],[Complexidade]],Auxiliar!$D$4:$F$4,0))</f>
        <v>0.1</v>
      </c>
      <c r="P601" s="3" t="s">
        <v>1177</v>
      </c>
      <c r="Q601" s="3" t="s">
        <v>1170</v>
      </c>
      <c r="R601" s="173">
        <v>45261</v>
      </c>
      <c r="S601" s="173">
        <v>45495</v>
      </c>
      <c r="T601" s="173"/>
      <c r="U601" s="173"/>
      <c r="V601" s="173"/>
      <c r="W601" s="3">
        <f>VLOOKUP(Table1[[#This Row],[Status]],Auxiliar!$B$16:$D$23,3,0)*Table1[[#This Row],[Estimação (horas)]]</f>
        <v>0.1</v>
      </c>
      <c r="X601" s="3"/>
    </row>
    <row r="602" spans="2:24" ht="17.399999999999999" hidden="1" customHeight="1">
      <c r="B602" s="3" t="s">
        <v>28</v>
      </c>
      <c r="C602" s="3" t="s">
        <v>54</v>
      </c>
      <c r="D602" s="3" t="s">
        <v>38</v>
      </c>
      <c r="E602" s="3" t="s">
        <v>38</v>
      </c>
      <c r="F602" s="3" t="s">
        <v>86</v>
      </c>
      <c r="G602" s="3" t="s">
        <v>59</v>
      </c>
      <c r="H602" s="63" t="str">
        <f>Table1[[#This Row],[Tabela]]&amp;Table1[[#This Row],[Campo]]</f>
        <v>cd_imv_out_trz_prc_bens_imvcknumcta</v>
      </c>
      <c r="I602" s="3" t="s">
        <v>477</v>
      </c>
      <c r="J602" s="45">
        <f>VLOOKUP(Table1[[#This Row],[Status]],Auxiliar!$B$16:$C$23,2,0)</f>
        <v>1</v>
      </c>
      <c r="K602" s="3" t="s">
        <v>1137</v>
      </c>
      <c r="L602" s="30" t="s">
        <v>1135</v>
      </c>
      <c r="M602" s="22" t="s">
        <v>1155</v>
      </c>
      <c r="N602" s="53">
        <v>45499</v>
      </c>
      <c r="O602" s="22">
        <f>INDEX(Auxiliar!$D$5:$F$13,MATCH(Table1[[#This Row],[Tipologia_Testes]],Auxiliar!$B$5:$B$13,0),MATCH(Table1[[#This Row],[Complexidade]],Auxiliar!$D$4:$F$4,0))</f>
        <v>4</v>
      </c>
      <c r="P602" s="3" t="s">
        <v>1177</v>
      </c>
      <c r="Q602" s="3" t="s">
        <v>1170</v>
      </c>
      <c r="R602" s="173">
        <v>45261</v>
      </c>
      <c r="S602" s="173">
        <v>45495</v>
      </c>
      <c r="T602" s="173"/>
      <c r="U602" s="173"/>
      <c r="V602" s="173"/>
      <c r="W602" s="3">
        <f>VLOOKUP(Table1[[#This Row],[Status]],Auxiliar!$B$16:$D$23,3,0)*Table1[[#This Row],[Estimação (horas)]]</f>
        <v>4</v>
      </c>
      <c r="X602" s="3"/>
    </row>
    <row r="603" spans="2:24" ht="17.399999999999999" hidden="1" customHeight="1">
      <c r="B603" s="3" t="s">
        <v>28</v>
      </c>
      <c r="C603" s="3" t="s">
        <v>54</v>
      </c>
      <c r="D603" s="3" t="s">
        <v>38</v>
      </c>
      <c r="E603" s="3" t="s">
        <v>38</v>
      </c>
      <c r="F603" s="3" t="s">
        <v>86</v>
      </c>
      <c r="G603" s="3" t="s">
        <v>59</v>
      </c>
      <c r="H603" s="63" t="str">
        <f>Table1[[#This Row],[Tabela]]&amp;Table1[[#This Row],[Campo]]</f>
        <v>cd_imv_out_trz_prc_bens_imvcknumcta</v>
      </c>
      <c r="I603" s="3" t="s">
        <v>477</v>
      </c>
      <c r="J603" s="45">
        <f>VLOOKUP(Table1[[#This Row],[Status]],Auxiliar!$B$16:$C$23,2,0)</f>
        <v>1</v>
      </c>
      <c r="K603" s="3" t="s">
        <v>1138</v>
      </c>
      <c r="L603" s="30" t="s">
        <v>1135</v>
      </c>
      <c r="M603" s="22" t="s">
        <v>1155</v>
      </c>
      <c r="N603" s="53">
        <v>45499</v>
      </c>
      <c r="O603" s="22">
        <f>INDEX(Auxiliar!$D$5:$F$13,MATCH(Table1[[#This Row],[Tipologia_Testes]],Auxiliar!$B$5:$B$13,0),MATCH(Table1[[#This Row],[Complexidade]],Auxiliar!$D$4:$F$4,0))</f>
        <v>4</v>
      </c>
      <c r="P603" s="3" t="s">
        <v>1177</v>
      </c>
      <c r="Q603" s="3" t="s">
        <v>1170</v>
      </c>
      <c r="R603" s="173">
        <v>45261</v>
      </c>
      <c r="S603" s="173">
        <v>45495</v>
      </c>
      <c r="T603" s="173"/>
      <c r="U603" s="173"/>
      <c r="V603" s="173"/>
      <c r="W603" s="3">
        <f>VLOOKUP(Table1[[#This Row],[Status]],Auxiliar!$B$16:$D$23,3,0)*Table1[[#This Row],[Estimação (horas)]]</f>
        <v>4</v>
      </c>
      <c r="X603" s="3"/>
    </row>
    <row r="604" spans="2:24" ht="17.399999999999999" hidden="1" customHeight="1">
      <c r="B604" s="3" t="s">
        <v>28</v>
      </c>
      <c r="C604" s="3" t="s">
        <v>54</v>
      </c>
      <c r="D604" s="3" t="s">
        <v>38</v>
      </c>
      <c r="E604" s="3" t="s">
        <v>38</v>
      </c>
      <c r="F604" s="3" t="s">
        <v>86</v>
      </c>
      <c r="G604" s="3" t="s">
        <v>59</v>
      </c>
      <c r="H604" s="63" t="str">
        <f>Table1[[#This Row],[Tabela]]&amp;Table1[[#This Row],[Campo]]</f>
        <v>cd_imv_out_trz_prc_bens_imvcknumcta</v>
      </c>
      <c r="I604" s="3" t="s">
        <v>477</v>
      </c>
      <c r="J604" s="45">
        <f>VLOOKUP(Table1[[#This Row],[Status]],Auxiliar!$B$16:$C$23,2,0)</f>
        <v>1</v>
      </c>
      <c r="K604" s="3" t="s">
        <v>1141</v>
      </c>
      <c r="L604" s="30" t="s">
        <v>1135</v>
      </c>
      <c r="M604" s="22" t="s">
        <v>1155</v>
      </c>
      <c r="N604" s="53">
        <v>45499</v>
      </c>
      <c r="O604" s="22">
        <f>INDEX(Auxiliar!$D$5:$F$13,MATCH(Table1[[#This Row],[Tipologia_Testes]],Auxiliar!$B$5:$B$13,0),MATCH(Table1[[#This Row],[Complexidade]],Auxiliar!$D$4:$F$4,0))</f>
        <v>0.1</v>
      </c>
      <c r="P604" s="3" t="s">
        <v>1177</v>
      </c>
      <c r="Q604" s="3" t="s">
        <v>1170</v>
      </c>
      <c r="R604" s="173">
        <v>45261</v>
      </c>
      <c r="S604" s="173">
        <v>45495</v>
      </c>
      <c r="T604" s="173"/>
      <c r="U604" s="173"/>
      <c r="V604" s="173"/>
      <c r="W604" s="3">
        <f>VLOOKUP(Table1[[#This Row],[Status]],Auxiliar!$B$16:$D$23,3,0)*Table1[[#This Row],[Estimação (horas)]]</f>
        <v>0.1</v>
      </c>
      <c r="X604" s="3"/>
    </row>
    <row r="605" spans="2:24" ht="17.399999999999999" hidden="1" customHeight="1">
      <c r="B605" s="3" t="s">
        <v>28</v>
      </c>
      <c r="C605" s="3" t="s">
        <v>54</v>
      </c>
      <c r="D605" s="3" t="s">
        <v>38</v>
      </c>
      <c r="E605" s="3" t="s">
        <v>38</v>
      </c>
      <c r="F605" s="3" t="s">
        <v>86</v>
      </c>
      <c r="G605" s="3" t="s">
        <v>45</v>
      </c>
      <c r="H605" s="63" t="str">
        <f>Table1[[#This Row],[Tabela]]&amp;Table1[[#This Row],[Campo]]</f>
        <v>cd_imv_out_trz_prc_bens_imvckrefbem</v>
      </c>
      <c r="I605" s="4" t="s">
        <v>477</v>
      </c>
      <c r="J605" s="60">
        <f>VLOOKUP(Table1[[#This Row],[Status]],Auxiliar!$B$16:$C$23,2,0)</f>
        <v>1</v>
      </c>
      <c r="K605" s="3" t="s">
        <v>1137</v>
      </c>
      <c r="L605" s="3" t="s">
        <v>1144</v>
      </c>
      <c r="M605" s="22" t="s">
        <v>1145</v>
      </c>
      <c r="N605" s="53">
        <v>45485</v>
      </c>
      <c r="O605" s="22">
        <f>INDEX(Auxiliar!$D$5:$F$13,MATCH(Table1[[#This Row],[Tipologia_Testes]],Auxiliar!$B$5:$B$13,0),MATCH(Table1[[#This Row],[Complexidade]],Auxiliar!$D$4:$F$4,0))</f>
        <v>2</v>
      </c>
      <c r="P605" s="3" t="s">
        <v>1177</v>
      </c>
      <c r="Q605" s="3" t="s">
        <v>1170</v>
      </c>
      <c r="R605" s="173">
        <v>45261</v>
      </c>
      <c r="S605" s="173"/>
      <c r="T605" s="173"/>
      <c r="U605" s="173"/>
      <c r="V605" s="173"/>
      <c r="W605" s="3">
        <f>VLOOKUP(Table1[[#This Row],[Status]],Auxiliar!$B$16:$D$23,3,0)*Table1[[#This Row],[Estimação (horas)]]</f>
        <v>2</v>
      </c>
      <c r="X605" s="3"/>
    </row>
    <row r="606" spans="2:24" ht="17.399999999999999" hidden="1" customHeight="1">
      <c r="B606" s="3" t="s">
        <v>28</v>
      </c>
      <c r="C606" s="3" t="s">
        <v>54</v>
      </c>
      <c r="D606" s="3" t="s">
        <v>38</v>
      </c>
      <c r="E606" s="3" t="s">
        <v>38</v>
      </c>
      <c r="F606" s="3" t="s">
        <v>86</v>
      </c>
      <c r="G606" s="3" t="s">
        <v>45</v>
      </c>
      <c r="H606" s="63" t="str">
        <f>Table1[[#This Row],[Tabela]]&amp;Table1[[#This Row],[Campo]]</f>
        <v>cd_imv_out_trz_prc_bens_imvckrefbem</v>
      </c>
      <c r="I606" s="4" t="s">
        <v>477</v>
      </c>
      <c r="J606" s="60">
        <f>VLOOKUP(Table1[[#This Row],[Status]],Auxiliar!$B$16:$C$23,2,0)</f>
        <v>1</v>
      </c>
      <c r="K606" s="3" t="s">
        <v>1138</v>
      </c>
      <c r="L606" s="3" t="s">
        <v>1144</v>
      </c>
      <c r="M606" s="22" t="s">
        <v>1145</v>
      </c>
      <c r="N606" s="53">
        <v>45485</v>
      </c>
      <c r="O606" s="22">
        <f>INDEX(Auxiliar!$D$5:$F$13,MATCH(Table1[[#This Row],[Tipologia_Testes]],Auxiliar!$B$5:$B$13,0),MATCH(Table1[[#This Row],[Complexidade]],Auxiliar!$D$4:$F$4,0))</f>
        <v>2</v>
      </c>
      <c r="P606" s="3" t="s">
        <v>1177</v>
      </c>
      <c r="Q606" s="3" t="s">
        <v>1170</v>
      </c>
      <c r="R606" s="173">
        <v>45261</v>
      </c>
      <c r="S606" s="173"/>
      <c r="T606" s="173"/>
      <c r="U606" s="173"/>
      <c r="V606" s="173"/>
      <c r="W606" s="3">
        <f>VLOOKUP(Table1[[#This Row],[Status]],Auxiliar!$B$16:$D$23,3,0)*Table1[[#This Row],[Estimação (horas)]]</f>
        <v>2</v>
      </c>
      <c r="X606" s="3"/>
    </row>
    <row r="607" spans="2:24" ht="17.399999999999999" hidden="1" customHeight="1">
      <c r="B607" s="3" t="s">
        <v>28</v>
      </c>
      <c r="C607" s="3" t="s">
        <v>54</v>
      </c>
      <c r="D607" s="3" t="s">
        <v>38</v>
      </c>
      <c r="E607" s="3" t="s">
        <v>38</v>
      </c>
      <c r="F607" s="3" t="s">
        <v>86</v>
      </c>
      <c r="G607" s="3" t="s">
        <v>45</v>
      </c>
      <c r="H607" s="63" t="str">
        <f>Table1[[#This Row],[Tabela]]&amp;Table1[[#This Row],[Campo]]</f>
        <v>cd_imv_out_trz_prc_bens_imvckrefbem</v>
      </c>
      <c r="I607" s="4" t="s">
        <v>477</v>
      </c>
      <c r="J607" s="60">
        <f>VLOOKUP(Table1[[#This Row],[Status]],Auxiliar!$B$16:$C$23,2,0)</f>
        <v>1</v>
      </c>
      <c r="K607" s="3" t="s">
        <v>1141</v>
      </c>
      <c r="L607" s="3" t="s">
        <v>1144</v>
      </c>
      <c r="M607" s="22" t="s">
        <v>1145</v>
      </c>
      <c r="N607" s="53">
        <v>45485</v>
      </c>
      <c r="O607" s="22">
        <f>INDEX(Auxiliar!$D$5:$F$13,MATCH(Table1[[#This Row],[Tipologia_Testes]],Auxiliar!$B$5:$B$13,0),MATCH(Table1[[#This Row],[Complexidade]],Auxiliar!$D$4:$F$4,0))</f>
        <v>0.1</v>
      </c>
      <c r="P607" s="3" t="s">
        <v>1177</v>
      </c>
      <c r="Q607" s="3" t="s">
        <v>1170</v>
      </c>
      <c r="R607" s="173">
        <v>45261</v>
      </c>
      <c r="S607" s="173"/>
      <c r="T607" s="173"/>
      <c r="U607" s="173"/>
      <c r="V607" s="173"/>
      <c r="W607" s="3">
        <f>VLOOKUP(Table1[[#This Row],[Status]],Auxiliar!$B$16:$D$23,3,0)*Table1[[#This Row],[Estimação (horas)]]</f>
        <v>0.1</v>
      </c>
      <c r="X607" s="3"/>
    </row>
    <row r="608" spans="2:24" ht="17.399999999999999" hidden="1" customHeight="1">
      <c r="B608" s="3" t="s">
        <v>28</v>
      </c>
      <c r="C608" s="3" t="s">
        <v>54</v>
      </c>
      <c r="D608" s="3" t="s">
        <v>38</v>
      </c>
      <c r="E608" s="3" t="s">
        <v>38</v>
      </c>
      <c r="F608" s="3" t="s">
        <v>86</v>
      </c>
      <c r="G608" s="3" t="s">
        <v>67</v>
      </c>
      <c r="H608" s="63" t="str">
        <f>Table1[[#This Row],[Tabela]]&amp;Table1[[#This Row],[Campo]]</f>
        <v>cd_imv_out_trz_prc_bens_imvcomp_id_gar</v>
      </c>
      <c r="I608" s="4" t="s">
        <v>477</v>
      </c>
      <c r="J608" s="45">
        <f>VLOOKUP(Table1[[#This Row],[Status]],Auxiliar!$B$16:$C$23,2,0)</f>
        <v>1</v>
      </c>
      <c r="K608" s="3" t="s">
        <v>1137</v>
      </c>
      <c r="L608" s="3" t="s">
        <v>1135</v>
      </c>
      <c r="M608" s="22" t="s">
        <v>1155</v>
      </c>
      <c r="N608" s="53">
        <v>45505</v>
      </c>
      <c r="O608" s="22">
        <f>INDEX(Auxiliar!$D$5:$F$13,MATCH(Table1[[#This Row],[Tipologia_Testes]],Auxiliar!$B$5:$B$13,0),MATCH(Table1[[#This Row],[Complexidade]],Auxiliar!$D$4:$F$4,0))</f>
        <v>4</v>
      </c>
      <c r="P608" s="3"/>
      <c r="Q608" s="3" t="s">
        <v>1170</v>
      </c>
      <c r="R608" s="173">
        <v>45261</v>
      </c>
      <c r="S608" s="173"/>
      <c r="T608" s="173"/>
      <c r="U608" s="173"/>
      <c r="V608" s="173"/>
      <c r="W608" s="3">
        <f>VLOOKUP(Table1[[#This Row],[Status]],Auxiliar!$B$16:$D$23,3,0)*Table1[[#This Row],[Estimação (horas)]]</f>
        <v>4</v>
      </c>
      <c r="X608" s="3"/>
    </row>
    <row r="609" spans="2:24" ht="17.399999999999999" hidden="1" customHeight="1">
      <c r="B609" s="3" t="s">
        <v>28</v>
      </c>
      <c r="C609" s="3" t="s">
        <v>54</v>
      </c>
      <c r="D609" s="3" t="s">
        <v>38</v>
      </c>
      <c r="E609" s="3" t="s">
        <v>38</v>
      </c>
      <c r="F609" s="3" t="s">
        <v>86</v>
      </c>
      <c r="G609" s="3" t="s">
        <v>67</v>
      </c>
      <c r="H609" s="63" t="str">
        <f>Table1[[#This Row],[Tabela]]&amp;Table1[[#This Row],[Campo]]</f>
        <v>cd_imv_out_trz_prc_bens_imvcomp_id_gar</v>
      </c>
      <c r="I609" s="4" t="s">
        <v>477</v>
      </c>
      <c r="J609" s="45">
        <f>VLOOKUP(Table1[[#This Row],[Status]],Auxiliar!$B$16:$C$23,2,0)</f>
        <v>1</v>
      </c>
      <c r="K609" s="3" t="s">
        <v>1138</v>
      </c>
      <c r="L609" s="3" t="s">
        <v>1135</v>
      </c>
      <c r="M609" s="22" t="s">
        <v>1155</v>
      </c>
      <c r="N609" s="53">
        <v>45505</v>
      </c>
      <c r="O609" s="22">
        <f>INDEX(Auxiliar!$D$5:$F$13,MATCH(Table1[[#This Row],[Tipologia_Testes]],Auxiliar!$B$5:$B$13,0),MATCH(Table1[[#This Row],[Complexidade]],Auxiliar!$D$4:$F$4,0))</f>
        <v>4</v>
      </c>
      <c r="P609" s="3"/>
      <c r="Q609" s="3" t="s">
        <v>1170</v>
      </c>
      <c r="R609" s="173">
        <v>45261</v>
      </c>
      <c r="S609" s="173"/>
      <c r="T609" s="173"/>
      <c r="U609" s="173"/>
      <c r="V609" s="173"/>
      <c r="W609" s="3">
        <f>VLOOKUP(Table1[[#This Row],[Status]],Auxiliar!$B$16:$D$23,3,0)*Table1[[#This Row],[Estimação (horas)]]</f>
        <v>4</v>
      </c>
      <c r="X609" s="3"/>
    </row>
    <row r="610" spans="2:24" ht="17.399999999999999" hidden="1" customHeight="1">
      <c r="B610" s="3" t="s">
        <v>28</v>
      </c>
      <c r="C610" s="3" t="s">
        <v>54</v>
      </c>
      <c r="D610" s="3" t="s">
        <v>38</v>
      </c>
      <c r="E610" s="3" t="s">
        <v>38</v>
      </c>
      <c r="F610" s="3" t="s">
        <v>86</v>
      </c>
      <c r="G610" s="3" t="s">
        <v>67</v>
      </c>
      <c r="H610" s="63" t="str">
        <f>Table1[[#This Row],[Tabela]]&amp;Table1[[#This Row],[Campo]]</f>
        <v>cd_imv_out_trz_prc_bens_imvcomp_id_gar</v>
      </c>
      <c r="I610" s="4" t="s">
        <v>477</v>
      </c>
      <c r="J610" s="45">
        <f>VLOOKUP(Table1[[#This Row],[Status]],Auxiliar!$B$16:$C$23,2,0)</f>
        <v>1</v>
      </c>
      <c r="K610" s="3" t="s">
        <v>1141</v>
      </c>
      <c r="L610" s="3" t="s">
        <v>1135</v>
      </c>
      <c r="M610" s="22" t="s">
        <v>1155</v>
      </c>
      <c r="N610" s="53">
        <v>45505</v>
      </c>
      <c r="O610" s="22">
        <f>INDEX(Auxiliar!$D$5:$F$13,MATCH(Table1[[#This Row],[Tipologia_Testes]],Auxiliar!$B$5:$B$13,0),MATCH(Table1[[#This Row],[Complexidade]],Auxiliar!$D$4:$F$4,0))</f>
        <v>0.1</v>
      </c>
      <c r="P610" s="3"/>
      <c r="Q610" s="3" t="s">
        <v>1170</v>
      </c>
      <c r="R610" s="173">
        <v>45261</v>
      </c>
      <c r="S610" s="173"/>
      <c r="T610" s="173"/>
      <c r="U610" s="173"/>
      <c r="V610" s="173"/>
      <c r="W610" s="3">
        <f>VLOOKUP(Table1[[#This Row],[Status]],Auxiliar!$B$16:$D$23,3,0)*Table1[[#This Row],[Estimação (horas)]]</f>
        <v>0.1</v>
      </c>
      <c r="X610" s="3"/>
    </row>
    <row r="611" spans="2:24" ht="17.399999999999999" hidden="1" customHeight="1">
      <c r="B611" s="3" t="s">
        <v>28</v>
      </c>
      <c r="C611" s="3" t="s">
        <v>54</v>
      </c>
      <c r="D611" s="3" t="s">
        <v>38</v>
      </c>
      <c r="E611" s="3" t="s">
        <v>38</v>
      </c>
      <c r="F611" s="3" t="s">
        <v>86</v>
      </c>
      <c r="G611" s="3" t="s">
        <v>87</v>
      </c>
      <c r="H611" s="63" t="str">
        <f>Table1[[#This Row],[Tabela]]&amp;Table1[[#This Row],[Campo]]</f>
        <v>cd_imv_out_trz_prc_bens_imvdata_assc</v>
      </c>
      <c r="I611" s="3" t="s">
        <v>476</v>
      </c>
      <c r="J611" s="45">
        <f>VLOOKUP(Table1[[#This Row],[Status]],Auxiliar!$B$16:$C$23,2,0)</f>
        <v>0</v>
      </c>
      <c r="K611" s="3" t="s">
        <v>1137</v>
      </c>
      <c r="L611" s="3" t="s">
        <v>1171</v>
      </c>
      <c r="M611" s="22" t="s">
        <v>1155</v>
      </c>
      <c r="N611" s="53">
        <v>45485</v>
      </c>
      <c r="O611" s="22">
        <f>INDEX(Auxiliar!$D$5:$F$13,MATCH(Table1[[#This Row],[Tipologia_Testes]],Auxiliar!$B$5:$B$13,0),MATCH(Table1[[#This Row],[Complexidade]],Auxiliar!$D$4:$F$4,0))</f>
        <v>4</v>
      </c>
      <c r="P611" s="3" t="s">
        <v>1178</v>
      </c>
      <c r="Q611" s="3" t="s">
        <v>1170</v>
      </c>
      <c r="R611" s="173">
        <v>45425</v>
      </c>
      <c r="S611" s="173"/>
      <c r="T611" s="173"/>
      <c r="U611" s="173"/>
      <c r="V611" s="173"/>
      <c r="W611" s="3">
        <f>VLOOKUP(Table1[[#This Row],[Status]],Auxiliar!$B$16:$D$23,3,0)*Table1[[#This Row],[Estimação (horas)]]</f>
        <v>0</v>
      </c>
      <c r="X611" s="3"/>
    </row>
    <row r="612" spans="2:24" ht="17.399999999999999" hidden="1" customHeight="1">
      <c r="B612" s="3" t="s">
        <v>28</v>
      </c>
      <c r="C612" s="3" t="s">
        <v>54</v>
      </c>
      <c r="D612" s="3" t="s">
        <v>38</v>
      </c>
      <c r="E612" s="3" t="s">
        <v>38</v>
      </c>
      <c r="F612" s="3" t="s">
        <v>86</v>
      </c>
      <c r="G612" s="3" t="s">
        <v>88</v>
      </c>
      <c r="H612" s="63" t="str">
        <f>Table1[[#This Row],[Tabela]]&amp;Table1[[#This Row],[Campo]]</f>
        <v>cd_imv_out_trz_prc_bens_imvflg_adj</v>
      </c>
      <c r="I612" s="4" t="s">
        <v>477</v>
      </c>
      <c r="J612" s="60">
        <f>VLOOKUP(Table1[[#This Row],[Status]],Auxiliar!$B$16:$C$23,2,0)</f>
        <v>1</v>
      </c>
      <c r="K612" s="3" t="s">
        <v>1137</v>
      </c>
      <c r="L612" s="3" t="s">
        <v>1144</v>
      </c>
      <c r="M612" s="22" t="s">
        <v>1145</v>
      </c>
      <c r="N612" s="53">
        <v>45485</v>
      </c>
      <c r="O612" s="22">
        <f>INDEX(Auxiliar!$D$5:$F$13,MATCH(Table1[[#This Row],[Tipologia_Testes]],Auxiliar!$B$5:$B$13,0),MATCH(Table1[[#This Row],[Complexidade]],Auxiliar!$D$4:$F$4,0))</f>
        <v>2</v>
      </c>
      <c r="P612" s="3"/>
      <c r="Q612" s="3" t="s">
        <v>1170</v>
      </c>
      <c r="R612" s="173">
        <v>45261</v>
      </c>
      <c r="S612" s="173"/>
      <c r="T612" s="173"/>
      <c r="U612" s="173"/>
      <c r="V612" s="173"/>
      <c r="W612" s="3">
        <f>VLOOKUP(Table1[[#This Row],[Status]],Auxiliar!$B$16:$D$23,3,0)*Table1[[#This Row],[Estimação (horas)]]</f>
        <v>2</v>
      </c>
      <c r="X612" s="3"/>
    </row>
    <row r="613" spans="2:24" ht="17.399999999999999" hidden="1" customHeight="1">
      <c r="B613" s="3" t="s">
        <v>28</v>
      </c>
      <c r="C613" s="3" t="s">
        <v>54</v>
      </c>
      <c r="D613" s="3" t="s">
        <v>38</v>
      </c>
      <c r="E613" s="3" t="s">
        <v>38</v>
      </c>
      <c r="F613" s="3" t="s">
        <v>86</v>
      </c>
      <c r="G613" s="3" t="s">
        <v>88</v>
      </c>
      <c r="H613" s="63" t="str">
        <f>Table1[[#This Row],[Tabela]]&amp;Table1[[#This Row],[Campo]]</f>
        <v>cd_imv_out_trz_prc_bens_imvflg_adj</v>
      </c>
      <c r="I613" s="4" t="s">
        <v>477</v>
      </c>
      <c r="J613" s="60">
        <f>VLOOKUP(Table1[[#This Row],[Status]],Auxiliar!$B$16:$C$23,2,0)</f>
        <v>1</v>
      </c>
      <c r="K613" s="3" t="s">
        <v>1138</v>
      </c>
      <c r="L613" s="3" t="s">
        <v>1144</v>
      </c>
      <c r="M613" s="22" t="s">
        <v>1145</v>
      </c>
      <c r="N613" s="53">
        <v>45485</v>
      </c>
      <c r="O613" s="22">
        <f>INDEX(Auxiliar!$D$5:$F$13,MATCH(Table1[[#This Row],[Tipologia_Testes]],Auxiliar!$B$5:$B$13,0),MATCH(Table1[[#This Row],[Complexidade]],Auxiliar!$D$4:$F$4,0))</f>
        <v>2</v>
      </c>
      <c r="P613" s="3"/>
      <c r="Q613" s="3" t="s">
        <v>1170</v>
      </c>
      <c r="R613" s="173">
        <v>45261</v>
      </c>
      <c r="S613" s="173"/>
      <c r="T613" s="173"/>
      <c r="U613" s="173"/>
      <c r="V613" s="173"/>
      <c r="W613" s="3">
        <f>VLOOKUP(Table1[[#This Row],[Status]],Auxiliar!$B$16:$D$23,3,0)*Table1[[#This Row],[Estimação (horas)]]</f>
        <v>2</v>
      </c>
      <c r="X613" s="3"/>
    </row>
    <row r="614" spans="2:24" ht="17.399999999999999" hidden="1" customHeight="1">
      <c r="B614" s="3" t="s">
        <v>28</v>
      </c>
      <c r="C614" s="3" t="s">
        <v>54</v>
      </c>
      <c r="D614" s="3" t="s">
        <v>38</v>
      </c>
      <c r="E614" s="3" t="s">
        <v>38</v>
      </c>
      <c r="F614" s="3" t="s">
        <v>86</v>
      </c>
      <c r="G614" s="3" t="s">
        <v>88</v>
      </c>
      <c r="H614" s="63" t="str">
        <f>Table1[[#This Row],[Tabela]]&amp;Table1[[#This Row],[Campo]]</f>
        <v>cd_imv_out_trz_prc_bens_imvflg_adj</v>
      </c>
      <c r="I614" s="4" t="s">
        <v>477</v>
      </c>
      <c r="J614" s="60">
        <f>VLOOKUP(Table1[[#This Row],[Status]],Auxiliar!$B$16:$C$23,2,0)</f>
        <v>1</v>
      </c>
      <c r="K614" s="3" t="s">
        <v>1141</v>
      </c>
      <c r="L614" s="3" t="s">
        <v>1144</v>
      </c>
      <c r="M614" s="22" t="s">
        <v>1145</v>
      </c>
      <c r="N614" s="53">
        <v>45485</v>
      </c>
      <c r="O614" s="22">
        <f>INDEX(Auxiliar!$D$5:$F$13,MATCH(Table1[[#This Row],[Tipologia_Testes]],Auxiliar!$B$5:$B$13,0),MATCH(Table1[[#This Row],[Complexidade]],Auxiliar!$D$4:$F$4,0))</f>
        <v>0.1</v>
      </c>
      <c r="P614" s="3"/>
      <c r="Q614" s="3" t="s">
        <v>1170</v>
      </c>
      <c r="R614" s="173">
        <v>45261</v>
      </c>
      <c r="S614" s="173"/>
      <c r="T614" s="173"/>
      <c r="U614" s="173"/>
      <c r="V614" s="173"/>
      <c r="W614" s="3">
        <f>VLOOKUP(Table1[[#This Row],[Status]],Auxiliar!$B$16:$D$23,3,0)*Table1[[#This Row],[Estimação (horas)]]</f>
        <v>0.1</v>
      </c>
      <c r="X614" s="3"/>
    </row>
    <row r="615" spans="2:24" ht="17.399999999999999" hidden="1" customHeight="1">
      <c r="B615" s="3" t="s">
        <v>28</v>
      </c>
      <c r="C615" s="3" t="s">
        <v>54</v>
      </c>
      <c r="D615" s="3" t="s">
        <v>38</v>
      </c>
      <c r="E615" s="3" t="s">
        <v>38</v>
      </c>
      <c r="F615" s="3" t="s">
        <v>86</v>
      </c>
      <c r="G615" s="3" t="s">
        <v>89</v>
      </c>
      <c r="H615" s="63" t="str">
        <f>Table1[[#This Row],[Tabela]]&amp;Table1[[#This Row],[Campo]]</f>
        <v>cd_imv_out_trz_prc_bens_imvflg_col</v>
      </c>
      <c r="I615" s="4" t="s">
        <v>477</v>
      </c>
      <c r="J615" s="60">
        <f>VLOOKUP(Table1[[#This Row],[Status]],Auxiliar!$B$16:$C$23,2,0)</f>
        <v>1</v>
      </c>
      <c r="K615" s="3" t="s">
        <v>1137</v>
      </c>
      <c r="L615" s="3" t="s">
        <v>1144</v>
      </c>
      <c r="M615" s="22" t="s">
        <v>1145</v>
      </c>
      <c r="N615" s="53">
        <v>45485</v>
      </c>
      <c r="O615" s="22">
        <f>INDEX(Auxiliar!$D$5:$F$13,MATCH(Table1[[#This Row],[Tipologia_Testes]],Auxiliar!$B$5:$B$13,0),MATCH(Table1[[#This Row],[Complexidade]],Auxiliar!$D$4:$F$4,0))</f>
        <v>2</v>
      </c>
      <c r="P615" s="3"/>
      <c r="Q615" s="3" t="s">
        <v>1170</v>
      </c>
      <c r="R615" s="173">
        <v>45261</v>
      </c>
      <c r="S615" s="173"/>
      <c r="T615" s="173"/>
      <c r="U615" s="173"/>
      <c r="V615" s="173"/>
      <c r="W615" s="3">
        <f>VLOOKUP(Table1[[#This Row],[Status]],Auxiliar!$B$16:$D$23,3,0)*Table1[[#This Row],[Estimação (horas)]]</f>
        <v>2</v>
      </c>
      <c r="X615" s="3"/>
    </row>
    <row r="616" spans="2:24" ht="17.399999999999999" hidden="1" customHeight="1">
      <c r="B616" s="3" t="s">
        <v>28</v>
      </c>
      <c r="C616" s="3" t="s">
        <v>54</v>
      </c>
      <c r="D616" s="3" t="s">
        <v>38</v>
      </c>
      <c r="E616" s="3" t="s">
        <v>38</v>
      </c>
      <c r="F616" s="3" t="s">
        <v>86</v>
      </c>
      <c r="G616" s="3" t="s">
        <v>89</v>
      </c>
      <c r="H616" s="63" t="str">
        <f>Table1[[#This Row],[Tabela]]&amp;Table1[[#This Row],[Campo]]</f>
        <v>cd_imv_out_trz_prc_bens_imvflg_col</v>
      </c>
      <c r="I616" s="4" t="s">
        <v>477</v>
      </c>
      <c r="J616" s="60">
        <f>VLOOKUP(Table1[[#This Row],[Status]],Auxiliar!$B$16:$C$23,2,0)</f>
        <v>1</v>
      </c>
      <c r="K616" s="3" t="s">
        <v>1138</v>
      </c>
      <c r="L616" s="3" t="s">
        <v>1144</v>
      </c>
      <c r="M616" s="22" t="s">
        <v>1145</v>
      </c>
      <c r="N616" s="53">
        <v>45485</v>
      </c>
      <c r="O616" s="22">
        <f>INDEX(Auxiliar!$D$5:$F$13,MATCH(Table1[[#This Row],[Tipologia_Testes]],Auxiliar!$B$5:$B$13,0),MATCH(Table1[[#This Row],[Complexidade]],Auxiliar!$D$4:$F$4,0))</f>
        <v>2</v>
      </c>
      <c r="P616" s="3"/>
      <c r="Q616" s="3" t="s">
        <v>1170</v>
      </c>
      <c r="R616" s="173">
        <v>45261</v>
      </c>
      <c r="S616" s="173"/>
      <c r="T616" s="173"/>
      <c r="U616" s="173"/>
      <c r="V616" s="173"/>
      <c r="W616" s="3">
        <f>VLOOKUP(Table1[[#This Row],[Status]],Auxiliar!$B$16:$D$23,3,0)*Table1[[#This Row],[Estimação (horas)]]</f>
        <v>2</v>
      </c>
      <c r="X616" s="3"/>
    </row>
    <row r="617" spans="2:24" ht="17.399999999999999" hidden="1" customHeight="1">
      <c r="B617" s="3" t="s">
        <v>28</v>
      </c>
      <c r="C617" s="3" t="s">
        <v>54</v>
      </c>
      <c r="D617" s="3" t="s">
        <v>38</v>
      </c>
      <c r="E617" s="3" t="s">
        <v>38</v>
      </c>
      <c r="F617" s="3" t="s">
        <v>86</v>
      </c>
      <c r="G617" s="3" t="s">
        <v>89</v>
      </c>
      <c r="H617" s="63" t="str">
        <f>Table1[[#This Row],[Tabela]]&amp;Table1[[#This Row],[Campo]]</f>
        <v>cd_imv_out_trz_prc_bens_imvflg_col</v>
      </c>
      <c r="I617" s="4" t="s">
        <v>477</v>
      </c>
      <c r="J617" s="60">
        <f>VLOOKUP(Table1[[#This Row],[Status]],Auxiliar!$B$16:$C$23,2,0)</f>
        <v>1</v>
      </c>
      <c r="K617" s="3" t="s">
        <v>1141</v>
      </c>
      <c r="L617" s="3" t="s">
        <v>1144</v>
      </c>
      <c r="M617" s="22" t="s">
        <v>1145</v>
      </c>
      <c r="N617" s="53">
        <v>45485</v>
      </c>
      <c r="O617" s="22">
        <f>INDEX(Auxiliar!$D$5:$F$13,MATCH(Table1[[#This Row],[Tipologia_Testes]],Auxiliar!$B$5:$B$13,0),MATCH(Table1[[#This Row],[Complexidade]],Auxiliar!$D$4:$F$4,0))</f>
        <v>0.1</v>
      </c>
      <c r="P617" s="3"/>
      <c r="Q617" s="3" t="s">
        <v>1170</v>
      </c>
      <c r="R617" s="173">
        <v>45261</v>
      </c>
      <c r="S617" s="173"/>
      <c r="T617" s="173"/>
      <c r="U617" s="173"/>
      <c r="V617" s="173"/>
      <c r="W617" s="3">
        <f>VLOOKUP(Table1[[#This Row],[Status]],Auxiliar!$B$16:$D$23,3,0)*Table1[[#This Row],[Estimação (horas)]]</f>
        <v>0.1</v>
      </c>
      <c r="X617" s="3"/>
    </row>
    <row r="618" spans="2:24" ht="17.399999999999999" hidden="1" customHeight="1">
      <c r="B618" s="3" t="s">
        <v>28</v>
      </c>
      <c r="C618" s="3" t="s">
        <v>54</v>
      </c>
      <c r="D618" s="3" t="s">
        <v>38</v>
      </c>
      <c r="E618" s="3" t="s">
        <v>38</v>
      </c>
      <c r="F618" s="3" t="s">
        <v>86</v>
      </c>
      <c r="G618" s="3" t="s">
        <v>90</v>
      </c>
      <c r="H618" s="63" t="str">
        <f>Table1[[#This Row],[Tabela]]&amp;Table1[[#This Row],[Campo]]</f>
        <v>cd_imv_out_trz_prc_bens_imvflg_fin</v>
      </c>
      <c r="I618" s="4" t="s">
        <v>477</v>
      </c>
      <c r="J618" s="60">
        <f>VLOOKUP(Table1[[#This Row],[Status]],Auxiliar!$B$16:$C$23,2,0)</f>
        <v>1</v>
      </c>
      <c r="K618" s="3" t="s">
        <v>1137</v>
      </c>
      <c r="L618" s="3" t="s">
        <v>1144</v>
      </c>
      <c r="M618" s="22" t="s">
        <v>1145</v>
      </c>
      <c r="N618" s="53">
        <v>45485</v>
      </c>
      <c r="O618" s="22">
        <f>INDEX(Auxiliar!$D$5:$F$13,MATCH(Table1[[#This Row],[Tipologia_Testes]],Auxiliar!$B$5:$B$13,0),MATCH(Table1[[#This Row],[Complexidade]],Auxiliar!$D$4:$F$4,0))</f>
        <v>2</v>
      </c>
      <c r="P618" s="3"/>
      <c r="Q618" s="3" t="s">
        <v>1170</v>
      </c>
      <c r="R618" s="173">
        <v>45261</v>
      </c>
      <c r="S618" s="173"/>
      <c r="T618" s="173"/>
      <c r="U618" s="173"/>
      <c r="V618" s="173"/>
      <c r="W618" s="3">
        <f>VLOOKUP(Table1[[#This Row],[Status]],Auxiliar!$B$16:$D$23,3,0)*Table1[[#This Row],[Estimação (horas)]]</f>
        <v>2</v>
      </c>
      <c r="X618" s="3"/>
    </row>
    <row r="619" spans="2:24" ht="17.399999999999999" hidden="1" customHeight="1">
      <c r="B619" s="3" t="s">
        <v>28</v>
      </c>
      <c r="C619" s="3" t="s">
        <v>54</v>
      </c>
      <c r="D619" s="3" t="s">
        <v>38</v>
      </c>
      <c r="E619" s="3" t="s">
        <v>38</v>
      </c>
      <c r="F619" s="3" t="s">
        <v>86</v>
      </c>
      <c r="G619" s="3" t="s">
        <v>90</v>
      </c>
      <c r="H619" s="63" t="str">
        <f>Table1[[#This Row],[Tabela]]&amp;Table1[[#This Row],[Campo]]</f>
        <v>cd_imv_out_trz_prc_bens_imvflg_fin</v>
      </c>
      <c r="I619" s="4" t="s">
        <v>477</v>
      </c>
      <c r="J619" s="60">
        <f>VLOOKUP(Table1[[#This Row],[Status]],Auxiliar!$B$16:$C$23,2,0)</f>
        <v>1</v>
      </c>
      <c r="K619" s="3" t="s">
        <v>1138</v>
      </c>
      <c r="L619" s="3" t="s">
        <v>1144</v>
      </c>
      <c r="M619" s="22" t="s">
        <v>1145</v>
      </c>
      <c r="N619" s="53">
        <v>45485</v>
      </c>
      <c r="O619" s="22">
        <f>INDEX(Auxiliar!$D$5:$F$13,MATCH(Table1[[#This Row],[Tipologia_Testes]],Auxiliar!$B$5:$B$13,0),MATCH(Table1[[#This Row],[Complexidade]],Auxiliar!$D$4:$F$4,0))</f>
        <v>2</v>
      </c>
      <c r="P619" s="3"/>
      <c r="Q619" s="3" t="s">
        <v>1170</v>
      </c>
      <c r="R619" s="173">
        <v>45261</v>
      </c>
      <c r="S619" s="173"/>
      <c r="T619" s="173"/>
      <c r="U619" s="173"/>
      <c r="V619" s="173"/>
      <c r="W619" s="3">
        <f>VLOOKUP(Table1[[#This Row],[Status]],Auxiliar!$B$16:$D$23,3,0)*Table1[[#This Row],[Estimação (horas)]]</f>
        <v>2</v>
      </c>
      <c r="X619" s="3"/>
    </row>
    <row r="620" spans="2:24" ht="17.399999999999999" hidden="1" customHeight="1">
      <c r="B620" s="3" t="s">
        <v>28</v>
      </c>
      <c r="C620" s="3" t="s">
        <v>54</v>
      </c>
      <c r="D620" s="3" t="s">
        <v>38</v>
      </c>
      <c r="E620" s="3" t="s">
        <v>38</v>
      </c>
      <c r="F620" s="3" t="s">
        <v>86</v>
      </c>
      <c r="G620" s="3" t="s">
        <v>90</v>
      </c>
      <c r="H620" s="63" t="str">
        <f>Table1[[#This Row],[Tabela]]&amp;Table1[[#This Row],[Campo]]</f>
        <v>cd_imv_out_trz_prc_bens_imvflg_fin</v>
      </c>
      <c r="I620" s="4" t="s">
        <v>477</v>
      </c>
      <c r="J620" s="60">
        <f>VLOOKUP(Table1[[#This Row],[Status]],Auxiliar!$B$16:$C$23,2,0)</f>
        <v>1</v>
      </c>
      <c r="K620" s="3" t="s">
        <v>1141</v>
      </c>
      <c r="L620" s="3" t="s">
        <v>1144</v>
      </c>
      <c r="M620" s="22" t="s">
        <v>1145</v>
      </c>
      <c r="N620" s="53">
        <v>45485</v>
      </c>
      <c r="O620" s="22">
        <f>INDEX(Auxiliar!$D$5:$F$13,MATCH(Table1[[#This Row],[Tipologia_Testes]],Auxiliar!$B$5:$B$13,0),MATCH(Table1[[#This Row],[Complexidade]],Auxiliar!$D$4:$F$4,0))</f>
        <v>0.1</v>
      </c>
      <c r="P620" s="3"/>
      <c r="Q620" s="3" t="s">
        <v>1170</v>
      </c>
      <c r="R620" s="173">
        <v>45261</v>
      </c>
      <c r="S620" s="173"/>
      <c r="T620" s="173"/>
      <c r="U620" s="173"/>
      <c r="V620" s="173"/>
      <c r="W620" s="3">
        <f>VLOOKUP(Table1[[#This Row],[Status]],Auxiliar!$B$16:$D$23,3,0)*Table1[[#This Row],[Estimação (horas)]]</f>
        <v>0.1</v>
      </c>
      <c r="X620" s="3"/>
    </row>
    <row r="621" spans="2:24" ht="17.399999999999999" hidden="1" customHeight="1">
      <c r="B621" s="3" t="s">
        <v>28</v>
      </c>
      <c r="C621" s="3" t="s">
        <v>54</v>
      </c>
      <c r="D621" s="3" t="s">
        <v>38</v>
      </c>
      <c r="E621" s="3" t="s">
        <v>38</v>
      </c>
      <c r="F621" s="3" t="s">
        <v>86</v>
      </c>
      <c r="G621" s="3" t="s">
        <v>91</v>
      </c>
      <c r="H621" s="63" t="str">
        <f>Table1[[#This Row],[Tabela]]&amp;Table1[[#This Row],[Campo]]</f>
        <v>cd_imv_out_trz_prc_bens_imvflg_pro</v>
      </c>
      <c r="I621" s="4" t="s">
        <v>477</v>
      </c>
      <c r="J621" s="60">
        <f>VLOOKUP(Table1[[#This Row],[Status]],Auxiliar!$B$16:$C$23,2,0)</f>
        <v>1</v>
      </c>
      <c r="K621" s="3" t="s">
        <v>1137</v>
      </c>
      <c r="L621" s="3" t="s">
        <v>1144</v>
      </c>
      <c r="M621" s="22" t="s">
        <v>1145</v>
      </c>
      <c r="N621" s="53">
        <v>45485</v>
      </c>
      <c r="O621" s="22">
        <f>INDEX(Auxiliar!$D$5:$F$13,MATCH(Table1[[#This Row],[Tipologia_Testes]],Auxiliar!$B$5:$B$13,0),MATCH(Table1[[#This Row],[Complexidade]],Auxiliar!$D$4:$F$4,0))</f>
        <v>2</v>
      </c>
      <c r="P621" s="3"/>
      <c r="Q621" s="3" t="s">
        <v>1170</v>
      </c>
      <c r="R621" s="173">
        <v>45261</v>
      </c>
      <c r="S621" s="173"/>
      <c r="T621" s="173"/>
      <c r="U621" s="173"/>
      <c r="V621" s="173"/>
      <c r="W621" s="3">
        <f>VLOOKUP(Table1[[#This Row],[Status]],Auxiliar!$B$16:$D$23,3,0)*Table1[[#This Row],[Estimação (horas)]]</f>
        <v>2</v>
      </c>
      <c r="X621" s="3"/>
    </row>
    <row r="622" spans="2:24" ht="17.399999999999999" hidden="1" customHeight="1">
      <c r="B622" s="3" t="s">
        <v>28</v>
      </c>
      <c r="C622" s="3" t="s">
        <v>54</v>
      </c>
      <c r="D622" s="3" t="s">
        <v>38</v>
      </c>
      <c r="E622" s="3" t="s">
        <v>38</v>
      </c>
      <c r="F622" s="3" t="s">
        <v>86</v>
      </c>
      <c r="G622" s="3" t="s">
        <v>91</v>
      </c>
      <c r="H622" s="63" t="str">
        <f>Table1[[#This Row],[Tabela]]&amp;Table1[[#This Row],[Campo]]</f>
        <v>cd_imv_out_trz_prc_bens_imvflg_pro</v>
      </c>
      <c r="I622" s="4" t="s">
        <v>477</v>
      </c>
      <c r="J622" s="60">
        <f>VLOOKUP(Table1[[#This Row],[Status]],Auxiliar!$B$16:$C$23,2,0)</f>
        <v>1</v>
      </c>
      <c r="K622" s="3" t="s">
        <v>1138</v>
      </c>
      <c r="L622" s="3" t="s">
        <v>1144</v>
      </c>
      <c r="M622" s="22" t="s">
        <v>1145</v>
      </c>
      <c r="N622" s="53">
        <v>45485</v>
      </c>
      <c r="O622" s="22">
        <f>INDEX(Auxiliar!$D$5:$F$13,MATCH(Table1[[#This Row],[Tipologia_Testes]],Auxiliar!$B$5:$B$13,0),MATCH(Table1[[#This Row],[Complexidade]],Auxiliar!$D$4:$F$4,0))</f>
        <v>2</v>
      </c>
      <c r="P622" s="3"/>
      <c r="Q622" s="3" t="s">
        <v>1170</v>
      </c>
      <c r="R622" s="173">
        <v>45261</v>
      </c>
      <c r="S622" s="173"/>
      <c r="T622" s="173"/>
      <c r="U622" s="173"/>
      <c r="V622" s="173"/>
      <c r="W622" s="3">
        <f>VLOOKUP(Table1[[#This Row],[Status]],Auxiliar!$B$16:$D$23,3,0)*Table1[[#This Row],[Estimação (horas)]]</f>
        <v>2</v>
      </c>
      <c r="X622" s="3"/>
    </row>
    <row r="623" spans="2:24" ht="17.399999999999999" hidden="1" customHeight="1">
      <c r="B623" s="3" t="s">
        <v>28</v>
      </c>
      <c r="C623" s="3" t="s">
        <v>54</v>
      </c>
      <c r="D623" s="3" t="s">
        <v>38</v>
      </c>
      <c r="E623" s="3" t="s">
        <v>38</v>
      </c>
      <c r="F623" s="3" t="s">
        <v>86</v>
      </c>
      <c r="G623" s="3" t="s">
        <v>91</v>
      </c>
      <c r="H623" s="63" t="str">
        <f>Table1[[#This Row],[Tabela]]&amp;Table1[[#This Row],[Campo]]</f>
        <v>cd_imv_out_trz_prc_bens_imvflg_pro</v>
      </c>
      <c r="I623" s="4" t="s">
        <v>477</v>
      </c>
      <c r="J623" s="60">
        <f>VLOOKUP(Table1[[#This Row],[Status]],Auxiliar!$B$16:$C$23,2,0)</f>
        <v>1</v>
      </c>
      <c r="K623" s="3" t="s">
        <v>1141</v>
      </c>
      <c r="L623" s="3" t="s">
        <v>1144</v>
      </c>
      <c r="M623" s="22" t="s">
        <v>1145</v>
      </c>
      <c r="N623" s="53">
        <v>45485</v>
      </c>
      <c r="O623" s="22">
        <f>INDEX(Auxiliar!$D$5:$F$13,MATCH(Table1[[#This Row],[Tipologia_Testes]],Auxiliar!$B$5:$B$13,0),MATCH(Table1[[#This Row],[Complexidade]],Auxiliar!$D$4:$F$4,0))</f>
        <v>0.1</v>
      </c>
      <c r="P623" s="3"/>
      <c r="Q623" s="3" t="s">
        <v>1170</v>
      </c>
      <c r="R623" s="173">
        <v>45261</v>
      </c>
      <c r="S623" s="173"/>
      <c r="T623" s="173"/>
      <c r="U623" s="173"/>
      <c r="V623" s="173"/>
      <c r="W623" s="3">
        <f>VLOOKUP(Table1[[#This Row],[Status]],Auxiliar!$B$16:$D$23,3,0)*Table1[[#This Row],[Estimação (horas)]]</f>
        <v>0.1</v>
      </c>
      <c r="X623" s="3"/>
    </row>
    <row r="624" spans="2:24" ht="17.399999999999999" hidden="1" customHeight="1">
      <c r="B624" s="3" t="s">
        <v>28</v>
      </c>
      <c r="C624" s="3" t="s">
        <v>54</v>
      </c>
      <c r="D624" s="3" t="s">
        <v>38</v>
      </c>
      <c r="E624" s="3" t="s">
        <v>38</v>
      </c>
      <c r="F624" s="3" t="s">
        <v>86</v>
      </c>
      <c r="G624" s="3" t="s">
        <v>72</v>
      </c>
      <c r="H624" s="63" t="str">
        <f>Table1[[#This Row],[Tabela]]&amp;Table1[[#This Row],[Campo]]</f>
        <v>cd_imv_out_trz_prc_bens_imvorigem</v>
      </c>
      <c r="I624" s="4" t="s">
        <v>477</v>
      </c>
      <c r="J624" s="60">
        <f>VLOOKUP(Table1[[#This Row],[Status]],Auxiliar!$B$16:$C$23,2,0)</f>
        <v>1</v>
      </c>
      <c r="K624" s="3" t="s">
        <v>1137</v>
      </c>
      <c r="L624" s="3" t="s">
        <v>1144</v>
      </c>
      <c r="M624" s="22" t="s">
        <v>1145</v>
      </c>
      <c r="N624" s="53">
        <v>45485</v>
      </c>
      <c r="O624" s="22">
        <f>INDEX(Auxiliar!$D$5:$F$13,MATCH(Table1[[#This Row],[Tipologia_Testes]],Auxiliar!$B$5:$B$13,0),MATCH(Table1[[#This Row],[Complexidade]],Auxiliar!$D$4:$F$4,0))</f>
        <v>2</v>
      </c>
      <c r="P624" s="3"/>
      <c r="Q624" s="3" t="s">
        <v>1170</v>
      </c>
      <c r="R624" s="173">
        <v>45261</v>
      </c>
      <c r="S624" s="173"/>
      <c r="T624" s="173"/>
      <c r="U624" s="173"/>
      <c r="V624" s="173"/>
      <c r="W624" s="3">
        <f>VLOOKUP(Table1[[#This Row],[Status]],Auxiliar!$B$16:$D$23,3,0)*Table1[[#This Row],[Estimação (horas)]]</f>
        <v>2</v>
      </c>
      <c r="X624" s="3"/>
    </row>
    <row r="625" spans="2:24" ht="17.399999999999999" hidden="1" customHeight="1">
      <c r="B625" s="3" t="s">
        <v>28</v>
      </c>
      <c r="C625" s="3" t="s">
        <v>54</v>
      </c>
      <c r="D625" s="3" t="s">
        <v>38</v>
      </c>
      <c r="E625" s="3" t="s">
        <v>38</v>
      </c>
      <c r="F625" s="3" t="s">
        <v>86</v>
      </c>
      <c r="G625" s="3" t="s">
        <v>72</v>
      </c>
      <c r="H625" s="63" t="str">
        <f>Table1[[#This Row],[Tabela]]&amp;Table1[[#This Row],[Campo]]</f>
        <v>cd_imv_out_trz_prc_bens_imvorigem</v>
      </c>
      <c r="I625" s="4" t="s">
        <v>477</v>
      </c>
      <c r="J625" s="60">
        <f>VLOOKUP(Table1[[#This Row],[Status]],Auxiliar!$B$16:$C$23,2,0)</f>
        <v>1</v>
      </c>
      <c r="K625" s="3" t="s">
        <v>1138</v>
      </c>
      <c r="L625" s="3" t="s">
        <v>1144</v>
      </c>
      <c r="M625" s="22" t="s">
        <v>1145</v>
      </c>
      <c r="N625" s="53">
        <v>45485</v>
      </c>
      <c r="O625" s="22">
        <f>INDEX(Auxiliar!$D$5:$F$13,MATCH(Table1[[#This Row],[Tipologia_Testes]],Auxiliar!$B$5:$B$13,0),MATCH(Table1[[#This Row],[Complexidade]],Auxiliar!$D$4:$F$4,0))</f>
        <v>2</v>
      </c>
      <c r="P625" s="3"/>
      <c r="Q625" s="3" t="s">
        <v>1170</v>
      </c>
      <c r="R625" s="173">
        <v>45261</v>
      </c>
      <c r="S625" s="173"/>
      <c r="T625" s="173"/>
      <c r="U625" s="173"/>
      <c r="V625" s="173"/>
      <c r="W625" s="3">
        <f>VLOOKUP(Table1[[#This Row],[Status]],Auxiliar!$B$16:$D$23,3,0)*Table1[[#This Row],[Estimação (horas)]]</f>
        <v>2</v>
      </c>
      <c r="X625" s="3"/>
    </row>
    <row r="626" spans="2:24" ht="17.399999999999999" hidden="1" customHeight="1">
      <c r="B626" s="3" t="s">
        <v>28</v>
      </c>
      <c r="C626" s="3" t="s">
        <v>54</v>
      </c>
      <c r="D626" s="3" t="s">
        <v>38</v>
      </c>
      <c r="E626" s="3" t="s">
        <v>38</v>
      </c>
      <c r="F626" s="3" t="s">
        <v>86</v>
      </c>
      <c r="G626" s="3" t="s">
        <v>72</v>
      </c>
      <c r="H626" s="63" t="str">
        <f>Table1[[#This Row],[Tabela]]&amp;Table1[[#This Row],[Campo]]</f>
        <v>cd_imv_out_trz_prc_bens_imvorigem</v>
      </c>
      <c r="I626" s="4" t="s">
        <v>477</v>
      </c>
      <c r="J626" s="60">
        <f>VLOOKUP(Table1[[#This Row],[Status]],Auxiliar!$B$16:$C$23,2,0)</f>
        <v>1</v>
      </c>
      <c r="K626" s="3" t="s">
        <v>1141</v>
      </c>
      <c r="L626" s="3" t="s">
        <v>1144</v>
      </c>
      <c r="M626" s="22" t="s">
        <v>1145</v>
      </c>
      <c r="N626" s="53">
        <v>45485</v>
      </c>
      <c r="O626" s="22">
        <f>INDEX(Auxiliar!$D$5:$F$13,MATCH(Table1[[#This Row],[Tipologia_Testes]],Auxiliar!$B$5:$B$13,0),MATCH(Table1[[#This Row],[Complexidade]],Auxiliar!$D$4:$F$4,0))</f>
        <v>0.1</v>
      </c>
      <c r="P626" s="3"/>
      <c r="Q626" s="3" t="s">
        <v>1170</v>
      </c>
      <c r="R626" s="173">
        <v>45261</v>
      </c>
      <c r="S626" s="173"/>
      <c r="T626" s="173"/>
      <c r="U626" s="173"/>
      <c r="V626" s="173"/>
      <c r="W626" s="3">
        <f>VLOOKUP(Table1[[#This Row],[Status]],Auxiliar!$B$16:$D$23,3,0)*Table1[[#This Row],[Estimação (horas)]]</f>
        <v>0.1</v>
      </c>
      <c r="X626" s="3"/>
    </row>
    <row r="627" spans="2:24" ht="17.399999999999999" hidden="1" customHeight="1">
      <c r="B627" s="3" t="s">
        <v>28</v>
      </c>
      <c r="C627" s="3" t="s">
        <v>54</v>
      </c>
      <c r="D627" s="3" t="s">
        <v>38</v>
      </c>
      <c r="E627" s="3" t="s">
        <v>38</v>
      </c>
      <c r="F627" s="3" t="s">
        <v>86</v>
      </c>
      <c r="G627" s="3" t="s">
        <v>73</v>
      </c>
      <c r="H627" s="63" t="str">
        <f>Table1[[#This Row],[Tabela]]&amp;Table1[[#This Row],[Campo]]</f>
        <v>cd_imv_out_trz_prc_bens_imvref_date</v>
      </c>
      <c r="I627" s="4" t="s">
        <v>477</v>
      </c>
      <c r="J627" s="60">
        <f>VLOOKUP(Table1[[#This Row],[Status]],Auxiliar!$B$16:$C$23,2,0)</f>
        <v>1</v>
      </c>
      <c r="K627" s="3" t="s">
        <v>1137</v>
      </c>
      <c r="L627" s="3" t="s">
        <v>1144</v>
      </c>
      <c r="M627" s="22" t="s">
        <v>1145</v>
      </c>
      <c r="N627" s="53">
        <v>45485</v>
      </c>
      <c r="O627" s="22">
        <f>INDEX(Auxiliar!$D$5:$F$13,MATCH(Table1[[#This Row],[Tipologia_Testes]],Auxiliar!$B$5:$B$13,0),MATCH(Table1[[#This Row],[Complexidade]],Auxiliar!$D$4:$F$4,0))</f>
        <v>2</v>
      </c>
      <c r="P627" s="3"/>
      <c r="Q627" s="3" t="s">
        <v>1170</v>
      </c>
      <c r="R627" s="173">
        <v>45261</v>
      </c>
      <c r="S627" s="173"/>
      <c r="T627" s="173"/>
      <c r="U627" s="173"/>
      <c r="V627" s="173"/>
      <c r="W627" s="3">
        <f>VLOOKUP(Table1[[#This Row],[Status]],Auxiliar!$B$16:$D$23,3,0)*Table1[[#This Row],[Estimação (horas)]]</f>
        <v>2</v>
      </c>
      <c r="X627" s="3"/>
    </row>
    <row r="628" spans="2:24" ht="17.399999999999999" hidden="1" customHeight="1">
      <c r="B628" s="3" t="s">
        <v>28</v>
      </c>
      <c r="C628" s="3" t="s">
        <v>54</v>
      </c>
      <c r="D628" s="3" t="s">
        <v>38</v>
      </c>
      <c r="E628" s="3" t="s">
        <v>38</v>
      </c>
      <c r="F628" s="3" t="s">
        <v>86</v>
      </c>
      <c r="G628" s="3" t="s">
        <v>73</v>
      </c>
      <c r="H628" s="63" t="str">
        <f>Table1[[#This Row],[Tabela]]&amp;Table1[[#This Row],[Campo]]</f>
        <v>cd_imv_out_trz_prc_bens_imvref_date</v>
      </c>
      <c r="I628" s="4" t="s">
        <v>477</v>
      </c>
      <c r="J628" s="60">
        <f>VLOOKUP(Table1[[#This Row],[Status]],Auxiliar!$B$16:$C$23,2,0)</f>
        <v>1</v>
      </c>
      <c r="K628" s="3" t="s">
        <v>1138</v>
      </c>
      <c r="L628" s="3" t="s">
        <v>1144</v>
      </c>
      <c r="M628" s="22" t="s">
        <v>1145</v>
      </c>
      <c r="N628" s="53">
        <v>45485</v>
      </c>
      <c r="O628" s="22">
        <f>INDEX(Auxiliar!$D$5:$F$13,MATCH(Table1[[#This Row],[Tipologia_Testes]],Auxiliar!$B$5:$B$13,0),MATCH(Table1[[#This Row],[Complexidade]],Auxiliar!$D$4:$F$4,0))</f>
        <v>2</v>
      </c>
      <c r="P628" s="3"/>
      <c r="Q628" s="3" t="s">
        <v>1170</v>
      </c>
      <c r="R628" s="173">
        <v>45261</v>
      </c>
      <c r="S628" s="173"/>
      <c r="T628" s="173"/>
      <c r="U628" s="173"/>
      <c r="V628" s="173"/>
      <c r="W628" s="3">
        <f>VLOOKUP(Table1[[#This Row],[Status]],Auxiliar!$B$16:$D$23,3,0)*Table1[[#This Row],[Estimação (horas)]]</f>
        <v>2</v>
      </c>
      <c r="X628" s="3"/>
    </row>
    <row r="629" spans="2:24" ht="17.399999999999999" hidden="1" customHeight="1">
      <c r="B629" s="3" t="s">
        <v>28</v>
      </c>
      <c r="C629" s="3" t="s">
        <v>54</v>
      </c>
      <c r="D629" s="3" t="s">
        <v>38</v>
      </c>
      <c r="E629" s="3" t="s">
        <v>38</v>
      </c>
      <c r="F629" s="3" t="s">
        <v>86</v>
      </c>
      <c r="G629" s="3" t="s">
        <v>73</v>
      </c>
      <c r="H629" s="63" t="str">
        <f>Table1[[#This Row],[Tabela]]&amp;Table1[[#This Row],[Campo]]</f>
        <v>cd_imv_out_trz_prc_bens_imvref_date</v>
      </c>
      <c r="I629" s="4" t="s">
        <v>477</v>
      </c>
      <c r="J629" s="60">
        <f>VLOOKUP(Table1[[#This Row],[Status]],Auxiliar!$B$16:$C$23,2,0)</f>
        <v>1</v>
      </c>
      <c r="K629" s="3" t="s">
        <v>1141</v>
      </c>
      <c r="L629" s="3" t="s">
        <v>1144</v>
      </c>
      <c r="M629" s="22" t="s">
        <v>1145</v>
      </c>
      <c r="N629" s="53">
        <v>45485</v>
      </c>
      <c r="O629" s="22">
        <f>INDEX(Auxiliar!$D$5:$F$13,MATCH(Table1[[#This Row],[Tipologia_Testes]],Auxiliar!$B$5:$B$13,0),MATCH(Table1[[#This Row],[Complexidade]],Auxiliar!$D$4:$F$4,0))</f>
        <v>0.1</v>
      </c>
      <c r="P629" s="3"/>
      <c r="Q629" s="3" t="s">
        <v>1170</v>
      </c>
      <c r="R629" s="173">
        <v>45261</v>
      </c>
      <c r="S629" s="173"/>
      <c r="T629" s="173"/>
      <c r="U629" s="173"/>
      <c r="V629" s="173"/>
      <c r="W629" s="3">
        <f>VLOOKUP(Table1[[#This Row],[Status]],Auxiliar!$B$16:$D$23,3,0)*Table1[[#This Row],[Estimação (horas)]]</f>
        <v>0.1</v>
      </c>
      <c r="X629" s="3"/>
    </row>
    <row r="630" spans="2:24" ht="34.799999999999997" hidden="1" customHeight="1">
      <c r="B630" s="3" t="s">
        <v>28</v>
      </c>
      <c r="C630" s="3" t="s">
        <v>301</v>
      </c>
      <c r="D630" s="3" t="s">
        <v>303</v>
      </c>
      <c r="E630" s="3" t="s">
        <v>38</v>
      </c>
      <c r="F630" s="3" t="s">
        <v>302</v>
      </c>
      <c r="G630" s="3" t="s">
        <v>38</v>
      </c>
      <c r="H630" s="63" t="str">
        <f>Table1[[#This Row],[Tabela]]&amp;Table1[[#This Row],[Campo]]</f>
        <v>modesg_out_bens_imoveisn.a.</v>
      </c>
      <c r="I630" s="4" t="s">
        <v>477</v>
      </c>
      <c r="J630" s="61">
        <f>VLOOKUP(Table1[[#This Row],[Status]],Auxiliar!$B$16:$C$23,2,0)</f>
        <v>1</v>
      </c>
      <c r="K630" s="3" t="s">
        <v>1134</v>
      </c>
      <c r="L630" s="30" t="s">
        <v>1144</v>
      </c>
      <c r="M630" s="22" t="s">
        <v>1145</v>
      </c>
      <c r="N630" s="53">
        <v>45505</v>
      </c>
      <c r="O630" s="22">
        <f>INDEX(Auxiliar!$D$5:$F$13,MATCH(Table1[[#This Row],[Tipologia_Testes]],Auxiliar!$B$5:$B$13,0),MATCH(Table1[[#This Row],[Complexidade]],Auxiliar!$D$4:$F$4,0))</f>
        <v>8</v>
      </c>
      <c r="P630" s="24" t="s">
        <v>1822</v>
      </c>
      <c r="Q630" s="3"/>
      <c r="R630" s="173">
        <v>45261</v>
      </c>
      <c r="S630" s="173"/>
      <c r="T630" s="173"/>
      <c r="U630" s="173"/>
      <c r="V630" s="173"/>
      <c r="W630" s="3">
        <f>VLOOKUP(Table1[[#This Row],[Status]],Auxiliar!$B$16:$D$23,3,0)*Table1[[#This Row],[Estimação (horas)]]</f>
        <v>8</v>
      </c>
      <c r="X630" s="3"/>
    </row>
    <row r="631" spans="2:24" ht="17.399999999999999" hidden="1" customHeight="1">
      <c r="B631" s="3" t="s">
        <v>28</v>
      </c>
      <c r="C631" s="3" t="s">
        <v>301</v>
      </c>
      <c r="D631" s="3" t="s">
        <v>303</v>
      </c>
      <c r="E631" s="3" t="s">
        <v>38</v>
      </c>
      <c r="F631" s="3" t="s">
        <v>302</v>
      </c>
      <c r="G631" s="3" t="s">
        <v>41</v>
      </c>
      <c r="H631" s="63" t="str">
        <f>Table1[[#This Row],[Tabela]]&amp;Table1[[#This Row],[Campo]]</f>
        <v>modesg_out_bens_imoveiscempbem</v>
      </c>
      <c r="I631" s="4" t="s">
        <v>477</v>
      </c>
      <c r="J631" s="60">
        <f>VLOOKUP(Table1[[#This Row],[Status]],Auxiliar!$B$16:$C$23,2,0)</f>
        <v>1</v>
      </c>
      <c r="K631" s="3" t="s">
        <v>1137</v>
      </c>
      <c r="L631" s="3" t="s">
        <v>1144</v>
      </c>
      <c r="M631" s="22" t="s">
        <v>1145</v>
      </c>
      <c r="N631" s="53">
        <v>45485</v>
      </c>
      <c r="O631" s="22">
        <f>INDEX(Auxiliar!$D$5:$F$13,MATCH(Table1[[#This Row],[Tipologia_Testes]],Auxiliar!$B$5:$B$13,0),MATCH(Table1[[#This Row],[Complexidade]],Auxiliar!$D$4:$F$4,0))</f>
        <v>2</v>
      </c>
      <c r="P631" s="3" t="s">
        <v>1177</v>
      </c>
      <c r="Q631" s="3" t="s">
        <v>1170</v>
      </c>
      <c r="R631" s="173">
        <v>45261</v>
      </c>
      <c r="S631" s="173"/>
      <c r="T631" s="173"/>
      <c r="U631" s="173"/>
      <c r="V631" s="173"/>
      <c r="W631" s="3">
        <f>VLOOKUP(Table1[[#This Row],[Status]],Auxiliar!$B$16:$D$23,3,0)*Table1[[#This Row],[Estimação (horas)]]</f>
        <v>2</v>
      </c>
      <c r="X631" s="3"/>
    </row>
    <row r="632" spans="2:24" ht="17.399999999999999" hidden="1" customHeight="1">
      <c r="B632" s="3" t="s">
        <v>28</v>
      </c>
      <c r="C632" s="3" t="s">
        <v>301</v>
      </c>
      <c r="D632" s="3" t="s">
        <v>303</v>
      </c>
      <c r="E632" s="3" t="s">
        <v>38</v>
      </c>
      <c r="F632" s="3" t="s">
        <v>302</v>
      </c>
      <c r="G632" s="3" t="s">
        <v>41</v>
      </c>
      <c r="H632" s="63" t="str">
        <f>Table1[[#This Row],[Tabela]]&amp;Table1[[#This Row],[Campo]]</f>
        <v>modesg_out_bens_imoveiscempbem</v>
      </c>
      <c r="I632" s="4" t="s">
        <v>477</v>
      </c>
      <c r="J632" s="60">
        <f>VLOOKUP(Table1[[#This Row],[Status]],Auxiliar!$B$16:$C$23,2,0)</f>
        <v>1</v>
      </c>
      <c r="K632" s="3" t="s">
        <v>1138</v>
      </c>
      <c r="L632" s="3" t="s">
        <v>1144</v>
      </c>
      <c r="M632" s="22" t="s">
        <v>1145</v>
      </c>
      <c r="N632" s="53">
        <v>45485</v>
      </c>
      <c r="O632" s="22">
        <f>INDEX(Auxiliar!$D$5:$F$13,MATCH(Table1[[#This Row],[Tipologia_Testes]],Auxiliar!$B$5:$B$13,0),MATCH(Table1[[#This Row],[Complexidade]],Auxiliar!$D$4:$F$4,0))</f>
        <v>2</v>
      </c>
      <c r="P632" s="3" t="s">
        <v>1177</v>
      </c>
      <c r="Q632" s="3" t="s">
        <v>1170</v>
      </c>
      <c r="R632" s="173">
        <v>45261</v>
      </c>
      <c r="S632" s="173"/>
      <c r="T632" s="173"/>
      <c r="U632" s="173"/>
      <c r="V632" s="173"/>
      <c r="W632" s="3">
        <f>VLOOKUP(Table1[[#This Row],[Status]],Auxiliar!$B$16:$D$23,3,0)*Table1[[#This Row],[Estimação (horas)]]</f>
        <v>2</v>
      </c>
      <c r="X632" s="3"/>
    </row>
    <row r="633" spans="2:24" ht="17.399999999999999" hidden="1" customHeight="1">
      <c r="B633" s="3" t="s">
        <v>28</v>
      </c>
      <c r="C633" s="3" t="s">
        <v>301</v>
      </c>
      <c r="D633" s="3" t="s">
        <v>303</v>
      </c>
      <c r="E633" s="3" t="s">
        <v>38</v>
      </c>
      <c r="F633" s="3" t="s">
        <v>302</v>
      </c>
      <c r="G633" s="3" t="s">
        <v>41</v>
      </c>
      <c r="H633" s="63" t="str">
        <f>Table1[[#This Row],[Tabela]]&amp;Table1[[#This Row],[Campo]]</f>
        <v>modesg_out_bens_imoveiscempbem</v>
      </c>
      <c r="I633" s="4" t="s">
        <v>477</v>
      </c>
      <c r="J633" s="60">
        <f>VLOOKUP(Table1[[#This Row],[Status]],Auxiliar!$B$16:$C$23,2,0)</f>
        <v>1</v>
      </c>
      <c r="K633" s="3" t="s">
        <v>1141</v>
      </c>
      <c r="L633" s="3" t="s">
        <v>1144</v>
      </c>
      <c r="M633" s="22" t="s">
        <v>1145</v>
      </c>
      <c r="N633" s="53">
        <v>45485</v>
      </c>
      <c r="O633" s="22">
        <f>INDEX(Auxiliar!$D$5:$F$13,MATCH(Table1[[#This Row],[Tipologia_Testes]],Auxiliar!$B$5:$B$13,0),MATCH(Table1[[#This Row],[Complexidade]],Auxiliar!$D$4:$F$4,0))</f>
        <v>0.1</v>
      </c>
      <c r="P633" s="3" t="s">
        <v>1177</v>
      </c>
      <c r="Q633" s="3" t="s">
        <v>1170</v>
      </c>
      <c r="R633" s="173">
        <v>45261</v>
      </c>
      <c r="S633" s="173"/>
      <c r="T633" s="173"/>
      <c r="U633" s="173"/>
      <c r="V633" s="173"/>
      <c r="W633" s="3">
        <f>VLOOKUP(Table1[[#This Row],[Status]],Auxiliar!$B$16:$D$23,3,0)*Table1[[#This Row],[Estimação (horas)]]</f>
        <v>0.1</v>
      </c>
      <c r="X633" s="3"/>
    </row>
    <row r="634" spans="2:24" ht="17.399999999999999" hidden="1" customHeight="1">
      <c r="B634" s="3" t="s">
        <v>28</v>
      </c>
      <c r="C634" s="3" t="s">
        <v>301</v>
      </c>
      <c r="D634" s="3" t="s">
        <v>303</v>
      </c>
      <c r="E634" s="3" t="s">
        <v>38</v>
      </c>
      <c r="F634" s="3" t="s">
        <v>302</v>
      </c>
      <c r="G634" s="3" t="s">
        <v>43</v>
      </c>
      <c r="H634" s="63" t="str">
        <f>Table1[[#This Row],[Tabela]]&amp;Table1[[#This Row],[Campo]]</f>
        <v>modesg_out_bens_imoveisckbalbem</v>
      </c>
      <c r="I634" s="4" t="s">
        <v>477</v>
      </c>
      <c r="J634" s="60">
        <f>VLOOKUP(Table1[[#This Row],[Status]],Auxiliar!$B$16:$C$23,2,0)</f>
        <v>1</v>
      </c>
      <c r="K634" s="3" t="s">
        <v>1137</v>
      </c>
      <c r="L634" s="3" t="s">
        <v>1144</v>
      </c>
      <c r="M634" s="22" t="s">
        <v>1145</v>
      </c>
      <c r="N634" s="53">
        <v>45485</v>
      </c>
      <c r="O634" s="22">
        <f>INDEX(Auxiliar!$D$5:$F$13,MATCH(Table1[[#This Row],[Tipologia_Testes]],Auxiliar!$B$5:$B$13,0),MATCH(Table1[[#This Row],[Complexidade]],Auxiliar!$D$4:$F$4,0))</f>
        <v>2</v>
      </c>
      <c r="P634" s="3" t="s">
        <v>1177</v>
      </c>
      <c r="Q634" s="3" t="s">
        <v>1170</v>
      </c>
      <c r="R634" s="173">
        <v>45261</v>
      </c>
      <c r="S634" s="173"/>
      <c r="T634" s="173"/>
      <c r="U634" s="173"/>
      <c r="V634" s="173"/>
      <c r="W634" s="3">
        <f>VLOOKUP(Table1[[#This Row],[Status]],Auxiliar!$B$16:$D$23,3,0)*Table1[[#This Row],[Estimação (horas)]]</f>
        <v>2</v>
      </c>
      <c r="X634" s="3"/>
    </row>
    <row r="635" spans="2:24" ht="17.399999999999999" hidden="1" customHeight="1">
      <c r="B635" s="3" t="s">
        <v>28</v>
      </c>
      <c r="C635" s="3" t="s">
        <v>301</v>
      </c>
      <c r="D635" s="3" t="s">
        <v>303</v>
      </c>
      <c r="E635" s="3" t="s">
        <v>38</v>
      </c>
      <c r="F635" s="3" t="s">
        <v>302</v>
      </c>
      <c r="G635" s="3" t="s">
        <v>43</v>
      </c>
      <c r="H635" s="63" t="str">
        <f>Table1[[#This Row],[Tabela]]&amp;Table1[[#This Row],[Campo]]</f>
        <v>modesg_out_bens_imoveisckbalbem</v>
      </c>
      <c r="I635" s="4" t="s">
        <v>477</v>
      </c>
      <c r="J635" s="60">
        <f>VLOOKUP(Table1[[#This Row],[Status]],Auxiliar!$B$16:$C$23,2,0)</f>
        <v>1</v>
      </c>
      <c r="K635" s="3" t="s">
        <v>1138</v>
      </c>
      <c r="L635" s="3" t="s">
        <v>1144</v>
      </c>
      <c r="M635" s="22" t="s">
        <v>1145</v>
      </c>
      <c r="N635" s="53">
        <v>45485</v>
      </c>
      <c r="O635" s="22">
        <f>INDEX(Auxiliar!$D$5:$F$13,MATCH(Table1[[#This Row],[Tipologia_Testes]],Auxiliar!$B$5:$B$13,0),MATCH(Table1[[#This Row],[Complexidade]],Auxiliar!$D$4:$F$4,0))</f>
        <v>2</v>
      </c>
      <c r="P635" s="3" t="s">
        <v>1177</v>
      </c>
      <c r="Q635" s="3" t="s">
        <v>1170</v>
      </c>
      <c r="R635" s="173">
        <v>45261</v>
      </c>
      <c r="S635" s="173"/>
      <c r="T635" s="173"/>
      <c r="U635" s="173"/>
      <c r="V635" s="173"/>
      <c r="W635" s="3">
        <f>VLOOKUP(Table1[[#This Row],[Status]],Auxiliar!$B$16:$D$23,3,0)*Table1[[#This Row],[Estimação (horas)]]</f>
        <v>2</v>
      </c>
      <c r="X635" s="3"/>
    </row>
    <row r="636" spans="2:24" ht="17.399999999999999" hidden="1" customHeight="1">
      <c r="B636" s="3" t="s">
        <v>28</v>
      </c>
      <c r="C636" s="3" t="s">
        <v>301</v>
      </c>
      <c r="D636" s="3" t="s">
        <v>303</v>
      </c>
      <c r="E636" s="3" t="s">
        <v>38</v>
      </c>
      <c r="F636" s="3" t="s">
        <v>302</v>
      </c>
      <c r="G636" s="3" t="s">
        <v>43</v>
      </c>
      <c r="H636" s="63" t="str">
        <f>Table1[[#This Row],[Tabela]]&amp;Table1[[#This Row],[Campo]]</f>
        <v>modesg_out_bens_imoveisckbalbem</v>
      </c>
      <c r="I636" s="4" t="s">
        <v>477</v>
      </c>
      <c r="J636" s="60">
        <f>VLOOKUP(Table1[[#This Row],[Status]],Auxiliar!$B$16:$C$23,2,0)</f>
        <v>1</v>
      </c>
      <c r="K636" s="3" t="s">
        <v>1141</v>
      </c>
      <c r="L636" s="3" t="s">
        <v>1144</v>
      </c>
      <c r="M636" s="22" t="s">
        <v>1145</v>
      </c>
      <c r="N636" s="53">
        <v>45485</v>
      </c>
      <c r="O636" s="22">
        <f>INDEX(Auxiliar!$D$5:$F$13,MATCH(Table1[[#This Row],[Tipologia_Testes]],Auxiliar!$B$5:$B$13,0),MATCH(Table1[[#This Row],[Complexidade]],Auxiliar!$D$4:$F$4,0))</f>
        <v>0.1</v>
      </c>
      <c r="P636" s="3" t="s">
        <v>1177</v>
      </c>
      <c r="Q636" s="3" t="s">
        <v>1170</v>
      </c>
      <c r="R636" s="173">
        <v>45261</v>
      </c>
      <c r="S636" s="173"/>
      <c r="T636" s="173"/>
      <c r="U636" s="173"/>
      <c r="V636" s="173"/>
      <c r="W636" s="3">
        <f>VLOOKUP(Table1[[#This Row],[Status]],Auxiliar!$B$16:$D$23,3,0)*Table1[[#This Row],[Estimação (horas)]]</f>
        <v>0.1</v>
      </c>
      <c r="X636" s="3"/>
    </row>
    <row r="637" spans="2:24" ht="17.399999999999999" hidden="1" customHeight="1">
      <c r="B637" s="3" t="s">
        <v>28</v>
      </c>
      <c r="C637" s="3" t="s">
        <v>301</v>
      </c>
      <c r="D637" s="3" t="s">
        <v>303</v>
      </c>
      <c r="E637" s="3" t="s">
        <v>38</v>
      </c>
      <c r="F637" s="3" t="s">
        <v>302</v>
      </c>
      <c r="G637" s="3" t="s">
        <v>44</v>
      </c>
      <c r="H637" s="63" t="str">
        <f>Table1[[#This Row],[Tabela]]&amp;Table1[[#This Row],[Campo]]</f>
        <v>modesg_out_bens_imoveisckctabem</v>
      </c>
      <c r="I637" s="4" t="s">
        <v>477</v>
      </c>
      <c r="J637" s="60">
        <f>VLOOKUP(Table1[[#This Row],[Status]],Auxiliar!$B$16:$C$23,2,0)</f>
        <v>1</v>
      </c>
      <c r="K637" s="3" t="s">
        <v>1137</v>
      </c>
      <c r="L637" s="3" t="s">
        <v>1144</v>
      </c>
      <c r="M637" s="22" t="s">
        <v>1145</v>
      </c>
      <c r="N637" s="53">
        <v>45485</v>
      </c>
      <c r="O637" s="22">
        <f>INDEX(Auxiliar!$D$5:$F$13,MATCH(Table1[[#This Row],[Tipologia_Testes]],Auxiliar!$B$5:$B$13,0),MATCH(Table1[[#This Row],[Complexidade]],Auxiliar!$D$4:$F$4,0))</f>
        <v>2</v>
      </c>
      <c r="P637" s="3" t="s">
        <v>1177</v>
      </c>
      <c r="Q637" s="3" t="s">
        <v>1170</v>
      </c>
      <c r="R637" s="173">
        <v>45261</v>
      </c>
      <c r="S637" s="173"/>
      <c r="T637" s="173"/>
      <c r="U637" s="173"/>
      <c r="V637" s="173"/>
      <c r="W637" s="3">
        <f>VLOOKUP(Table1[[#This Row],[Status]],Auxiliar!$B$16:$D$23,3,0)*Table1[[#This Row],[Estimação (horas)]]</f>
        <v>2</v>
      </c>
      <c r="X637" s="3"/>
    </row>
    <row r="638" spans="2:24" ht="17.399999999999999" hidden="1" customHeight="1">
      <c r="B638" s="3" t="s">
        <v>28</v>
      </c>
      <c r="C638" s="3" t="s">
        <v>301</v>
      </c>
      <c r="D638" s="3" t="s">
        <v>303</v>
      </c>
      <c r="E638" s="3" t="s">
        <v>38</v>
      </c>
      <c r="F638" s="3" t="s">
        <v>302</v>
      </c>
      <c r="G638" s="3" t="s">
        <v>44</v>
      </c>
      <c r="H638" s="63" t="str">
        <f>Table1[[#This Row],[Tabela]]&amp;Table1[[#This Row],[Campo]]</f>
        <v>modesg_out_bens_imoveisckctabem</v>
      </c>
      <c r="I638" s="4" t="s">
        <v>477</v>
      </c>
      <c r="J638" s="60">
        <f>VLOOKUP(Table1[[#This Row],[Status]],Auxiliar!$B$16:$C$23,2,0)</f>
        <v>1</v>
      </c>
      <c r="K638" s="3" t="s">
        <v>1138</v>
      </c>
      <c r="L638" s="3" t="s">
        <v>1144</v>
      </c>
      <c r="M638" s="22" t="s">
        <v>1145</v>
      </c>
      <c r="N638" s="53">
        <v>45485</v>
      </c>
      <c r="O638" s="22">
        <f>INDEX(Auxiliar!$D$5:$F$13,MATCH(Table1[[#This Row],[Tipologia_Testes]],Auxiliar!$B$5:$B$13,0),MATCH(Table1[[#This Row],[Complexidade]],Auxiliar!$D$4:$F$4,0))</f>
        <v>2</v>
      </c>
      <c r="P638" s="3" t="s">
        <v>1177</v>
      </c>
      <c r="Q638" s="3" t="s">
        <v>1170</v>
      </c>
      <c r="R638" s="173">
        <v>45261</v>
      </c>
      <c r="S638" s="173"/>
      <c r="T638" s="173"/>
      <c r="U638" s="173"/>
      <c r="V638" s="173"/>
      <c r="W638" s="3">
        <f>VLOOKUP(Table1[[#This Row],[Status]],Auxiliar!$B$16:$D$23,3,0)*Table1[[#This Row],[Estimação (horas)]]</f>
        <v>2</v>
      </c>
      <c r="X638" s="3"/>
    </row>
    <row r="639" spans="2:24" ht="17.399999999999999" hidden="1" customHeight="1">
      <c r="B639" s="3" t="s">
        <v>28</v>
      </c>
      <c r="C639" s="3" t="s">
        <v>301</v>
      </c>
      <c r="D639" s="3" t="s">
        <v>303</v>
      </c>
      <c r="E639" s="3" t="s">
        <v>38</v>
      </c>
      <c r="F639" s="3" t="s">
        <v>302</v>
      </c>
      <c r="G639" s="3" t="s">
        <v>44</v>
      </c>
      <c r="H639" s="63" t="str">
        <f>Table1[[#This Row],[Tabela]]&amp;Table1[[#This Row],[Campo]]</f>
        <v>modesg_out_bens_imoveisckctabem</v>
      </c>
      <c r="I639" s="4" t="s">
        <v>477</v>
      </c>
      <c r="J639" s="60">
        <f>VLOOKUP(Table1[[#This Row],[Status]],Auxiliar!$B$16:$C$23,2,0)</f>
        <v>1</v>
      </c>
      <c r="K639" s="3" t="s">
        <v>1141</v>
      </c>
      <c r="L639" s="3" t="s">
        <v>1144</v>
      </c>
      <c r="M639" s="22" t="s">
        <v>1145</v>
      </c>
      <c r="N639" s="53">
        <v>45485</v>
      </c>
      <c r="O639" s="22">
        <f>INDEX(Auxiliar!$D$5:$F$13,MATCH(Table1[[#This Row],[Tipologia_Testes]],Auxiliar!$B$5:$B$13,0),MATCH(Table1[[#This Row],[Complexidade]],Auxiliar!$D$4:$F$4,0))</f>
        <v>0.1</v>
      </c>
      <c r="P639" s="3" t="s">
        <v>1177</v>
      </c>
      <c r="Q639" s="3" t="s">
        <v>1170</v>
      </c>
      <c r="R639" s="173">
        <v>45261</v>
      </c>
      <c r="S639" s="173"/>
      <c r="T639" s="173"/>
      <c r="U639" s="173"/>
      <c r="V639" s="173"/>
      <c r="W639" s="3">
        <f>VLOOKUP(Table1[[#This Row],[Status]],Auxiliar!$B$16:$D$23,3,0)*Table1[[#This Row],[Estimação (horas)]]</f>
        <v>0.1</v>
      </c>
      <c r="X639" s="3"/>
    </row>
    <row r="640" spans="2:24" ht="17.399999999999999" hidden="1" customHeight="1">
      <c r="B640" s="3" t="s">
        <v>28</v>
      </c>
      <c r="C640" s="3" t="s">
        <v>301</v>
      </c>
      <c r="D640" s="3" t="s">
        <v>303</v>
      </c>
      <c r="E640" s="3" t="s">
        <v>38</v>
      </c>
      <c r="F640" s="3" t="s">
        <v>302</v>
      </c>
      <c r="G640" s="3" t="s">
        <v>45</v>
      </c>
      <c r="H640" s="63" t="str">
        <f>Table1[[#This Row],[Tabela]]&amp;Table1[[#This Row],[Campo]]</f>
        <v>modesg_out_bens_imoveisckrefbem</v>
      </c>
      <c r="I640" s="4" t="s">
        <v>477</v>
      </c>
      <c r="J640" s="60">
        <f>VLOOKUP(Table1[[#This Row],[Status]],Auxiliar!$B$16:$C$23,2,0)</f>
        <v>1</v>
      </c>
      <c r="K640" s="3" t="s">
        <v>1137</v>
      </c>
      <c r="L640" s="3" t="s">
        <v>1144</v>
      </c>
      <c r="M640" s="22" t="s">
        <v>1145</v>
      </c>
      <c r="N640" s="53">
        <v>45485</v>
      </c>
      <c r="O640" s="22">
        <f>INDEX(Auxiliar!$D$5:$F$13,MATCH(Table1[[#This Row],[Tipologia_Testes]],Auxiliar!$B$5:$B$13,0),MATCH(Table1[[#This Row],[Complexidade]],Auxiliar!$D$4:$F$4,0))</f>
        <v>2</v>
      </c>
      <c r="P640" s="3" t="s">
        <v>1177</v>
      </c>
      <c r="Q640" s="3" t="s">
        <v>1170</v>
      </c>
      <c r="R640" s="173">
        <v>45261</v>
      </c>
      <c r="S640" s="173"/>
      <c r="T640" s="173"/>
      <c r="U640" s="173"/>
      <c r="V640" s="173"/>
      <c r="W640" s="3">
        <f>VLOOKUP(Table1[[#This Row],[Status]],Auxiliar!$B$16:$D$23,3,0)*Table1[[#This Row],[Estimação (horas)]]</f>
        <v>2</v>
      </c>
      <c r="X640" s="3"/>
    </row>
    <row r="641" spans="2:24" ht="17.399999999999999" hidden="1" customHeight="1">
      <c r="B641" s="3" t="s">
        <v>28</v>
      </c>
      <c r="C641" s="3" t="s">
        <v>301</v>
      </c>
      <c r="D641" s="3" t="s">
        <v>303</v>
      </c>
      <c r="E641" s="3" t="s">
        <v>38</v>
      </c>
      <c r="F641" s="3" t="s">
        <v>302</v>
      </c>
      <c r="G641" s="3" t="s">
        <v>45</v>
      </c>
      <c r="H641" s="63" t="str">
        <f>Table1[[#This Row],[Tabela]]&amp;Table1[[#This Row],[Campo]]</f>
        <v>modesg_out_bens_imoveisckrefbem</v>
      </c>
      <c r="I641" s="4" t="s">
        <v>477</v>
      </c>
      <c r="J641" s="60">
        <f>VLOOKUP(Table1[[#This Row],[Status]],Auxiliar!$B$16:$C$23,2,0)</f>
        <v>1</v>
      </c>
      <c r="K641" s="3" t="s">
        <v>1138</v>
      </c>
      <c r="L641" s="3" t="s">
        <v>1144</v>
      </c>
      <c r="M641" s="22" t="s">
        <v>1145</v>
      </c>
      <c r="N641" s="53">
        <v>45485</v>
      </c>
      <c r="O641" s="22">
        <f>INDEX(Auxiliar!$D$5:$F$13,MATCH(Table1[[#This Row],[Tipologia_Testes]],Auxiliar!$B$5:$B$13,0),MATCH(Table1[[#This Row],[Complexidade]],Auxiliar!$D$4:$F$4,0))</f>
        <v>2</v>
      </c>
      <c r="P641" s="3" t="s">
        <v>1177</v>
      </c>
      <c r="Q641" s="3" t="s">
        <v>1170</v>
      </c>
      <c r="R641" s="173">
        <v>45261</v>
      </c>
      <c r="S641" s="173"/>
      <c r="T641" s="173"/>
      <c r="U641" s="173"/>
      <c r="V641" s="173"/>
      <c r="W641" s="3">
        <f>VLOOKUP(Table1[[#This Row],[Status]],Auxiliar!$B$16:$D$23,3,0)*Table1[[#This Row],[Estimação (horas)]]</f>
        <v>2</v>
      </c>
      <c r="X641" s="3"/>
    </row>
    <row r="642" spans="2:24" ht="17.399999999999999" hidden="1" customHeight="1">
      <c r="B642" s="3" t="s">
        <v>28</v>
      </c>
      <c r="C642" s="3" t="s">
        <v>301</v>
      </c>
      <c r="D642" s="3" t="s">
        <v>303</v>
      </c>
      <c r="E642" s="3" t="s">
        <v>38</v>
      </c>
      <c r="F642" s="3" t="s">
        <v>302</v>
      </c>
      <c r="G642" s="3" t="s">
        <v>45</v>
      </c>
      <c r="H642" s="63" t="str">
        <f>Table1[[#This Row],[Tabela]]&amp;Table1[[#This Row],[Campo]]</f>
        <v>modesg_out_bens_imoveisckrefbem</v>
      </c>
      <c r="I642" s="4" t="s">
        <v>477</v>
      </c>
      <c r="J642" s="60">
        <f>VLOOKUP(Table1[[#This Row],[Status]],Auxiliar!$B$16:$C$23,2,0)</f>
        <v>1</v>
      </c>
      <c r="K642" s="3" t="s">
        <v>1141</v>
      </c>
      <c r="L642" s="3" t="s">
        <v>1144</v>
      </c>
      <c r="M642" s="22" t="s">
        <v>1145</v>
      </c>
      <c r="N642" s="53">
        <v>45485</v>
      </c>
      <c r="O642" s="22">
        <f>INDEX(Auxiliar!$D$5:$F$13,MATCH(Table1[[#This Row],[Tipologia_Testes]],Auxiliar!$B$5:$B$13,0),MATCH(Table1[[#This Row],[Complexidade]],Auxiliar!$D$4:$F$4,0))</f>
        <v>0.1</v>
      </c>
      <c r="P642" s="3" t="s">
        <v>1177</v>
      </c>
      <c r="Q642" s="3" t="s">
        <v>1170</v>
      </c>
      <c r="R642" s="173">
        <v>45261</v>
      </c>
      <c r="S642" s="173"/>
      <c r="T642" s="173"/>
      <c r="U642" s="173"/>
      <c r="V642" s="173"/>
      <c r="W642" s="3">
        <f>VLOOKUP(Table1[[#This Row],[Status]],Auxiliar!$B$16:$D$23,3,0)*Table1[[#This Row],[Estimação (horas)]]</f>
        <v>0.1</v>
      </c>
      <c r="X642" s="3"/>
    </row>
    <row r="643" spans="2:24" ht="17.399999999999999" hidden="1" customHeight="1">
      <c r="B643" s="3" t="s">
        <v>28</v>
      </c>
      <c r="C643" s="3" t="s">
        <v>301</v>
      </c>
      <c r="D643" s="3" t="s">
        <v>303</v>
      </c>
      <c r="E643" s="3" t="s">
        <v>38</v>
      </c>
      <c r="F643" s="3" t="s">
        <v>302</v>
      </c>
      <c r="G643" s="3" t="s">
        <v>273</v>
      </c>
      <c r="H643" s="63" t="str">
        <f>Table1[[#This Row],[Tabela]]&amp;Table1[[#This Row],[Campo]]</f>
        <v>modesg_out_bens_imoveisflg_rsc_fsc_agd</v>
      </c>
      <c r="I643" s="3" t="s">
        <v>479</v>
      </c>
      <c r="J643" s="45">
        <f>VLOOKUP(Table1[[#This Row],[Status]],Auxiliar!$B$16:$C$23,2,0)</f>
        <v>4</v>
      </c>
      <c r="K643" s="3" t="s">
        <v>1137</v>
      </c>
      <c r="L643" s="3" t="s">
        <v>1144</v>
      </c>
      <c r="M643" s="22" t="s">
        <v>1136</v>
      </c>
      <c r="N643" s="53">
        <v>45499</v>
      </c>
      <c r="O643" s="22">
        <f>INDEX(Auxiliar!$D$5:$F$13,MATCH(Table1[[#This Row],[Tipologia_Testes]],Auxiliar!$B$5:$B$13,0),MATCH(Table1[[#This Row],[Complexidade]],Auxiliar!$D$4:$F$4,0))</f>
        <v>8</v>
      </c>
      <c r="P643" s="3"/>
      <c r="Q643" s="3" t="s">
        <v>1170</v>
      </c>
      <c r="R643" s="173">
        <v>45561</v>
      </c>
      <c r="S643" s="173"/>
      <c r="T643" s="173">
        <v>45561</v>
      </c>
      <c r="U643" s="173"/>
      <c r="V643" s="173"/>
      <c r="W643" s="3">
        <f>VLOOKUP(Table1[[#This Row],[Status]],Auxiliar!$B$16:$D$23,3,0)*Table1[[#This Row],[Estimação (horas)]]</f>
        <v>2</v>
      </c>
      <c r="X643" s="3"/>
    </row>
    <row r="644" spans="2:24" ht="17.399999999999999" hidden="1" customHeight="1">
      <c r="B644" s="3" t="s">
        <v>28</v>
      </c>
      <c r="C644" s="3" t="s">
        <v>301</v>
      </c>
      <c r="D644" s="3" t="s">
        <v>303</v>
      </c>
      <c r="E644" s="3" t="s">
        <v>38</v>
      </c>
      <c r="F644" s="3" t="s">
        <v>302</v>
      </c>
      <c r="G644" s="3" t="s">
        <v>273</v>
      </c>
      <c r="H644" s="63" t="str">
        <f>Table1[[#This Row],[Tabela]]&amp;Table1[[#This Row],[Campo]]</f>
        <v>modesg_out_bens_imoveisflg_rsc_fsc_agd</v>
      </c>
      <c r="I644" s="3" t="s">
        <v>479</v>
      </c>
      <c r="J644" s="45">
        <f>VLOOKUP(Table1[[#This Row],[Status]],Auxiliar!$B$16:$C$23,2,0)</f>
        <v>4</v>
      </c>
      <c r="K644" s="3" t="s">
        <v>1138</v>
      </c>
      <c r="L644" s="3" t="s">
        <v>1144</v>
      </c>
      <c r="M644" s="22" t="s">
        <v>1136</v>
      </c>
      <c r="N644" s="53">
        <v>45499</v>
      </c>
      <c r="O644" s="22">
        <f>INDEX(Auxiliar!$D$5:$F$13,MATCH(Table1[[#This Row],[Tipologia_Testes]],Auxiliar!$B$5:$B$13,0),MATCH(Table1[[#This Row],[Complexidade]],Auxiliar!$D$4:$F$4,0))</f>
        <v>8</v>
      </c>
      <c r="P644" s="3"/>
      <c r="Q644" s="3" t="s">
        <v>1170</v>
      </c>
      <c r="R644" s="173">
        <v>45561</v>
      </c>
      <c r="S644" s="173"/>
      <c r="T644" s="173">
        <v>45561</v>
      </c>
      <c r="U644" s="173"/>
      <c r="V644" s="173"/>
      <c r="W644" s="3">
        <f>VLOOKUP(Table1[[#This Row],[Status]],Auxiliar!$B$16:$D$23,3,0)*Table1[[#This Row],[Estimação (horas)]]</f>
        <v>2</v>
      </c>
      <c r="X644" s="3"/>
    </row>
    <row r="645" spans="2:24" ht="17.399999999999999" hidden="1" customHeight="1">
      <c r="B645" s="3" t="s">
        <v>28</v>
      </c>
      <c r="C645" s="3" t="s">
        <v>301</v>
      </c>
      <c r="D645" s="3" t="s">
        <v>303</v>
      </c>
      <c r="E645" s="3" t="s">
        <v>38</v>
      </c>
      <c r="F645" s="3" t="s">
        <v>302</v>
      </c>
      <c r="G645" s="3" t="s">
        <v>273</v>
      </c>
      <c r="H645" s="63" t="str">
        <f>Table1[[#This Row],[Tabela]]&amp;Table1[[#This Row],[Campo]]</f>
        <v>modesg_out_bens_imoveisflg_rsc_fsc_agd</v>
      </c>
      <c r="I645" s="3" t="s">
        <v>479</v>
      </c>
      <c r="J645" s="45">
        <f>VLOOKUP(Table1[[#This Row],[Status]],Auxiliar!$B$16:$C$23,2,0)</f>
        <v>4</v>
      </c>
      <c r="K645" s="3" t="s">
        <v>1141</v>
      </c>
      <c r="L645" s="3" t="s">
        <v>1144</v>
      </c>
      <c r="M645" s="22" t="s">
        <v>1136</v>
      </c>
      <c r="N645" s="53">
        <v>45499</v>
      </c>
      <c r="O645" s="22">
        <f>INDEX(Auxiliar!$D$5:$F$13,MATCH(Table1[[#This Row],[Tipologia_Testes]],Auxiliar!$B$5:$B$13,0),MATCH(Table1[[#This Row],[Complexidade]],Auxiliar!$D$4:$F$4,0))</f>
        <v>0.1</v>
      </c>
      <c r="P645" s="3"/>
      <c r="Q645" s="3" t="s">
        <v>1170</v>
      </c>
      <c r="R645" s="173">
        <v>45561</v>
      </c>
      <c r="S645" s="173"/>
      <c r="T645" s="173">
        <v>45561</v>
      </c>
      <c r="U645" s="173"/>
      <c r="V645" s="173"/>
      <c r="W645" s="3">
        <f>VLOOKUP(Table1[[#This Row],[Status]],Auxiliar!$B$16:$D$23,3,0)*Table1[[#This Row],[Estimação (horas)]]</f>
        <v>2.5000000000000001E-2</v>
      </c>
      <c r="X645" s="3"/>
    </row>
    <row r="646" spans="2:24" ht="17.399999999999999" hidden="1" customHeight="1">
      <c r="B646" s="3" t="s">
        <v>28</v>
      </c>
      <c r="C646" s="3" t="s">
        <v>301</v>
      </c>
      <c r="D646" s="3" t="s">
        <v>303</v>
      </c>
      <c r="E646" s="3" t="s">
        <v>38</v>
      </c>
      <c r="F646" s="3" t="s">
        <v>302</v>
      </c>
      <c r="G646" s="3" t="s">
        <v>274</v>
      </c>
      <c r="H646" s="63" t="str">
        <f>Table1[[#This Row],[Tabela]]&amp;Table1[[#This Row],[Campo]]</f>
        <v>modesg_out_bens_imoveisflg_rsc_fsc_crnc</v>
      </c>
      <c r="I646" s="3" t="s">
        <v>479</v>
      </c>
      <c r="J646" s="45">
        <f>VLOOKUP(Table1[[#This Row],[Status]],Auxiliar!$B$16:$C$23,2,0)</f>
        <v>4</v>
      </c>
      <c r="K646" s="3" t="s">
        <v>1137</v>
      </c>
      <c r="L646" s="3" t="s">
        <v>1144</v>
      </c>
      <c r="M646" s="22" t="s">
        <v>1136</v>
      </c>
      <c r="N646" s="53">
        <v>45499</v>
      </c>
      <c r="O646" s="22">
        <f>INDEX(Auxiliar!$D$5:$F$13,MATCH(Table1[[#This Row],[Tipologia_Testes]],Auxiliar!$B$5:$B$13,0),MATCH(Table1[[#This Row],[Complexidade]],Auxiliar!$D$4:$F$4,0))</f>
        <v>8</v>
      </c>
      <c r="P646" s="3"/>
      <c r="Q646" s="3" t="s">
        <v>1170</v>
      </c>
      <c r="R646" s="173">
        <v>45561</v>
      </c>
      <c r="S646" s="173"/>
      <c r="T646" s="173">
        <v>45561</v>
      </c>
      <c r="U646" s="173"/>
      <c r="V646" s="173"/>
      <c r="W646" s="3">
        <f>VLOOKUP(Table1[[#This Row],[Status]],Auxiliar!$B$16:$D$23,3,0)*Table1[[#This Row],[Estimação (horas)]]</f>
        <v>2</v>
      </c>
      <c r="X646" s="3"/>
    </row>
    <row r="647" spans="2:24" ht="17.399999999999999" hidden="1" customHeight="1">
      <c r="B647" s="3" t="s">
        <v>28</v>
      </c>
      <c r="C647" s="3" t="s">
        <v>301</v>
      </c>
      <c r="D647" s="3" t="s">
        <v>303</v>
      </c>
      <c r="E647" s="3" t="s">
        <v>38</v>
      </c>
      <c r="F647" s="3" t="s">
        <v>302</v>
      </c>
      <c r="G647" s="3" t="s">
        <v>274</v>
      </c>
      <c r="H647" s="63" t="str">
        <f>Table1[[#This Row],[Tabela]]&amp;Table1[[#This Row],[Campo]]</f>
        <v>modesg_out_bens_imoveisflg_rsc_fsc_crnc</v>
      </c>
      <c r="I647" s="3" t="s">
        <v>479</v>
      </c>
      <c r="J647" s="45">
        <f>VLOOKUP(Table1[[#This Row],[Status]],Auxiliar!$B$16:$C$23,2,0)</f>
        <v>4</v>
      </c>
      <c r="K647" s="3" t="s">
        <v>1138</v>
      </c>
      <c r="L647" s="3" t="s">
        <v>1144</v>
      </c>
      <c r="M647" s="22" t="s">
        <v>1136</v>
      </c>
      <c r="N647" s="53">
        <v>45499</v>
      </c>
      <c r="O647" s="22">
        <f>INDEX(Auxiliar!$D$5:$F$13,MATCH(Table1[[#This Row],[Tipologia_Testes]],Auxiliar!$B$5:$B$13,0),MATCH(Table1[[#This Row],[Complexidade]],Auxiliar!$D$4:$F$4,0))</f>
        <v>8</v>
      </c>
      <c r="P647" s="3"/>
      <c r="Q647" s="3" t="s">
        <v>1170</v>
      </c>
      <c r="R647" s="173">
        <v>45561</v>
      </c>
      <c r="S647" s="173"/>
      <c r="T647" s="173">
        <v>45561</v>
      </c>
      <c r="U647" s="173"/>
      <c r="V647" s="173"/>
      <c r="W647" s="3">
        <f>VLOOKUP(Table1[[#This Row],[Status]],Auxiliar!$B$16:$D$23,3,0)*Table1[[#This Row],[Estimação (horas)]]</f>
        <v>2</v>
      </c>
      <c r="X647" s="3"/>
    </row>
    <row r="648" spans="2:24" ht="17.399999999999999" hidden="1" customHeight="1">
      <c r="B648" s="3" t="s">
        <v>28</v>
      </c>
      <c r="C648" s="3" t="s">
        <v>301</v>
      </c>
      <c r="D648" s="3" t="s">
        <v>303</v>
      </c>
      <c r="E648" s="3" t="s">
        <v>38</v>
      </c>
      <c r="F648" s="3" t="s">
        <v>302</v>
      </c>
      <c r="G648" s="3" t="s">
        <v>274</v>
      </c>
      <c r="H648" s="63" t="str">
        <f>Table1[[#This Row],[Tabela]]&amp;Table1[[#This Row],[Campo]]</f>
        <v>modesg_out_bens_imoveisflg_rsc_fsc_crnc</v>
      </c>
      <c r="I648" s="3" t="s">
        <v>479</v>
      </c>
      <c r="J648" s="45">
        <f>VLOOKUP(Table1[[#This Row],[Status]],Auxiliar!$B$16:$C$23,2,0)</f>
        <v>4</v>
      </c>
      <c r="K648" s="3" t="s">
        <v>1141</v>
      </c>
      <c r="L648" s="3" t="s">
        <v>1144</v>
      </c>
      <c r="M648" s="22" t="s">
        <v>1136</v>
      </c>
      <c r="N648" s="53">
        <v>45499</v>
      </c>
      <c r="O648" s="22">
        <f>INDEX(Auxiliar!$D$5:$F$13,MATCH(Table1[[#This Row],[Tipologia_Testes]],Auxiliar!$B$5:$B$13,0),MATCH(Table1[[#This Row],[Complexidade]],Auxiliar!$D$4:$F$4,0))</f>
        <v>0.1</v>
      </c>
      <c r="P648" s="3"/>
      <c r="Q648" s="3" t="s">
        <v>1170</v>
      </c>
      <c r="R648" s="173">
        <v>45561</v>
      </c>
      <c r="S648" s="173"/>
      <c r="T648" s="173">
        <v>45561</v>
      </c>
      <c r="U648" s="173"/>
      <c r="V648" s="173"/>
      <c r="W648" s="3">
        <f>VLOOKUP(Table1[[#This Row],[Status]],Auxiliar!$B$16:$D$23,3,0)*Table1[[#This Row],[Estimação (horas)]]</f>
        <v>2.5000000000000001E-2</v>
      </c>
      <c r="X648" s="3"/>
    </row>
    <row r="649" spans="2:24" ht="52.2" hidden="1" customHeight="1">
      <c r="B649" s="3" t="s">
        <v>28</v>
      </c>
      <c r="C649" s="3" t="s">
        <v>301</v>
      </c>
      <c r="D649" s="3" t="s">
        <v>303</v>
      </c>
      <c r="E649" s="3" t="s">
        <v>38</v>
      </c>
      <c r="F649" s="3" t="s">
        <v>302</v>
      </c>
      <c r="G649" s="3" t="s">
        <v>304</v>
      </c>
      <c r="H649" s="63" t="str">
        <f>Table1[[#This Row],[Tabela]]&amp;Table1[[#This Row],[Campo]]</f>
        <v>modesg_out_bens_imoveisorigem_flg_rsc_fsc_agd</v>
      </c>
      <c r="I649" s="3" t="s">
        <v>479</v>
      </c>
      <c r="J649" s="45">
        <f>VLOOKUP(Table1[[#This Row],[Status]],Auxiliar!$B$16:$C$23,2,0)</f>
        <v>4</v>
      </c>
      <c r="K649" s="3" t="s">
        <v>1137</v>
      </c>
      <c r="L649" s="3" t="s">
        <v>1135</v>
      </c>
      <c r="M649" s="22" t="s">
        <v>1145</v>
      </c>
      <c r="N649" s="53">
        <v>45499</v>
      </c>
      <c r="O649" s="22">
        <f>INDEX(Auxiliar!$D$5:$F$13,MATCH(Table1[[#This Row],[Tipologia_Testes]],Auxiliar!$B$5:$B$13,0),MATCH(Table1[[#This Row],[Complexidade]],Auxiliar!$D$4:$F$4,0))</f>
        <v>2</v>
      </c>
      <c r="P649" s="24" t="s">
        <v>1181</v>
      </c>
      <c r="Q649" s="3" t="s">
        <v>1170</v>
      </c>
      <c r="R649" s="173">
        <v>45561</v>
      </c>
      <c r="S649" s="173"/>
      <c r="T649" s="173">
        <v>45561</v>
      </c>
      <c r="U649" s="173"/>
      <c r="V649" s="173"/>
      <c r="W649" s="3">
        <f>VLOOKUP(Table1[[#This Row],[Status]],Auxiliar!$B$16:$D$23,3,0)*Table1[[#This Row],[Estimação (horas)]]</f>
        <v>0.5</v>
      </c>
      <c r="X649" s="3"/>
    </row>
    <row r="650" spans="2:24" ht="52.2" hidden="1" customHeight="1">
      <c r="B650" s="3" t="s">
        <v>28</v>
      </c>
      <c r="C650" s="3" t="s">
        <v>301</v>
      </c>
      <c r="D650" s="3" t="s">
        <v>303</v>
      </c>
      <c r="E650" s="3" t="s">
        <v>38</v>
      </c>
      <c r="F650" s="3" t="s">
        <v>302</v>
      </c>
      <c r="G650" s="3" t="s">
        <v>304</v>
      </c>
      <c r="H650" s="63" t="str">
        <f>Table1[[#This Row],[Tabela]]&amp;Table1[[#This Row],[Campo]]</f>
        <v>modesg_out_bens_imoveisorigem_flg_rsc_fsc_agd</v>
      </c>
      <c r="I650" s="3" t="s">
        <v>479</v>
      </c>
      <c r="J650" s="45">
        <f>VLOOKUP(Table1[[#This Row],[Status]],Auxiliar!$B$16:$C$23,2,0)</f>
        <v>4</v>
      </c>
      <c r="K650" s="3" t="s">
        <v>1138</v>
      </c>
      <c r="L650" s="3" t="s">
        <v>1135</v>
      </c>
      <c r="M650" s="22" t="s">
        <v>1145</v>
      </c>
      <c r="N650" s="53">
        <v>45499</v>
      </c>
      <c r="O650" s="22">
        <f>INDEX(Auxiliar!$D$5:$F$13,MATCH(Table1[[#This Row],[Tipologia_Testes]],Auxiliar!$B$5:$B$13,0),MATCH(Table1[[#This Row],[Complexidade]],Auxiliar!$D$4:$F$4,0))</f>
        <v>2</v>
      </c>
      <c r="P650" s="24" t="s">
        <v>1181</v>
      </c>
      <c r="Q650" s="3" t="s">
        <v>1170</v>
      </c>
      <c r="R650" s="173">
        <v>45561</v>
      </c>
      <c r="S650" s="173"/>
      <c r="T650" s="173">
        <v>45561</v>
      </c>
      <c r="U650" s="173"/>
      <c r="V650" s="173"/>
      <c r="W650" s="3">
        <f>VLOOKUP(Table1[[#This Row],[Status]],Auxiliar!$B$16:$D$23,3,0)*Table1[[#This Row],[Estimação (horas)]]</f>
        <v>0.5</v>
      </c>
      <c r="X650" s="3"/>
    </row>
    <row r="651" spans="2:24" ht="52.2" hidden="1" customHeight="1">
      <c r="B651" s="3" t="s">
        <v>28</v>
      </c>
      <c r="C651" s="3" t="s">
        <v>301</v>
      </c>
      <c r="D651" s="3" t="s">
        <v>303</v>
      </c>
      <c r="E651" s="3" t="s">
        <v>38</v>
      </c>
      <c r="F651" s="3" t="s">
        <v>302</v>
      </c>
      <c r="G651" s="3" t="s">
        <v>304</v>
      </c>
      <c r="H651" s="63" t="str">
        <f>Table1[[#This Row],[Tabela]]&amp;Table1[[#This Row],[Campo]]</f>
        <v>modesg_out_bens_imoveisorigem_flg_rsc_fsc_agd</v>
      </c>
      <c r="I651" s="3" t="s">
        <v>479</v>
      </c>
      <c r="J651" s="45">
        <f>VLOOKUP(Table1[[#This Row],[Status]],Auxiliar!$B$16:$C$23,2,0)</f>
        <v>4</v>
      </c>
      <c r="K651" s="3" t="s">
        <v>1141</v>
      </c>
      <c r="L651" s="3" t="s">
        <v>1135</v>
      </c>
      <c r="M651" s="22" t="s">
        <v>1145</v>
      </c>
      <c r="N651" s="53">
        <v>45499</v>
      </c>
      <c r="O651" s="22">
        <f>INDEX(Auxiliar!$D$5:$F$13,MATCH(Table1[[#This Row],[Tipologia_Testes]],Auxiliar!$B$5:$B$13,0),MATCH(Table1[[#This Row],[Complexidade]],Auxiliar!$D$4:$F$4,0))</f>
        <v>0.1</v>
      </c>
      <c r="P651" s="24" t="s">
        <v>1181</v>
      </c>
      <c r="Q651" s="3" t="s">
        <v>1170</v>
      </c>
      <c r="R651" s="173">
        <v>45561</v>
      </c>
      <c r="S651" s="173"/>
      <c r="T651" s="173">
        <v>45561</v>
      </c>
      <c r="U651" s="173"/>
      <c r="V651" s="173"/>
      <c r="W651" s="3">
        <f>VLOOKUP(Table1[[#This Row],[Status]],Auxiliar!$B$16:$D$23,3,0)*Table1[[#This Row],[Estimação (horas)]]</f>
        <v>2.5000000000000001E-2</v>
      </c>
      <c r="X651" s="3"/>
    </row>
    <row r="652" spans="2:24" ht="52.2" hidden="1" customHeight="1">
      <c r="B652" s="3" t="s">
        <v>28</v>
      </c>
      <c r="C652" s="3" t="s">
        <v>301</v>
      </c>
      <c r="D652" s="3" t="s">
        <v>303</v>
      </c>
      <c r="E652" s="3" t="s">
        <v>38</v>
      </c>
      <c r="F652" s="3" t="s">
        <v>302</v>
      </c>
      <c r="G652" s="3" t="s">
        <v>305</v>
      </c>
      <c r="H652" s="63" t="str">
        <f>Table1[[#This Row],[Tabela]]&amp;Table1[[#This Row],[Campo]]</f>
        <v>modesg_out_bens_imoveisorigem_flg_rsc_fsc_crnc</v>
      </c>
      <c r="I652" s="3" t="s">
        <v>479</v>
      </c>
      <c r="J652" s="45">
        <f>VLOOKUP(Table1[[#This Row],[Status]],Auxiliar!$B$16:$C$23,2,0)</f>
        <v>4</v>
      </c>
      <c r="K652" s="3" t="s">
        <v>1137</v>
      </c>
      <c r="L652" s="3" t="s">
        <v>1135</v>
      </c>
      <c r="M652" s="22" t="s">
        <v>1145</v>
      </c>
      <c r="N652" s="53">
        <v>45499</v>
      </c>
      <c r="O652" s="22">
        <f>INDEX(Auxiliar!$D$5:$F$13,MATCH(Table1[[#This Row],[Tipologia_Testes]],Auxiliar!$B$5:$B$13,0),MATCH(Table1[[#This Row],[Complexidade]],Auxiliar!$D$4:$F$4,0))</f>
        <v>2</v>
      </c>
      <c r="P652" s="24" t="s">
        <v>1181</v>
      </c>
      <c r="Q652" s="3" t="s">
        <v>1170</v>
      </c>
      <c r="R652" s="173">
        <v>45561</v>
      </c>
      <c r="S652" s="173"/>
      <c r="T652" s="173">
        <v>45561</v>
      </c>
      <c r="U652" s="173"/>
      <c r="V652" s="173"/>
      <c r="W652" s="3">
        <f>VLOOKUP(Table1[[#This Row],[Status]],Auxiliar!$B$16:$D$23,3,0)*Table1[[#This Row],[Estimação (horas)]]</f>
        <v>0.5</v>
      </c>
      <c r="X652" s="3"/>
    </row>
    <row r="653" spans="2:24" ht="52.2" hidden="1" customHeight="1">
      <c r="B653" s="3" t="s">
        <v>28</v>
      </c>
      <c r="C653" s="3" t="s">
        <v>301</v>
      </c>
      <c r="D653" s="3" t="s">
        <v>303</v>
      </c>
      <c r="E653" s="3" t="s">
        <v>38</v>
      </c>
      <c r="F653" s="3" t="s">
        <v>302</v>
      </c>
      <c r="G653" s="3" t="s">
        <v>305</v>
      </c>
      <c r="H653" s="63" t="str">
        <f>Table1[[#This Row],[Tabela]]&amp;Table1[[#This Row],[Campo]]</f>
        <v>modesg_out_bens_imoveisorigem_flg_rsc_fsc_crnc</v>
      </c>
      <c r="I653" s="3" t="s">
        <v>479</v>
      </c>
      <c r="J653" s="45">
        <f>VLOOKUP(Table1[[#This Row],[Status]],Auxiliar!$B$16:$C$23,2,0)</f>
        <v>4</v>
      </c>
      <c r="K653" s="3" t="s">
        <v>1138</v>
      </c>
      <c r="L653" s="3" t="s">
        <v>1135</v>
      </c>
      <c r="M653" s="22" t="s">
        <v>1145</v>
      </c>
      <c r="N653" s="53">
        <v>45499</v>
      </c>
      <c r="O653" s="22">
        <f>INDEX(Auxiliar!$D$5:$F$13,MATCH(Table1[[#This Row],[Tipologia_Testes]],Auxiliar!$B$5:$B$13,0),MATCH(Table1[[#This Row],[Complexidade]],Auxiliar!$D$4:$F$4,0))</f>
        <v>2</v>
      </c>
      <c r="P653" s="24" t="s">
        <v>1181</v>
      </c>
      <c r="Q653" s="3" t="s">
        <v>1170</v>
      </c>
      <c r="R653" s="173">
        <v>45561</v>
      </c>
      <c r="S653" s="173"/>
      <c r="T653" s="173">
        <v>45561</v>
      </c>
      <c r="U653" s="173"/>
      <c r="V653" s="173"/>
      <c r="W653" s="3">
        <f>VLOOKUP(Table1[[#This Row],[Status]],Auxiliar!$B$16:$D$23,3,0)*Table1[[#This Row],[Estimação (horas)]]</f>
        <v>0.5</v>
      </c>
      <c r="X653" s="3"/>
    </row>
    <row r="654" spans="2:24" ht="52.2" hidden="1" customHeight="1">
      <c r="B654" s="3" t="s">
        <v>28</v>
      </c>
      <c r="C654" s="3" t="s">
        <v>301</v>
      </c>
      <c r="D654" s="3" t="s">
        <v>303</v>
      </c>
      <c r="E654" s="3" t="s">
        <v>38</v>
      </c>
      <c r="F654" s="3" t="s">
        <v>302</v>
      </c>
      <c r="G654" s="3" t="s">
        <v>305</v>
      </c>
      <c r="H654" s="63" t="str">
        <f>Table1[[#This Row],[Tabela]]&amp;Table1[[#This Row],[Campo]]</f>
        <v>modesg_out_bens_imoveisorigem_flg_rsc_fsc_crnc</v>
      </c>
      <c r="I654" s="3" t="s">
        <v>479</v>
      </c>
      <c r="J654" s="45">
        <f>VLOOKUP(Table1[[#This Row],[Status]],Auxiliar!$B$16:$C$23,2,0)</f>
        <v>4</v>
      </c>
      <c r="K654" s="3" t="s">
        <v>1141</v>
      </c>
      <c r="L654" s="3" t="s">
        <v>1135</v>
      </c>
      <c r="M654" s="22" t="s">
        <v>1145</v>
      </c>
      <c r="N654" s="53">
        <v>45499</v>
      </c>
      <c r="O654" s="22">
        <f>INDEX(Auxiliar!$D$5:$F$13,MATCH(Table1[[#This Row],[Tipologia_Testes]],Auxiliar!$B$5:$B$13,0),MATCH(Table1[[#This Row],[Complexidade]],Auxiliar!$D$4:$F$4,0))</f>
        <v>0.1</v>
      </c>
      <c r="P654" s="24" t="s">
        <v>1181</v>
      </c>
      <c r="Q654" s="3" t="s">
        <v>1170</v>
      </c>
      <c r="R654" s="173">
        <v>45561</v>
      </c>
      <c r="S654" s="173"/>
      <c r="T654" s="173">
        <v>45561</v>
      </c>
      <c r="U654" s="173"/>
      <c r="V654" s="173"/>
      <c r="W654" s="3">
        <f>VLOOKUP(Table1[[#This Row],[Status]],Auxiliar!$B$16:$D$23,3,0)*Table1[[#This Row],[Estimação (horas)]]</f>
        <v>2.5000000000000001E-2</v>
      </c>
      <c r="X654" s="3"/>
    </row>
    <row r="655" spans="2:24" ht="52.2" hidden="1" customHeight="1">
      <c r="B655" s="3" t="s">
        <v>28</v>
      </c>
      <c r="C655" s="3" t="s">
        <v>301</v>
      </c>
      <c r="D655" s="3" t="s">
        <v>303</v>
      </c>
      <c r="E655" s="3" t="s">
        <v>38</v>
      </c>
      <c r="F655" s="3" t="s">
        <v>302</v>
      </c>
      <c r="G655" s="3" t="s">
        <v>306</v>
      </c>
      <c r="H655" s="63" t="str">
        <f>Table1[[#This Row],[Tabela]]&amp;Table1[[#This Row],[Campo]]</f>
        <v>modesg_out_bens_imoveisorigem_scp1_emss</v>
      </c>
      <c r="I655" s="3" t="s">
        <v>177</v>
      </c>
      <c r="J655" s="45">
        <f>VLOOKUP(Table1[[#This Row],[Status]],Auxiliar!$B$16:$C$23,2,0)</f>
        <v>2</v>
      </c>
      <c r="K655" s="3" t="s">
        <v>1137</v>
      </c>
      <c r="L655" s="3" t="s">
        <v>1135</v>
      </c>
      <c r="M655" s="22" t="s">
        <v>1145</v>
      </c>
      <c r="N655" s="53">
        <v>45562</v>
      </c>
      <c r="O655" s="22">
        <f>INDEX(Auxiliar!$D$5:$F$13,MATCH(Table1[[#This Row],[Tipologia_Testes]],Auxiliar!$B$5:$B$13,0),MATCH(Table1[[#This Row],[Complexidade]],Auxiliar!$D$4:$F$4,0))</f>
        <v>2</v>
      </c>
      <c r="P655" s="24" t="s">
        <v>1878</v>
      </c>
      <c r="Q655" s="3" t="s">
        <v>1170</v>
      </c>
      <c r="R655" s="173">
        <v>45261</v>
      </c>
      <c r="S655" s="173"/>
      <c r="T655" s="173">
        <v>45560</v>
      </c>
      <c r="U655" s="173"/>
      <c r="V655" s="173">
        <v>45562</v>
      </c>
      <c r="W655" s="3">
        <f>VLOOKUP(Table1[[#This Row],[Status]],Auxiliar!$B$16:$D$23,3,0)*Table1[[#This Row],[Estimação (horas)]]</f>
        <v>1</v>
      </c>
      <c r="X655" s="3"/>
    </row>
    <row r="656" spans="2:24" ht="52.2" hidden="1" customHeight="1">
      <c r="B656" s="3" t="s">
        <v>28</v>
      </c>
      <c r="C656" s="3" t="s">
        <v>301</v>
      </c>
      <c r="D656" s="3" t="s">
        <v>303</v>
      </c>
      <c r="E656" s="3" t="s">
        <v>38</v>
      </c>
      <c r="F656" s="3" t="s">
        <v>302</v>
      </c>
      <c r="G656" s="3" t="s">
        <v>306</v>
      </c>
      <c r="H656" s="63" t="str">
        <f>Table1[[#This Row],[Tabela]]&amp;Table1[[#This Row],[Campo]]</f>
        <v>modesg_out_bens_imoveisorigem_scp1_emss</v>
      </c>
      <c r="I656" s="3" t="s">
        <v>177</v>
      </c>
      <c r="J656" s="45">
        <f>VLOOKUP(Table1[[#This Row],[Status]],Auxiliar!$B$16:$C$23,2,0)</f>
        <v>2</v>
      </c>
      <c r="K656" s="3" t="s">
        <v>1138</v>
      </c>
      <c r="L656" s="3" t="s">
        <v>1135</v>
      </c>
      <c r="M656" s="22" t="s">
        <v>1145</v>
      </c>
      <c r="N656" s="53">
        <v>45562</v>
      </c>
      <c r="O656" s="22">
        <f>INDEX(Auxiliar!$D$5:$F$13,MATCH(Table1[[#This Row],[Tipologia_Testes]],Auxiliar!$B$5:$B$13,0),MATCH(Table1[[#This Row],[Complexidade]],Auxiliar!$D$4:$F$4,0))</f>
        <v>2</v>
      </c>
      <c r="P656" s="24" t="s">
        <v>1878</v>
      </c>
      <c r="Q656" s="3" t="s">
        <v>1170</v>
      </c>
      <c r="R656" s="173">
        <v>45261</v>
      </c>
      <c r="S656" s="173"/>
      <c r="T656" s="173">
        <v>45560</v>
      </c>
      <c r="U656" s="173"/>
      <c r="V656" s="173">
        <v>45562</v>
      </c>
      <c r="W656" s="3">
        <f>VLOOKUP(Table1[[#This Row],[Status]],Auxiliar!$B$16:$D$23,3,0)*Table1[[#This Row],[Estimação (horas)]]</f>
        <v>1</v>
      </c>
      <c r="X656" s="3"/>
    </row>
    <row r="657" spans="2:24" ht="52.2" hidden="1" customHeight="1">
      <c r="B657" s="3" t="s">
        <v>28</v>
      </c>
      <c r="C657" s="3" t="s">
        <v>301</v>
      </c>
      <c r="D657" s="3" t="s">
        <v>303</v>
      </c>
      <c r="E657" s="3" t="s">
        <v>38</v>
      </c>
      <c r="F657" s="3" t="s">
        <v>302</v>
      </c>
      <c r="G657" s="3" t="s">
        <v>306</v>
      </c>
      <c r="H657" s="63" t="str">
        <f>Table1[[#This Row],[Tabela]]&amp;Table1[[#This Row],[Campo]]</f>
        <v>modesg_out_bens_imoveisorigem_scp1_emss</v>
      </c>
      <c r="I657" s="3" t="s">
        <v>177</v>
      </c>
      <c r="J657" s="45">
        <f>VLOOKUP(Table1[[#This Row],[Status]],Auxiliar!$B$16:$C$23,2,0)</f>
        <v>2</v>
      </c>
      <c r="K657" s="3" t="s">
        <v>1141</v>
      </c>
      <c r="L657" s="3" t="s">
        <v>1135</v>
      </c>
      <c r="M657" s="22" t="s">
        <v>1145</v>
      </c>
      <c r="N657" s="53">
        <v>45562</v>
      </c>
      <c r="O657" s="22">
        <f>INDEX(Auxiliar!$D$5:$F$13,MATCH(Table1[[#This Row],[Tipologia_Testes]],Auxiliar!$B$5:$B$13,0),MATCH(Table1[[#This Row],[Complexidade]],Auxiliar!$D$4:$F$4,0))</f>
        <v>0.1</v>
      </c>
      <c r="P657" s="24" t="s">
        <v>1878</v>
      </c>
      <c r="Q657" s="3" t="s">
        <v>1170</v>
      </c>
      <c r="R657" s="173">
        <v>45261</v>
      </c>
      <c r="S657" s="173"/>
      <c r="T657" s="173">
        <v>45560</v>
      </c>
      <c r="U657" s="173"/>
      <c r="V657" s="173">
        <v>45562</v>
      </c>
      <c r="W657" s="3">
        <f>VLOOKUP(Table1[[#This Row],[Status]],Auxiliar!$B$16:$D$23,3,0)*Table1[[#This Row],[Estimação (horas)]]</f>
        <v>0.05</v>
      </c>
      <c r="X657" s="3"/>
    </row>
    <row r="658" spans="2:24" ht="52.2" hidden="1" customHeight="1">
      <c r="B658" s="3" t="s">
        <v>28</v>
      </c>
      <c r="C658" s="3" t="s">
        <v>301</v>
      </c>
      <c r="D658" s="3" t="s">
        <v>303</v>
      </c>
      <c r="E658" s="3" t="s">
        <v>38</v>
      </c>
      <c r="F658" s="3" t="s">
        <v>302</v>
      </c>
      <c r="G658" s="3" t="s">
        <v>307</v>
      </c>
      <c r="H658" s="63" t="str">
        <f>Table1[[#This Row],[Tabela]]&amp;Table1[[#This Row],[Campo]]</f>
        <v>modesg_out_bens_imoveisorigem_scp2_emss</v>
      </c>
      <c r="I658" s="3" t="s">
        <v>177</v>
      </c>
      <c r="J658" s="45">
        <f>VLOOKUP(Table1[[#This Row],[Status]],Auxiliar!$B$16:$C$23,2,0)</f>
        <v>2</v>
      </c>
      <c r="K658" s="3" t="s">
        <v>1137</v>
      </c>
      <c r="L658" s="3" t="s">
        <v>1135</v>
      </c>
      <c r="M658" s="22" t="s">
        <v>1145</v>
      </c>
      <c r="N658" s="53">
        <v>45562</v>
      </c>
      <c r="O658" s="22">
        <f>INDEX(Auxiliar!$D$5:$F$13,MATCH(Table1[[#This Row],[Tipologia_Testes]],Auxiliar!$B$5:$B$13,0),MATCH(Table1[[#This Row],[Complexidade]],Auxiliar!$D$4:$F$4,0))</f>
        <v>2</v>
      </c>
      <c r="P658" s="24" t="s">
        <v>1878</v>
      </c>
      <c r="Q658" s="3" t="s">
        <v>1170</v>
      </c>
      <c r="R658" s="173">
        <v>45261</v>
      </c>
      <c r="S658" s="173"/>
      <c r="T658" s="173">
        <v>45560</v>
      </c>
      <c r="U658" s="173"/>
      <c r="V658" s="173">
        <v>45562</v>
      </c>
      <c r="W658" s="3">
        <f>VLOOKUP(Table1[[#This Row],[Status]],Auxiliar!$B$16:$D$23,3,0)*Table1[[#This Row],[Estimação (horas)]]</f>
        <v>1</v>
      </c>
      <c r="X658" s="3"/>
    </row>
    <row r="659" spans="2:24" ht="52.2" hidden="1" customHeight="1">
      <c r="B659" s="3" t="s">
        <v>28</v>
      </c>
      <c r="C659" s="3" t="s">
        <v>301</v>
      </c>
      <c r="D659" s="3" t="s">
        <v>303</v>
      </c>
      <c r="E659" s="3" t="s">
        <v>38</v>
      </c>
      <c r="F659" s="3" t="s">
        <v>302</v>
      </c>
      <c r="G659" s="3" t="s">
        <v>307</v>
      </c>
      <c r="H659" s="63" t="str">
        <f>Table1[[#This Row],[Tabela]]&amp;Table1[[#This Row],[Campo]]</f>
        <v>modesg_out_bens_imoveisorigem_scp2_emss</v>
      </c>
      <c r="I659" s="3" t="s">
        <v>177</v>
      </c>
      <c r="J659" s="45">
        <f>VLOOKUP(Table1[[#This Row],[Status]],Auxiliar!$B$16:$C$23,2,0)</f>
        <v>2</v>
      </c>
      <c r="K659" s="3" t="s">
        <v>1138</v>
      </c>
      <c r="L659" s="3" t="s">
        <v>1135</v>
      </c>
      <c r="M659" s="22" t="s">
        <v>1145</v>
      </c>
      <c r="N659" s="53">
        <v>45562</v>
      </c>
      <c r="O659" s="22">
        <f>INDEX(Auxiliar!$D$5:$F$13,MATCH(Table1[[#This Row],[Tipologia_Testes]],Auxiliar!$B$5:$B$13,0),MATCH(Table1[[#This Row],[Complexidade]],Auxiliar!$D$4:$F$4,0))</f>
        <v>2</v>
      </c>
      <c r="P659" s="24" t="s">
        <v>1878</v>
      </c>
      <c r="Q659" s="3" t="s">
        <v>1170</v>
      </c>
      <c r="R659" s="173">
        <v>45261</v>
      </c>
      <c r="S659" s="173"/>
      <c r="T659" s="173">
        <v>45560</v>
      </c>
      <c r="U659" s="173"/>
      <c r="V659" s="173">
        <v>45562</v>
      </c>
      <c r="W659" s="3">
        <f>VLOOKUP(Table1[[#This Row],[Status]],Auxiliar!$B$16:$D$23,3,0)*Table1[[#This Row],[Estimação (horas)]]</f>
        <v>1</v>
      </c>
      <c r="X659" s="3"/>
    </row>
    <row r="660" spans="2:24" ht="52.2" hidden="1" customHeight="1">
      <c r="B660" s="3" t="s">
        <v>28</v>
      </c>
      <c r="C660" s="3" t="s">
        <v>301</v>
      </c>
      <c r="D660" s="3" t="s">
        <v>303</v>
      </c>
      <c r="E660" s="3" t="s">
        <v>38</v>
      </c>
      <c r="F660" s="3" t="s">
        <v>302</v>
      </c>
      <c r="G660" s="3" t="s">
        <v>307</v>
      </c>
      <c r="H660" s="63" t="str">
        <f>Table1[[#This Row],[Tabela]]&amp;Table1[[#This Row],[Campo]]</f>
        <v>modesg_out_bens_imoveisorigem_scp2_emss</v>
      </c>
      <c r="I660" s="3" t="s">
        <v>177</v>
      </c>
      <c r="J660" s="45">
        <f>VLOOKUP(Table1[[#This Row],[Status]],Auxiliar!$B$16:$C$23,2,0)</f>
        <v>2</v>
      </c>
      <c r="K660" s="3" t="s">
        <v>1141</v>
      </c>
      <c r="L660" s="3" t="s">
        <v>1135</v>
      </c>
      <c r="M660" s="22" t="s">
        <v>1145</v>
      </c>
      <c r="N660" s="53">
        <v>45562</v>
      </c>
      <c r="O660" s="22">
        <f>INDEX(Auxiliar!$D$5:$F$13,MATCH(Table1[[#This Row],[Tipologia_Testes]],Auxiliar!$B$5:$B$13,0),MATCH(Table1[[#This Row],[Complexidade]],Auxiliar!$D$4:$F$4,0))</f>
        <v>0.1</v>
      </c>
      <c r="P660" s="24" t="s">
        <v>1878</v>
      </c>
      <c r="Q660" s="3" t="s">
        <v>1170</v>
      </c>
      <c r="R660" s="173">
        <v>45261</v>
      </c>
      <c r="S660" s="173"/>
      <c r="T660" s="173">
        <v>45560</v>
      </c>
      <c r="U660" s="173"/>
      <c r="V660" s="173">
        <v>45562</v>
      </c>
      <c r="W660" s="3">
        <f>VLOOKUP(Table1[[#This Row],[Status]],Auxiliar!$B$16:$D$23,3,0)*Table1[[#This Row],[Estimação (horas)]]</f>
        <v>0.05</v>
      </c>
      <c r="X660" s="3"/>
    </row>
    <row r="661" spans="2:24" ht="52.2" hidden="1" customHeight="1">
      <c r="B661" s="3" t="s">
        <v>28</v>
      </c>
      <c r="C661" s="3" t="s">
        <v>301</v>
      </c>
      <c r="D661" s="3" t="s">
        <v>303</v>
      </c>
      <c r="E661" s="3" t="s">
        <v>38</v>
      </c>
      <c r="F661" s="3" t="s">
        <v>302</v>
      </c>
      <c r="G661" s="3" t="s">
        <v>308</v>
      </c>
      <c r="H661" s="63" t="str">
        <f>Table1[[#This Row],[Tabela]]&amp;Table1[[#This Row],[Campo]]</f>
        <v>modesg_out_bens_imoveisorigem_scp3_emss</v>
      </c>
      <c r="I661" s="3" t="s">
        <v>177</v>
      </c>
      <c r="J661" s="45">
        <f>VLOOKUP(Table1[[#This Row],[Status]],Auxiliar!$B$16:$C$23,2,0)</f>
        <v>2</v>
      </c>
      <c r="K661" s="3" t="s">
        <v>1137</v>
      </c>
      <c r="L661" s="3" t="s">
        <v>1144</v>
      </c>
      <c r="M661" s="22" t="s">
        <v>1145</v>
      </c>
      <c r="N661" s="53">
        <v>45562</v>
      </c>
      <c r="O661" s="22">
        <f>INDEX(Auxiliar!$D$5:$F$13,MATCH(Table1[[#This Row],[Tipologia_Testes]],Auxiliar!$B$5:$B$13,0),MATCH(Table1[[#This Row],[Complexidade]],Auxiliar!$D$4:$F$4,0))</f>
        <v>2</v>
      </c>
      <c r="P661" s="24" t="s">
        <v>1879</v>
      </c>
      <c r="Q661" s="3" t="s">
        <v>1170</v>
      </c>
      <c r="R661" s="173">
        <v>45261</v>
      </c>
      <c r="S661" s="173"/>
      <c r="T661" s="173">
        <v>45560</v>
      </c>
      <c r="U661" s="173"/>
      <c r="V661" s="173">
        <v>45562</v>
      </c>
      <c r="W661" s="3">
        <f>VLOOKUP(Table1[[#This Row],[Status]],Auxiliar!$B$16:$D$23,3,0)*Table1[[#This Row],[Estimação (horas)]]</f>
        <v>1</v>
      </c>
      <c r="X661" s="3"/>
    </row>
    <row r="662" spans="2:24" ht="52.2" hidden="1" customHeight="1">
      <c r="B662" s="3" t="s">
        <v>28</v>
      </c>
      <c r="C662" s="3" t="s">
        <v>301</v>
      </c>
      <c r="D662" s="3" t="s">
        <v>303</v>
      </c>
      <c r="E662" s="3" t="s">
        <v>38</v>
      </c>
      <c r="F662" s="3" t="s">
        <v>302</v>
      </c>
      <c r="G662" s="3" t="s">
        <v>308</v>
      </c>
      <c r="H662" s="63" t="str">
        <f>Table1[[#This Row],[Tabela]]&amp;Table1[[#This Row],[Campo]]</f>
        <v>modesg_out_bens_imoveisorigem_scp3_emss</v>
      </c>
      <c r="I662" s="3" t="s">
        <v>177</v>
      </c>
      <c r="J662" s="45">
        <f>VLOOKUP(Table1[[#This Row],[Status]],Auxiliar!$B$16:$C$23,2,0)</f>
        <v>2</v>
      </c>
      <c r="K662" s="3" t="s">
        <v>1138</v>
      </c>
      <c r="L662" s="3" t="s">
        <v>1144</v>
      </c>
      <c r="M662" s="22" t="s">
        <v>1145</v>
      </c>
      <c r="N662" s="53">
        <v>45562</v>
      </c>
      <c r="O662" s="22">
        <f>INDEX(Auxiliar!$D$5:$F$13,MATCH(Table1[[#This Row],[Tipologia_Testes]],Auxiliar!$B$5:$B$13,0),MATCH(Table1[[#This Row],[Complexidade]],Auxiliar!$D$4:$F$4,0))</f>
        <v>2</v>
      </c>
      <c r="P662" s="24" t="s">
        <v>1879</v>
      </c>
      <c r="Q662" s="3" t="s">
        <v>1170</v>
      </c>
      <c r="R662" s="173">
        <v>45261</v>
      </c>
      <c r="S662" s="173"/>
      <c r="T662" s="173">
        <v>45560</v>
      </c>
      <c r="U662" s="173"/>
      <c r="V662" s="173">
        <v>45562</v>
      </c>
      <c r="W662" s="3">
        <f>VLOOKUP(Table1[[#This Row],[Status]],Auxiliar!$B$16:$D$23,3,0)*Table1[[#This Row],[Estimação (horas)]]</f>
        <v>1</v>
      </c>
      <c r="X662" s="3"/>
    </row>
    <row r="663" spans="2:24" ht="52.2" hidden="1" customHeight="1">
      <c r="B663" s="3" t="s">
        <v>28</v>
      </c>
      <c r="C663" s="3" t="s">
        <v>301</v>
      </c>
      <c r="D663" s="3" t="s">
        <v>303</v>
      </c>
      <c r="E663" s="3" t="s">
        <v>38</v>
      </c>
      <c r="F663" s="3" t="s">
        <v>302</v>
      </c>
      <c r="G663" s="3" t="s">
        <v>308</v>
      </c>
      <c r="H663" s="63" t="str">
        <f>Table1[[#This Row],[Tabela]]&amp;Table1[[#This Row],[Campo]]</f>
        <v>modesg_out_bens_imoveisorigem_scp3_emss</v>
      </c>
      <c r="I663" s="3" t="s">
        <v>177</v>
      </c>
      <c r="J663" s="45">
        <f>VLOOKUP(Table1[[#This Row],[Status]],Auxiliar!$B$16:$C$23,2,0)</f>
        <v>2</v>
      </c>
      <c r="K663" s="3" t="s">
        <v>1141</v>
      </c>
      <c r="L663" s="3" t="s">
        <v>1144</v>
      </c>
      <c r="M663" s="22" t="s">
        <v>1145</v>
      </c>
      <c r="N663" s="53">
        <v>45562</v>
      </c>
      <c r="O663" s="22">
        <f>INDEX(Auxiliar!$D$5:$F$13,MATCH(Table1[[#This Row],[Tipologia_Testes]],Auxiliar!$B$5:$B$13,0),MATCH(Table1[[#This Row],[Complexidade]],Auxiliar!$D$4:$F$4,0))</f>
        <v>0.1</v>
      </c>
      <c r="P663" s="24" t="s">
        <v>1879</v>
      </c>
      <c r="Q663" s="3" t="s">
        <v>1170</v>
      </c>
      <c r="R663" s="173">
        <v>45261</v>
      </c>
      <c r="S663" s="173"/>
      <c r="T663" s="173">
        <v>45560</v>
      </c>
      <c r="U663" s="173"/>
      <c r="V663" s="173">
        <v>45562</v>
      </c>
      <c r="W663" s="3">
        <f>VLOOKUP(Table1[[#This Row],[Status]],Auxiliar!$B$16:$D$23,3,0)*Table1[[#This Row],[Estimação (horas)]]</f>
        <v>0.05</v>
      </c>
      <c r="X663" s="3"/>
    </row>
    <row r="664" spans="2:24" ht="17.399999999999999" hidden="1" customHeight="1">
      <c r="B664" s="3" t="s">
        <v>28</v>
      </c>
      <c r="C664" s="3" t="s">
        <v>301</v>
      </c>
      <c r="D664" s="3" t="s">
        <v>303</v>
      </c>
      <c r="E664" s="3" t="s">
        <v>38</v>
      </c>
      <c r="F664" s="3" t="s">
        <v>302</v>
      </c>
      <c r="G664" s="3" t="s">
        <v>73</v>
      </c>
      <c r="H664" s="63" t="str">
        <f>Table1[[#This Row],[Tabela]]&amp;Table1[[#This Row],[Campo]]</f>
        <v>modesg_out_bens_imoveisref_date</v>
      </c>
      <c r="I664" s="4" t="s">
        <v>477</v>
      </c>
      <c r="J664" s="60">
        <f>VLOOKUP(Table1[[#This Row],[Status]],Auxiliar!$B$16:$C$23,2,0)</f>
        <v>1</v>
      </c>
      <c r="K664" s="3" t="s">
        <v>1137</v>
      </c>
      <c r="L664" s="3" t="s">
        <v>1144</v>
      </c>
      <c r="M664" s="22" t="s">
        <v>1145</v>
      </c>
      <c r="N664" s="53">
        <v>45485</v>
      </c>
      <c r="O664" s="22">
        <f>INDEX(Auxiliar!$D$5:$F$13,MATCH(Table1[[#This Row],[Tipologia_Testes]],Auxiliar!$B$5:$B$13,0),MATCH(Table1[[#This Row],[Complexidade]],Auxiliar!$D$4:$F$4,0))</f>
        <v>2</v>
      </c>
      <c r="P664" s="3"/>
      <c r="Q664" s="3" t="s">
        <v>1170</v>
      </c>
      <c r="R664" s="173">
        <v>45261</v>
      </c>
      <c r="S664" s="173"/>
      <c r="T664" s="173"/>
      <c r="U664" s="173"/>
      <c r="V664" s="173"/>
      <c r="W664" s="3">
        <f>VLOOKUP(Table1[[#This Row],[Status]],Auxiliar!$B$16:$D$23,3,0)*Table1[[#This Row],[Estimação (horas)]]</f>
        <v>2</v>
      </c>
      <c r="X664" s="3"/>
    </row>
    <row r="665" spans="2:24" ht="17.399999999999999" hidden="1" customHeight="1">
      <c r="B665" s="3" t="s">
        <v>28</v>
      </c>
      <c r="C665" s="3" t="s">
        <v>301</v>
      </c>
      <c r="D665" s="3" t="s">
        <v>303</v>
      </c>
      <c r="E665" s="3" t="s">
        <v>38</v>
      </c>
      <c r="F665" s="3" t="s">
        <v>302</v>
      </c>
      <c r="G665" s="3" t="s">
        <v>73</v>
      </c>
      <c r="H665" s="63" t="str">
        <f>Table1[[#This Row],[Tabela]]&amp;Table1[[#This Row],[Campo]]</f>
        <v>modesg_out_bens_imoveisref_date</v>
      </c>
      <c r="I665" s="4" t="s">
        <v>477</v>
      </c>
      <c r="J665" s="60">
        <f>VLOOKUP(Table1[[#This Row],[Status]],Auxiliar!$B$16:$C$23,2,0)</f>
        <v>1</v>
      </c>
      <c r="K665" s="3" t="s">
        <v>1138</v>
      </c>
      <c r="L665" s="3" t="s">
        <v>1144</v>
      </c>
      <c r="M665" s="22" t="s">
        <v>1145</v>
      </c>
      <c r="N665" s="53">
        <v>45485</v>
      </c>
      <c r="O665" s="22">
        <f>INDEX(Auxiliar!$D$5:$F$13,MATCH(Table1[[#This Row],[Tipologia_Testes]],Auxiliar!$B$5:$B$13,0),MATCH(Table1[[#This Row],[Complexidade]],Auxiliar!$D$4:$F$4,0))</f>
        <v>2</v>
      </c>
      <c r="P665" s="3"/>
      <c r="Q665" s="3" t="s">
        <v>1170</v>
      </c>
      <c r="R665" s="173">
        <v>45261</v>
      </c>
      <c r="S665" s="173"/>
      <c r="T665" s="173"/>
      <c r="U665" s="173"/>
      <c r="V665" s="173"/>
      <c r="W665" s="3">
        <f>VLOOKUP(Table1[[#This Row],[Status]],Auxiliar!$B$16:$D$23,3,0)*Table1[[#This Row],[Estimação (horas)]]</f>
        <v>2</v>
      </c>
      <c r="X665" s="3"/>
    </row>
    <row r="666" spans="2:24" ht="17.399999999999999" hidden="1" customHeight="1">
      <c r="B666" s="3" t="s">
        <v>28</v>
      </c>
      <c r="C666" s="3" t="s">
        <v>301</v>
      </c>
      <c r="D666" s="3" t="s">
        <v>303</v>
      </c>
      <c r="E666" s="3" t="s">
        <v>38</v>
      </c>
      <c r="F666" s="3" t="s">
        <v>302</v>
      </c>
      <c r="G666" s="3" t="s">
        <v>73</v>
      </c>
      <c r="H666" s="63" t="str">
        <f>Table1[[#This Row],[Tabela]]&amp;Table1[[#This Row],[Campo]]</f>
        <v>modesg_out_bens_imoveisref_date</v>
      </c>
      <c r="I666" s="4" t="s">
        <v>477</v>
      </c>
      <c r="J666" s="60">
        <f>VLOOKUP(Table1[[#This Row],[Status]],Auxiliar!$B$16:$C$23,2,0)</f>
        <v>1</v>
      </c>
      <c r="K666" s="3" t="s">
        <v>1141</v>
      </c>
      <c r="L666" s="3" t="s">
        <v>1144</v>
      </c>
      <c r="M666" s="22" t="s">
        <v>1145</v>
      </c>
      <c r="N666" s="53">
        <v>45485</v>
      </c>
      <c r="O666" s="22">
        <f>INDEX(Auxiliar!$D$5:$F$13,MATCH(Table1[[#This Row],[Tipologia_Testes]],Auxiliar!$B$5:$B$13,0),MATCH(Table1[[#This Row],[Complexidade]],Auxiliar!$D$4:$F$4,0))</f>
        <v>0.1</v>
      </c>
      <c r="P666" s="3"/>
      <c r="Q666" s="3" t="s">
        <v>1170</v>
      </c>
      <c r="R666" s="173">
        <v>45261</v>
      </c>
      <c r="S666" s="173"/>
      <c r="T666" s="173"/>
      <c r="U666" s="173"/>
      <c r="V666" s="173"/>
      <c r="W666" s="3">
        <f>VLOOKUP(Table1[[#This Row],[Status]],Auxiliar!$B$16:$D$23,3,0)*Table1[[#This Row],[Estimação (horas)]]</f>
        <v>0.1</v>
      </c>
      <c r="X666" s="3"/>
    </row>
    <row r="667" spans="2:24" ht="69.599999999999994" hidden="1" customHeight="1">
      <c r="B667" s="3" t="s">
        <v>28</v>
      </c>
      <c r="C667" s="3" t="s">
        <v>301</v>
      </c>
      <c r="D667" s="3" t="s">
        <v>303</v>
      </c>
      <c r="E667" s="3" t="s">
        <v>38</v>
      </c>
      <c r="F667" s="3" t="s">
        <v>302</v>
      </c>
      <c r="G667" s="3" t="s">
        <v>276</v>
      </c>
      <c r="H667" s="63" t="str">
        <f>Table1[[#This Row],[Tabela]]&amp;Table1[[#This Row],[Campo]]</f>
        <v>modesg_out_bens_imoveisscp1_emss</v>
      </c>
      <c r="I667" s="3" t="s">
        <v>177</v>
      </c>
      <c r="J667" s="45">
        <f>VLOOKUP(Table1[[#This Row],[Status]],Auxiliar!$B$16:$C$23,2,0)</f>
        <v>2</v>
      </c>
      <c r="K667" s="3" t="s">
        <v>1137</v>
      </c>
      <c r="L667" s="3" t="s">
        <v>1135</v>
      </c>
      <c r="M667" s="22" t="s">
        <v>1155</v>
      </c>
      <c r="N667" s="53">
        <v>45562</v>
      </c>
      <c r="O667" s="22">
        <f>INDEX(Auxiliar!$D$5:$F$13,MATCH(Table1[[#This Row],[Tipologia_Testes]],Auxiliar!$B$5:$B$13,0),MATCH(Table1[[#This Row],[Complexidade]],Auxiliar!$D$4:$F$4,0))</f>
        <v>4</v>
      </c>
      <c r="P667" s="24" t="s">
        <v>1880</v>
      </c>
      <c r="Q667" s="3" t="s">
        <v>1170</v>
      </c>
      <c r="R667" s="173">
        <v>45261</v>
      </c>
      <c r="S667" s="173"/>
      <c r="T667" s="173">
        <v>45560</v>
      </c>
      <c r="U667" s="173"/>
      <c r="V667" s="173">
        <v>45562</v>
      </c>
      <c r="W667" s="3">
        <f>VLOOKUP(Table1[[#This Row],[Status]],Auxiliar!$B$16:$D$23,3,0)*Table1[[#This Row],[Estimação (horas)]]</f>
        <v>2</v>
      </c>
      <c r="X667" s="3"/>
    </row>
    <row r="668" spans="2:24" ht="69.599999999999994" hidden="1" customHeight="1">
      <c r="B668" s="3" t="s">
        <v>28</v>
      </c>
      <c r="C668" s="3" t="s">
        <v>301</v>
      </c>
      <c r="D668" s="3" t="s">
        <v>303</v>
      </c>
      <c r="E668" s="3" t="s">
        <v>38</v>
      </c>
      <c r="F668" s="3" t="s">
        <v>302</v>
      </c>
      <c r="G668" s="3" t="s">
        <v>276</v>
      </c>
      <c r="H668" s="63" t="str">
        <f>Table1[[#This Row],[Tabela]]&amp;Table1[[#This Row],[Campo]]</f>
        <v>modesg_out_bens_imoveisscp1_emss</v>
      </c>
      <c r="I668" s="3" t="s">
        <v>177</v>
      </c>
      <c r="J668" s="45">
        <f>VLOOKUP(Table1[[#This Row],[Status]],Auxiliar!$B$16:$C$23,2,0)</f>
        <v>2</v>
      </c>
      <c r="K668" s="3" t="s">
        <v>1138</v>
      </c>
      <c r="L668" s="3" t="s">
        <v>1135</v>
      </c>
      <c r="M668" s="22" t="s">
        <v>1155</v>
      </c>
      <c r="N668" s="53">
        <v>45562</v>
      </c>
      <c r="O668" s="22">
        <f>INDEX(Auxiliar!$D$5:$F$13,MATCH(Table1[[#This Row],[Tipologia_Testes]],Auxiliar!$B$5:$B$13,0),MATCH(Table1[[#This Row],[Complexidade]],Auxiliar!$D$4:$F$4,0))</f>
        <v>4</v>
      </c>
      <c r="P668" s="24" t="s">
        <v>1880</v>
      </c>
      <c r="Q668" s="3" t="s">
        <v>1170</v>
      </c>
      <c r="R668" s="173">
        <v>45261</v>
      </c>
      <c r="S668" s="173"/>
      <c r="T668" s="173">
        <v>45560</v>
      </c>
      <c r="U668" s="173"/>
      <c r="V668" s="173">
        <v>45562</v>
      </c>
      <c r="W668" s="3">
        <f>VLOOKUP(Table1[[#This Row],[Status]],Auxiliar!$B$16:$D$23,3,0)*Table1[[#This Row],[Estimação (horas)]]</f>
        <v>2</v>
      </c>
      <c r="X668" s="3"/>
    </row>
    <row r="669" spans="2:24" ht="69.599999999999994" hidden="1" customHeight="1">
      <c r="B669" s="3" t="s">
        <v>28</v>
      </c>
      <c r="C669" s="3" t="s">
        <v>301</v>
      </c>
      <c r="D669" s="3" t="s">
        <v>303</v>
      </c>
      <c r="E669" s="3" t="s">
        <v>38</v>
      </c>
      <c r="F669" s="3" t="s">
        <v>302</v>
      </c>
      <c r="G669" s="3" t="s">
        <v>276</v>
      </c>
      <c r="H669" s="63" t="str">
        <f>Table1[[#This Row],[Tabela]]&amp;Table1[[#This Row],[Campo]]</f>
        <v>modesg_out_bens_imoveisscp1_emss</v>
      </c>
      <c r="I669" s="3" t="s">
        <v>177</v>
      </c>
      <c r="J669" s="45">
        <f>VLOOKUP(Table1[[#This Row],[Status]],Auxiliar!$B$16:$C$23,2,0)</f>
        <v>2</v>
      </c>
      <c r="K669" s="3" t="s">
        <v>1141</v>
      </c>
      <c r="L669" s="3" t="s">
        <v>1135</v>
      </c>
      <c r="M669" s="22" t="s">
        <v>1155</v>
      </c>
      <c r="N669" s="53">
        <v>45562</v>
      </c>
      <c r="O669" s="22">
        <f>INDEX(Auxiliar!$D$5:$F$13,MATCH(Table1[[#This Row],[Tipologia_Testes]],Auxiliar!$B$5:$B$13,0),MATCH(Table1[[#This Row],[Complexidade]],Auxiliar!$D$4:$F$4,0))</f>
        <v>0.1</v>
      </c>
      <c r="P669" s="24" t="s">
        <v>1880</v>
      </c>
      <c r="Q669" s="3" t="s">
        <v>1170</v>
      </c>
      <c r="R669" s="173">
        <v>45261</v>
      </c>
      <c r="S669" s="173"/>
      <c r="T669" s="173">
        <v>45560</v>
      </c>
      <c r="U669" s="173"/>
      <c r="V669" s="173">
        <v>45562</v>
      </c>
      <c r="W669" s="3">
        <f>VLOOKUP(Table1[[#This Row],[Status]],Auxiliar!$B$16:$D$23,3,0)*Table1[[#This Row],[Estimação (horas)]]</f>
        <v>0.05</v>
      </c>
      <c r="X669" s="3"/>
    </row>
    <row r="670" spans="2:24" ht="69.599999999999994" hidden="1" customHeight="1">
      <c r="B670" s="3" t="s">
        <v>28</v>
      </c>
      <c r="C670" s="3" t="s">
        <v>301</v>
      </c>
      <c r="D670" s="3" t="s">
        <v>303</v>
      </c>
      <c r="E670" s="3" t="s">
        <v>38</v>
      </c>
      <c r="F670" s="3" t="s">
        <v>302</v>
      </c>
      <c r="G670" s="3" t="s">
        <v>277</v>
      </c>
      <c r="H670" s="63" t="str">
        <f>Table1[[#This Row],[Tabela]]&amp;Table1[[#This Row],[Campo]]</f>
        <v>modesg_out_bens_imoveisscp2_emss</v>
      </c>
      <c r="I670" s="3" t="s">
        <v>177</v>
      </c>
      <c r="J670" s="45">
        <f>VLOOKUP(Table1[[#This Row],[Status]],Auxiliar!$B$16:$C$23,2,0)</f>
        <v>2</v>
      </c>
      <c r="K670" s="3" t="s">
        <v>1137</v>
      </c>
      <c r="L670" s="3" t="s">
        <v>1135</v>
      </c>
      <c r="M670" s="22" t="s">
        <v>1155</v>
      </c>
      <c r="N670" s="53">
        <v>45562</v>
      </c>
      <c r="O670" s="22">
        <f>INDEX(Auxiliar!$D$5:$F$13,MATCH(Table1[[#This Row],[Tipologia_Testes]],Auxiliar!$B$5:$B$13,0),MATCH(Table1[[#This Row],[Complexidade]],Auxiliar!$D$4:$F$4,0))</f>
        <v>4</v>
      </c>
      <c r="P670" s="24" t="s">
        <v>1880</v>
      </c>
      <c r="Q670" s="3" t="s">
        <v>1170</v>
      </c>
      <c r="R670" s="173">
        <v>45261</v>
      </c>
      <c r="S670" s="173"/>
      <c r="T670" s="173">
        <v>45560</v>
      </c>
      <c r="U670" s="173"/>
      <c r="V670" s="173">
        <v>45562</v>
      </c>
      <c r="W670" s="3">
        <f>VLOOKUP(Table1[[#This Row],[Status]],Auxiliar!$B$16:$D$23,3,0)*Table1[[#This Row],[Estimação (horas)]]</f>
        <v>2</v>
      </c>
      <c r="X670" s="3"/>
    </row>
    <row r="671" spans="2:24" ht="69.599999999999994" hidden="1" customHeight="1">
      <c r="B671" s="3" t="s">
        <v>28</v>
      </c>
      <c r="C671" s="3" t="s">
        <v>301</v>
      </c>
      <c r="D671" s="3" t="s">
        <v>303</v>
      </c>
      <c r="E671" s="3" t="s">
        <v>38</v>
      </c>
      <c r="F671" s="3" t="s">
        <v>302</v>
      </c>
      <c r="G671" s="3" t="s">
        <v>277</v>
      </c>
      <c r="H671" s="63" t="str">
        <f>Table1[[#This Row],[Tabela]]&amp;Table1[[#This Row],[Campo]]</f>
        <v>modesg_out_bens_imoveisscp2_emss</v>
      </c>
      <c r="I671" s="3" t="s">
        <v>177</v>
      </c>
      <c r="J671" s="45">
        <f>VLOOKUP(Table1[[#This Row],[Status]],Auxiliar!$B$16:$C$23,2,0)</f>
        <v>2</v>
      </c>
      <c r="K671" s="3" t="s">
        <v>1138</v>
      </c>
      <c r="L671" s="3" t="s">
        <v>1135</v>
      </c>
      <c r="M671" s="22" t="s">
        <v>1155</v>
      </c>
      <c r="N671" s="53">
        <v>45562</v>
      </c>
      <c r="O671" s="22">
        <f>INDEX(Auxiliar!$D$5:$F$13,MATCH(Table1[[#This Row],[Tipologia_Testes]],Auxiliar!$B$5:$B$13,0),MATCH(Table1[[#This Row],[Complexidade]],Auxiliar!$D$4:$F$4,0))</f>
        <v>4</v>
      </c>
      <c r="P671" s="24" t="s">
        <v>1880</v>
      </c>
      <c r="Q671" s="3" t="s">
        <v>1170</v>
      </c>
      <c r="R671" s="173">
        <v>45261</v>
      </c>
      <c r="S671" s="173"/>
      <c r="T671" s="173">
        <v>45560</v>
      </c>
      <c r="U671" s="173"/>
      <c r="V671" s="173">
        <v>45562</v>
      </c>
      <c r="W671" s="3">
        <f>VLOOKUP(Table1[[#This Row],[Status]],Auxiliar!$B$16:$D$23,3,0)*Table1[[#This Row],[Estimação (horas)]]</f>
        <v>2</v>
      </c>
      <c r="X671" s="3"/>
    </row>
    <row r="672" spans="2:24" ht="69.599999999999994" hidden="1" customHeight="1">
      <c r="B672" s="3" t="s">
        <v>28</v>
      </c>
      <c r="C672" s="3" t="s">
        <v>301</v>
      </c>
      <c r="D672" s="3" t="s">
        <v>303</v>
      </c>
      <c r="E672" s="3" t="s">
        <v>38</v>
      </c>
      <c r="F672" s="3" t="s">
        <v>302</v>
      </c>
      <c r="G672" s="3" t="s">
        <v>277</v>
      </c>
      <c r="H672" s="63" t="str">
        <f>Table1[[#This Row],[Tabela]]&amp;Table1[[#This Row],[Campo]]</f>
        <v>modesg_out_bens_imoveisscp2_emss</v>
      </c>
      <c r="I672" s="3" t="s">
        <v>177</v>
      </c>
      <c r="J672" s="45">
        <f>VLOOKUP(Table1[[#This Row],[Status]],Auxiliar!$B$16:$C$23,2,0)</f>
        <v>2</v>
      </c>
      <c r="K672" s="3" t="s">
        <v>1141</v>
      </c>
      <c r="L672" s="3" t="s">
        <v>1135</v>
      </c>
      <c r="M672" s="22" t="s">
        <v>1155</v>
      </c>
      <c r="N672" s="53">
        <v>45562</v>
      </c>
      <c r="O672" s="22">
        <f>INDEX(Auxiliar!$D$5:$F$13,MATCH(Table1[[#This Row],[Tipologia_Testes]],Auxiliar!$B$5:$B$13,0),MATCH(Table1[[#This Row],[Complexidade]],Auxiliar!$D$4:$F$4,0))</f>
        <v>0.1</v>
      </c>
      <c r="P672" s="24" t="s">
        <v>1880</v>
      </c>
      <c r="Q672" s="3" t="s">
        <v>1170</v>
      </c>
      <c r="R672" s="173">
        <v>45261</v>
      </c>
      <c r="S672" s="173"/>
      <c r="T672" s="173">
        <v>45560</v>
      </c>
      <c r="U672" s="173"/>
      <c r="V672" s="173">
        <v>45562</v>
      </c>
      <c r="W672" s="3">
        <f>VLOOKUP(Table1[[#This Row],[Status]],Auxiliar!$B$16:$D$23,3,0)*Table1[[#This Row],[Estimação (horas)]]</f>
        <v>0.05</v>
      </c>
      <c r="X672" s="3"/>
    </row>
    <row r="673" spans="2:24" ht="17.399999999999999" hidden="1" customHeight="1">
      <c r="B673" s="3" t="s">
        <v>28</v>
      </c>
      <c r="C673" s="3" t="s">
        <v>301</v>
      </c>
      <c r="D673" s="3" t="s">
        <v>303</v>
      </c>
      <c r="E673" s="3" t="s">
        <v>38</v>
      </c>
      <c r="F673" s="3" t="s">
        <v>302</v>
      </c>
      <c r="G673" s="3" t="s">
        <v>278</v>
      </c>
      <c r="H673" s="63" t="str">
        <f>Table1[[#This Row],[Tabela]]&amp;Table1[[#This Row],[Campo]]</f>
        <v>modesg_out_bens_imoveisscp3_emss</v>
      </c>
      <c r="I673" s="4" t="s">
        <v>477</v>
      </c>
      <c r="J673" s="60">
        <f>VLOOKUP(Table1[[#This Row],[Status]],Auxiliar!$B$16:$C$23,2,0)</f>
        <v>1</v>
      </c>
      <c r="K673" s="3" t="s">
        <v>1137</v>
      </c>
      <c r="L673" s="3" t="s">
        <v>1144</v>
      </c>
      <c r="M673" s="22" t="s">
        <v>1145</v>
      </c>
      <c r="N673" s="53">
        <v>45485</v>
      </c>
      <c r="O673" s="22">
        <f>INDEX(Auxiliar!$D$5:$F$13,MATCH(Table1[[#This Row],[Tipologia_Testes]],Auxiliar!$B$5:$B$13,0),MATCH(Table1[[#This Row],[Complexidade]],Auxiliar!$D$4:$F$4,0))</f>
        <v>2</v>
      </c>
      <c r="P673" s="24"/>
      <c r="Q673" s="3" t="s">
        <v>1170</v>
      </c>
      <c r="R673" s="173">
        <v>45261</v>
      </c>
      <c r="S673" s="173"/>
      <c r="T673" s="173"/>
      <c r="U673" s="173"/>
      <c r="V673" s="173"/>
      <c r="W673" s="3">
        <f>VLOOKUP(Table1[[#This Row],[Status]],Auxiliar!$B$16:$D$23,3,0)*Table1[[#This Row],[Estimação (horas)]]</f>
        <v>2</v>
      </c>
      <c r="X673" s="3"/>
    </row>
    <row r="674" spans="2:24" ht="17.399999999999999" hidden="1" customHeight="1">
      <c r="B674" s="3" t="s">
        <v>28</v>
      </c>
      <c r="C674" s="3" t="s">
        <v>301</v>
      </c>
      <c r="D674" s="3" t="s">
        <v>303</v>
      </c>
      <c r="E674" s="3" t="s">
        <v>38</v>
      </c>
      <c r="F674" s="3" t="s">
        <v>302</v>
      </c>
      <c r="G674" s="3" t="s">
        <v>278</v>
      </c>
      <c r="H674" s="63" t="str">
        <f>Table1[[#This Row],[Tabela]]&amp;Table1[[#This Row],[Campo]]</f>
        <v>modesg_out_bens_imoveisscp3_emss</v>
      </c>
      <c r="I674" s="4" t="s">
        <v>477</v>
      </c>
      <c r="J674" s="60">
        <f>VLOOKUP(Table1[[#This Row],[Status]],Auxiliar!$B$16:$C$23,2,0)</f>
        <v>1</v>
      </c>
      <c r="K674" s="3" t="s">
        <v>1138</v>
      </c>
      <c r="L674" s="3" t="s">
        <v>1144</v>
      </c>
      <c r="M674" s="22" t="s">
        <v>1145</v>
      </c>
      <c r="N674" s="53">
        <v>45485</v>
      </c>
      <c r="O674" s="22">
        <f>INDEX(Auxiliar!$D$5:$F$13,MATCH(Table1[[#This Row],[Tipologia_Testes]],Auxiliar!$B$5:$B$13,0),MATCH(Table1[[#This Row],[Complexidade]],Auxiliar!$D$4:$F$4,0))</f>
        <v>2</v>
      </c>
      <c r="P674" s="24"/>
      <c r="Q674" s="3" t="s">
        <v>1170</v>
      </c>
      <c r="R674" s="173">
        <v>45261</v>
      </c>
      <c r="S674" s="173"/>
      <c r="T674" s="173"/>
      <c r="U674" s="173"/>
      <c r="V674" s="173"/>
      <c r="W674" s="3">
        <f>VLOOKUP(Table1[[#This Row],[Status]],Auxiliar!$B$16:$D$23,3,0)*Table1[[#This Row],[Estimação (horas)]]</f>
        <v>2</v>
      </c>
      <c r="X674" s="3"/>
    </row>
    <row r="675" spans="2:24" ht="17.399999999999999" hidden="1" customHeight="1">
      <c r="B675" s="3" t="s">
        <v>28</v>
      </c>
      <c r="C675" s="3" t="s">
        <v>301</v>
      </c>
      <c r="D675" s="3" t="s">
        <v>303</v>
      </c>
      <c r="E675" s="3" t="s">
        <v>38</v>
      </c>
      <c r="F675" s="3" t="s">
        <v>302</v>
      </c>
      <c r="G675" s="3" t="s">
        <v>278</v>
      </c>
      <c r="H675" s="63" t="str">
        <f>Table1[[#This Row],[Tabela]]&amp;Table1[[#This Row],[Campo]]</f>
        <v>modesg_out_bens_imoveisscp3_emss</v>
      </c>
      <c r="I675" s="4" t="s">
        <v>477</v>
      </c>
      <c r="J675" s="60">
        <f>VLOOKUP(Table1[[#This Row],[Status]],Auxiliar!$B$16:$C$23,2,0)</f>
        <v>1</v>
      </c>
      <c r="K675" s="3" t="s">
        <v>1141</v>
      </c>
      <c r="L675" s="3" t="s">
        <v>1144</v>
      </c>
      <c r="M675" s="22" t="s">
        <v>1145</v>
      </c>
      <c r="N675" s="53">
        <v>45485</v>
      </c>
      <c r="O675" s="22">
        <f>INDEX(Auxiliar!$D$5:$F$13,MATCH(Table1[[#This Row],[Tipologia_Testes]],Auxiliar!$B$5:$B$13,0),MATCH(Table1[[#This Row],[Complexidade]],Auxiliar!$D$4:$F$4,0))</f>
        <v>0.1</v>
      </c>
      <c r="P675" s="24"/>
      <c r="Q675" s="3" t="s">
        <v>1170</v>
      </c>
      <c r="R675" s="173">
        <v>45261</v>
      </c>
      <c r="S675" s="173"/>
      <c r="T675" s="173"/>
      <c r="U675" s="173"/>
      <c r="V675" s="173"/>
      <c r="W675" s="3">
        <f>VLOOKUP(Table1[[#This Row],[Status]],Auxiliar!$B$16:$D$23,3,0)*Table1[[#This Row],[Estimação (horas)]]</f>
        <v>0.1</v>
      </c>
      <c r="X675" s="3"/>
    </row>
    <row r="676" spans="2:24" ht="52.2" hidden="1" customHeight="1">
      <c r="B676" s="3" t="s">
        <v>28</v>
      </c>
      <c r="C676" s="3" t="s">
        <v>301</v>
      </c>
      <c r="D676" s="3" t="s">
        <v>303</v>
      </c>
      <c r="E676" s="3" t="s">
        <v>38</v>
      </c>
      <c r="F676" s="3" t="s">
        <v>302</v>
      </c>
      <c r="G676" s="3" t="s">
        <v>309</v>
      </c>
      <c r="H676" s="63" t="str">
        <f>Table1[[#This Row],[Tabela]]&amp;Table1[[#This Row],[Campo]]</f>
        <v>modesg_out_bens_imoveisunidade_funcional_scp1_emss</v>
      </c>
      <c r="I676" s="3" t="s">
        <v>177</v>
      </c>
      <c r="J676" s="45">
        <f>VLOOKUP(Table1[[#This Row],[Status]],Auxiliar!$B$16:$C$23,2,0)</f>
        <v>2</v>
      </c>
      <c r="K676" s="3" t="s">
        <v>1137</v>
      </c>
      <c r="L676" s="3" t="s">
        <v>1135</v>
      </c>
      <c r="M676" s="22" t="s">
        <v>1145</v>
      </c>
      <c r="N676" s="53">
        <v>45561</v>
      </c>
      <c r="O676" s="22">
        <f>INDEX(Auxiliar!$D$5:$F$13,MATCH(Table1[[#This Row],[Tipologia_Testes]],Auxiliar!$B$5:$B$13,0),MATCH(Table1[[#This Row],[Complexidade]],Auxiliar!$D$4:$F$4,0))</f>
        <v>2</v>
      </c>
      <c r="P676" s="24" t="s">
        <v>1881</v>
      </c>
      <c r="Q676" s="3" t="s">
        <v>1170</v>
      </c>
      <c r="R676" s="173">
        <v>45261</v>
      </c>
      <c r="S676" s="173"/>
      <c r="T676" s="173">
        <v>45560</v>
      </c>
      <c r="U676" s="173"/>
      <c r="V676" s="173"/>
      <c r="W676" s="3">
        <f>VLOOKUP(Table1[[#This Row],[Status]],Auxiliar!$B$16:$D$23,3,0)*Table1[[#This Row],[Estimação (horas)]]</f>
        <v>1</v>
      </c>
      <c r="X676" s="3"/>
    </row>
    <row r="677" spans="2:24" ht="52.2" hidden="1" customHeight="1">
      <c r="B677" s="3" t="s">
        <v>28</v>
      </c>
      <c r="C677" s="3" t="s">
        <v>301</v>
      </c>
      <c r="D677" s="3" t="s">
        <v>303</v>
      </c>
      <c r="E677" s="3" t="s">
        <v>38</v>
      </c>
      <c r="F677" s="3" t="s">
        <v>302</v>
      </c>
      <c r="G677" s="3" t="s">
        <v>309</v>
      </c>
      <c r="H677" s="63" t="str">
        <f>Table1[[#This Row],[Tabela]]&amp;Table1[[#This Row],[Campo]]</f>
        <v>modesg_out_bens_imoveisunidade_funcional_scp1_emss</v>
      </c>
      <c r="I677" s="3" t="s">
        <v>177</v>
      </c>
      <c r="J677" s="45">
        <f>VLOOKUP(Table1[[#This Row],[Status]],Auxiliar!$B$16:$C$23,2,0)</f>
        <v>2</v>
      </c>
      <c r="K677" s="3" t="s">
        <v>1138</v>
      </c>
      <c r="L677" s="3" t="s">
        <v>1135</v>
      </c>
      <c r="M677" s="22" t="s">
        <v>1145</v>
      </c>
      <c r="N677" s="53">
        <v>45561</v>
      </c>
      <c r="O677" s="22">
        <f>INDEX(Auxiliar!$D$5:$F$13,MATCH(Table1[[#This Row],[Tipologia_Testes]],Auxiliar!$B$5:$B$13,0),MATCH(Table1[[#This Row],[Complexidade]],Auxiliar!$D$4:$F$4,0))</f>
        <v>2</v>
      </c>
      <c r="P677" s="24" t="s">
        <v>1881</v>
      </c>
      <c r="Q677" s="3" t="s">
        <v>1170</v>
      </c>
      <c r="R677" s="173">
        <v>45261</v>
      </c>
      <c r="S677" s="173"/>
      <c r="T677" s="173">
        <v>45560</v>
      </c>
      <c r="U677" s="173"/>
      <c r="V677" s="173"/>
      <c r="W677" s="3">
        <f>VLOOKUP(Table1[[#This Row],[Status]],Auxiliar!$B$16:$D$23,3,0)*Table1[[#This Row],[Estimação (horas)]]</f>
        <v>1</v>
      </c>
      <c r="X677" s="3"/>
    </row>
    <row r="678" spans="2:24" ht="52.2" hidden="1" customHeight="1">
      <c r="B678" s="3" t="s">
        <v>28</v>
      </c>
      <c r="C678" s="3" t="s">
        <v>301</v>
      </c>
      <c r="D678" s="3" t="s">
        <v>303</v>
      </c>
      <c r="E678" s="3" t="s">
        <v>38</v>
      </c>
      <c r="F678" s="3" t="s">
        <v>302</v>
      </c>
      <c r="G678" s="3" t="s">
        <v>309</v>
      </c>
      <c r="H678" s="63" t="str">
        <f>Table1[[#This Row],[Tabela]]&amp;Table1[[#This Row],[Campo]]</f>
        <v>modesg_out_bens_imoveisunidade_funcional_scp1_emss</v>
      </c>
      <c r="I678" s="3" t="s">
        <v>177</v>
      </c>
      <c r="J678" s="45">
        <f>VLOOKUP(Table1[[#This Row],[Status]],Auxiliar!$B$16:$C$23,2,0)</f>
        <v>2</v>
      </c>
      <c r="K678" s="3" t="s">
        <v>1141</v>
      </c>
      <c r="L678" s="3" t="s">
        <v>1135</v>
      </c>
      <c r="M678" s="22" t="s">
        <v>1145</v>
      </c>
      <c r="N678" s="53">
        <v>45561</v>
      </c>
      <c r="O678" s="22">
        <f>INDEX(Auxiliar!$D$5:$F$13,MATCH(Table1[[#This Row],[Tipologia_Testes]],Auxiliar!$B$5:$B$13,0),MATCH(Table1[[#This Row],[Complexidade]],Auxiliar!$D$4:$F$4,0))</f>
        <v>0.1</v>
      </c>
      <c r="P678" s="24" t="s">
        <v>1881</v>
      </c>
      <c r="Q678" s="3" t="s">
        <v>1170</v>
      </c>
      <c r="R678" s="173">
        <v>45261</v>
      </c>
      <c r="S678" s="173"/>
      <c r="T678" s="173">
        <v>45560</v>
      </c>
      <c r="U678" s="173"/>
      <c r="V678" s="173"/>
      <c r="W678" s="3">
        <f>VLOOKUP(Table1[[#This Row],[Status]],Auxiliar!$B$16:$D$23,3,0)*Table1[[#This Row],[Estimação (horas)]]</f>
        <v>0.05</v>
      </c>
      <c r="X678" s="3"/>
    </row>
    <row r="679" spans="2:24" ht="52.2" hidden="1" customHeight="1">
      <c r="B679" s="3" t="s">
        <v>28</v>
      </c>
      <c r="C679" s="3" t="s">
        <v>301</v>
      </c>
      <c r="D679" s="3" t="s">
        <v>303</v>
      </c>
      <c r="E679" s="3" t="s">
        <v>38</v>
      </c>
      <c r="F679" s="3" t="s">
        <v>302</v>
      </c>
      <c r="G679" s="3" t="s">
        <v>310</v>
      </c>
      <c r="H679" s="63" t="str">
        <f>Table1[[#This Row],[Tabela]]&amp;Table1[[#This Row],[Campo]]</f>
        <v>modesg_out_bens_imoveisunidade_funcional_scp2_emss</v>
      </c>
      <c r="I679" s="3" t="s">
        <v>177</v>
      </c>
      <c r="J679" s="45">
        <f>VLOOKUP(Table1[[#This Row],[Status]],Auxiliar!$B$16:$C$23,2,0)</f>
        <v>2</v>
      </c>
      <c r="K679" s="3" t="s">
        <v>1137</v>
      </c>
      <c r="L679" s="3" t="s">
        <v>1135</v>
      </c>
      <c r="M679" s="22" t="s">
        <v>1145</v>
      </c>
      <c r="N679" s="53">
        <v>45561</v>
      </c>
      <c r="O679" s="22">
        <f>INDEX(Auxiliar!$D$5:$F$13,MATCH(Table1[[#This Row],[Tipologia_Testes]],Auxiliar!$B$5:$B$13,0),MATCH(Table1[[#This Row],[Complexidade]],Auxiliar!$D$4:$F$4,0))</f>
        <v>2</v>
      </c>
      <c r="P679" s="24" t="s">
        <v>1881</v>
      </c>
      <c r="Q679" s="3" t="s">
        <v>1170</v>
      </c>
      <c r="R679" s="173">
        <v>45261</v>
      </c>
      <c r="S679" s="173"/>
      <c r="T679" s="173">
        <v>45560</v>
      </c>
      <c r="U679" s="173"/>
      <c r="V679" s="173"/>
      <c r="W679" s="3">
        <f>VLOOKUP(Table1[[#This Row],[Status]],Auxiliar!$B$16:$D$23,3,0)*Table1[[#This Row],[Estimação (horas)]]</f>
        <v>1</v>
      </c>
      <c r="X679" s="3"/>
    </row>
    <row r="680" spans="2:24" ht="52.2" hidden="1" customHeight="1">
      <c r="B680" s="3" t="s">
        <v>28</v>
      </c>
      <c r="C680" s="3" t="s">
        <v>301</v>
      </c>
      <c r="D680" s="3" t="s">
        <v>303</v>
      </c>
      <c r="E680" s="3" t="s">
        <v>38</v>
      </c>
      <c r="F680" s="3" t="s">
        <v>302</v>
      </c>
      <c r="G680" s="3" t="s">
        <v>310</v>
      </c>
      <c r="H680" s="63" t="str">
        <f>Table1[[#This Row],[Tabela]]&amp;Table1[[#This Row],[Campo]]</f>
        <v>modesg_out_bens_imoveisunidade_funcional_scp2_emss</v>
      </c>
      <c r="I680" s="3" t="s">
        <v>177</v>
      </c>
      <c r="J680" s="45">
        <f>VLOOKUP(Table1[[#This Row],[Status]],Auxiliar!$B$16:$C$23,2,0)</f>
        <v>2</v>
      </c>
      <c r="K680" s="3" t="s">
        <v>1138</v>
      </c>
      <c r="L680" s="3" t="s">
        <v>1135</v>
      </c>
      <c r="M680" s="22" t="s">
        <v>1145</v>
      </c>
      <c r="N680" s="53">
        <v>45561</v>
      </c>
      <c r="O680" s="22">
        <f>INDEX(Auxiliar!$D$5:$F$13,MATCH(Table1[[#This Row],[Tipologia_Testes]],Auxiliar!$B$5:$B$13,0),MATCH(Table1[[#This Row],[Complexidade]],Auxiliar!$D$4:$F$4,0))</f>
        <v>2</v>
      </c>
      <c r="P680" s="24" t="s">
        <v>1881</v>
      </c>
      <c r="Q680" s="3" t="s">
        <v>1170</v>
      </c>
      <c r="R680" s="173">
        <v>45261</v>
      </c>
      <c r="S680" s="173"/>
      <c r="T680" s="173">
        <v>45560</v>
      </c>
      <c r="U680" s="173"/>
      <c r="V680" s="173"/>
      <c r="W680" s="3">
        <f>VLOOKUP(Table1[[#This Row],[Status]],Auxiliar!$B$16:$D$23,3,0)*Table1[[#This Row],[Estimação (horas)]]</f>
        <v>1</v>
      </c>
      <c r="X680" s="3"/>
    </row>
    <row r="681" spans="2:24" ht="52.2" hidden="1" customHeight="1">
      <c r="B681" s="3" t="s">
        <v>28</v>
      </c>
      <c r="C681" s="3" t="s">
        <v>301</v>
      </c>
      <c r="D681" s="3" t="s">
        <v>303</v>
      </c>
      <c r="E681" s="3" t="s">
        <v>38</v>
      </c>
      <c r="F681" s="3" t="s">
        <v>302</v>
      </c>
      <c r="G681" s="3" t="s">
        <v>310</v>
      </c>
      <c r="H681" s="63" t="str">
        <f>Table1[[#This Row],[Tabela]]&amp;Table1[[#This Row],[Campo]]</f>
        <v>modesg_out_bens_imoveisunidade_funcional_scp2_emss</v>
      </c>
      <c r="I681" s="3" t="s">
        <v>177</v>
      </c>
      <c r="J681" s="45">
        <f>VLOOKUP(Table1[[#This Row],[Status]],Auxiliar!$B$16:$C$23,2,0)</f>
        <v>2</v>
      </c>
      <c r="K681" s="3" t="s">
        <v>1141</v>
      </c>
      <c r="L681" s="3" t="s">
        <v>1135</v>
      </c>
      <c r="M681" s="22" t="s">
        <v>1145</v>
      </c>
      <c r="N681" s="53">
        <v>45561</v>
      </c>
      <c r="O681" s="22">
        <f>INDEX(Auxiliar!$D$5:$F$13,MATCH(Table1[[#This Row],[Tipologia_Testes]],Auxiliar!$B$5:$B$13,0),MATCH(Table1[[#This Row],[Complexidade]],Auxiliar!$D$4:$F$4,0))</f>
        <v>0.1</v>
      </c>
      <c r="P681" s="24" t="s">
        <v>1881</v>
      </c>
      <c r="Q681" s="3" t="s">
        <v>1170</v>
      </c>
      <c r="R681" s="173">
        <v>45261</v>
      </c>
      <c r="S681" s="173"/>
      <c r="T681" s="173">
        <v>45560</v>
      </c>
      <c r="U681" s="173"/>
      <c r="V681" s="173"/>
      <c r="W681" s="3">
        <f>VLOOKUP(Table1[[#This Row],[Status]],Auxiliar!$B$16:$D$23,3,0)*Table1[[#This Row],[Estimação (horas)]]</f>
        <v>0.05</v>
      </c>
      <c r="X681" s="3"/>
    </row>
    <row r="682" spans="2:24" ht="52.2" hidden="1" customHeight="1">
      <c r="B682" s="3" t="s">
        <v>28</v>
      </c>
      <c r="C682" s="3" t="s">
        <v>301</v>
      </c>
      <c r="D682" s="3" t="s">
        <v>303</v>
      </c>
      <c r="E682" s="3" t="s">
        <v>38</v>
      </c>
      <c r="F682" s="3" t="s">
        <v>302</v>
      </c>
      <c r="G682" s="3" t="s">
        <v>311</v>
      </c>
      <c r="H682" s="63" t="str">
        <f>Table1[[#This Row],[Tabela]]&amp;Table1[[#This Row],[Campo]]</f>
        <v>modesg_out_bens_imoveisunidade_funcional_scp3_emss</v>
      </c>
      <c r="I682" s="3" t="s">
        <v>177</v>
      </c>
      <c r="J682" s="45">
        <f>VLOOKUP(Table1[[#This Row],[Status]],Auxiliar!$B$16:$C$23,2,0)</f>
        <v>2</v>
      </c>
      <c r="K682" s="3" t="s">
        <v>1137</v>
      </c>
      <c r="L682" s="3" t="s">
        <v>1135</v>
      </c>
      <c r="M682" s="22" t="s">
        <v>1145</v>
      </c>
      <c r="N682" s="53">
        <v>45561</v>
      </c>
      <c r="O682" s="22">
        <f>INDEX(Auxiliar!$D$5:$F$13,MATCH(Table1[[#This Row],[Tipologia_Testes]],Auxiliar!$B$5:$B$13,0),MATCH(Table1[[#This Row],[Complexidade]],Auxiliar!$D$4:$F$4,0))</f>
        <v>2</v>
      </c>
      <c r="P682" s="24" t="s">
        <v>1881</v>
      </c>
      <c r="Q682" s="3" t="s">
        <v>1170</v>
      </c>
      <c r="R682" s="173">
        <v>45261</v>
      </c>
      <c r="S682" s="173"/>
      <c r="T682" s="173">
        <v>45560</v>
      </c>
      <c r="U682" s="173"/>
      <c r="V682" s="173"/>
      <c r="W682" s="3">
        <f>VLOOKUP(Table1[[#This Row],[Status]],Auxiliar!$B$16:$D$23,3,0)*Table1[[#This Row],[Estimação (horas)]]</f>
        <v>1</v>
      </c>
      <c r="X682" s="3"/>
    </row>
    <row r="683" spans="2:24" ht="52.2" hidden="1" customHeight="1">
      <c r="B683" s="3" t="s">
        <v>28</v>
      </c>
      <c r="C683" s="3" t="s">
        <v>301</v>
      </c>
      <c r="D683" s="3" t="s">
        <v>303</v>
      </c>
      <c r="E683" s="3" t="s">
        <v>38</v>
      </c>
      <c r="F683" s="3" t="s">
        <v>302</v>
      </c>
      <c r="G683" s="3" t="s">
        <v>311</v>
      </c>
      <c r="H683" s="63" t="str">
        <f>Table1[[#This Row],[Tabela]]&amp;Table1[[#This Row],[Campo]]</f>
        <v>modesg_out_bens_imoveisunidade_funcional_scp3_emss</v>
      </c>
      <c r="I683" s="3" t="s">
        <v>177</v>
      </c>
      <c r="J683" s="45">
        <f>VLOOKUP(Table1[[#This Row],[Status]],Auxiliar!$B$16:$C$23,2,0)</f>
        <v>2</v>
      </c>
      <c r="K683" s="3" t="s">
        <v>1138</v>
      </c>
      <c r="L683" s="3" t="s">
        <v>1135</v>
      </c>
      <c r="M683" s="22" t="s">
        <v>1145</v>
      </c>
      <c r="N683" s="53">
        <v>45561</v>
      </c>
      <c r="O683" s="22">
        <f>INDEX(Auxiliar!$D$5:$F$13,MATCH(Table1[[#This Row],[Tipologia_Testes]],Auxiliar!$B$5:$B$13,0),MATCH(Table1[[#This Row],[Complexidade]],Auxiliar!$D$4:$F$4,0))</f>
        <v>2</v>
      </c>
      <c r="P683" s="24" t="s">
        <v>1881</v>
      </c>
      <c r="Q683" s="3" t="s">
        <v>1170</v>
      </c>
      <c r="R683" s="173">
        <v>45261</v>
      </c>
      <c r="S683" s="173"/>
      <c r="T683" s="173">
        <v>45560</v>
      </c>
      <c r="U683" s="173"/>
      <c r="V683" s="173"/>
      <c r="W683" s="3">
        <f>VLOOKUP(Table1[[#This Row],[Status]],Auxiliar!$B$16:$D$23,3,0)*Table1[[#This Row],[Estimação (horas)]]</f>
        <v>1</v>
      </c>
      <c r="X683" s="3"/>
    </row>
    <row r="684" spans="2:24" ht="52.2" hidden="1" customHeight="1">
      <c r="B684" s="3" t="s">
        <v>28</v>
      </c>
      <c r="C684" s="3" t="s">
        <v>301</v>
      </c>
      <c r="D684" s="3" t="s">
        <v>303</v>
      </c>
      <c r="E684" s="3" t="s">
        <v>38</v>
      </c>
      <c r="F684" s="3" t="s">
        <v>302</v>
      </c>
      <c r="G684" s="3" t="s">
        <v>311</v>
      </c>
      <c r="H684" s="63" t="str">
        <f>Table1[[#This Row],[Tabela]]&amp;Table1[[#This Row],[Campo]]</f>
        <v>modesg_out_bens_imoveisunidade_funcional_scp3_emss</v>
      </c>
      <c r="I684" s="3" t="s">
        <v>177</v>
      </c>
      <c r="J684" s="45">
        <f>VLOOKUP(Table1[[#This Row],[Status]],Auxiliar!$B$16:$C$23,2,0)</f>
        <v>2</v>
      </c>
      <c r="K684" s="3" t="s">
        <v>1141</v>
      </c>
      <c r="L684" s="3" t="s">
        <v>1135</v>
      </c>
      <c r="M684" s="22" t="s">
        <v>1145</v>
      </c>
      <c r="N684" s="53">
        <v>45561</v>
      </c>
      <c r="O684" s="22">
        <f>INDEX(Auxiliar!$D$5:$F$13,MATCH(Table1[[#This Row],[Tipologia_Testes]],Auxiliar!$B$5:$B$13,0),MATCH(Table1[[#This Row],[Complexidade]],Auxiliar!$D$4:$F$4,0))</f>
        <v>0.1</v>
      </c>
      <c r="P684" s="24" t="s">
        <v>1881</v>
      </c>
      <c r="Q684" s="3" t="s">
        <v>1170</v>
      </c>
      <c r="R684" s="173">
        <v>45261</v>
      </c>
      <c r="S684" s="173"/>
      <c r="T684" s="173">
        <v>45560</v>
      </c>
      <c r="U684" s="173"/>
      <c r="V684" s="173"/>
      <c r="W684" s="3">
        <f>VLOOKUP(Table1[[#This Row],[Status]],Auxiliar!$B$16:$D$23,3,0)*Table1[[#This Row],[Estimação (horas)]]</f>
        <v>0.05</v>
      </c>
      <c r="X684" s="3"/>
    </row>
    <row r="685" spans="2:24" ht="16.8" hidden="1" customHeight="1">
      <c r="B685" s="3" t="s">
        <v>28</v>
      </c>
      <c r="C685" s="3" t="s">
        <v>301</v>
      </c>
      <c r="D685" s="3" t="s">
        <v>313</v>
      </c>
      <c r="E685" s="3" t="s">
        <v>38</v>
      </c>
      <c r="F685" s="3" t="s">
        <v>312</v>
      </c>
      <c r="G685" s="3" t="s">
        <v>38</v>
      </c>
      <c r="H685" s="63" t="str">
        <f>Table1[[#This Row],[Tabela]]&amp;Table1[[#This Row],[Campo]]</f>
        <v>modesg_out_empr_info_nfinn.a.</v>
      </c>
      <c r="I685" s="4" t="s">
        <v>477</v>
      </c>
      <c r="J685" s="60">
        <f>VLOOKUP(Table1[[#This Row],[Status]],Auxiliar!$B$16:$C$23,2,0)</f>
        <v>1</v>
      </c>
      <c r="K685" s="3" t="s">
        <v>1134</v>
      </c>
      <c r="L685" s="30" t="s">
        <v>1144</v>
      </c>
      <c r="M685" s="22" t="s">
        <v>1155</v>
      </c>
      <c r="N685" s="53">
        <v>45561</v>
      </c>
      <c r="O685" s="22">
        <f>INDEX(Auxiliar!$D$5:$F$13,MATCH(Table1[[#This Row],[Tipologia_Testes]],Auxiliar!$B$5:$B$13,0),MATCH(Table1[[#This Row],[Complexidade]],Auxiliar!$D$4:$F$4,0))</f>
        <v>8</v>
      </c>
      <c r="P685" s="24" t="s">
        <v>1821</v>
      </c>
      <c r="Q685" s="3"/>
      <c r="R685" s="173">
        <v>45512</v>
      </c>
      <c r="S685" s="173"/>
      <c r="T685" s="173">
        <v>45512</v>
      </c>
      <c r="U685" s="173"/>
      <c r="V685" s="173"/>
      <c r="W685" s="3">
        <f>VLOOKUP(Table1[[#This Row],[Status]],Auxiliar!$B$16:$D$23,3,0)*Table1[[#This Row],[Estimação (horas)]]</f>
        <v>8</v>
      </c>
      <c r="X685" s="3"/>
    </row>
    <row r="686" spans="2:24" ht="17.399999999999999" hidden="1" customHeight="1">
      <c r="B686" s="3" t="s">
        <v>28</v>
      </c>
      <c r="C686" s="3" t="s">
        <v>301</v>
      </c>
      <c r="D686" s="3" t="s">
        <v>313</v>
      </c>
      <c r="E686" s="3" t="s">
        <v>38</v>
      </c>
      <c r="F686" s="3" t="s">
        <v>312</v>
      </c>
      <c r="G686" s="3" t="s">
        <v>241</v>
      </c>
      <c r="H686" s="63" t="str">
        <f>Table1[[#This Row],[Tabela]]&amp;Table1[[#This Row],[Campo]]</f>
        <v>modesg_out_empr_info_nfincca_capex_enblng_algnd</v>
      </c>
      <c r="I686" s="3" t="s">
        <v>482</v>
      </c>
      <c r="J686" s="45">
        <f>VLOOKUP(Table1[[#This Row],[Status]],Auxiliar!$B$16:$C$23,2,0)</f>
        <v>6</v>
      </c>
      <c r="K686" s="3" t="s">
        <v>1137</v>
      </c>
      <c r="L686" s="3" t="s">
        <v>1144</v>
      </c>
      <c r="M686" s="22" t="s">
        <v>1136</v>
      </c>
      <c r="N686" s="53">
        <v>45526</v>
      </c>
      <c r="O686" s="22">
        <f>INDEX(Auxiliar!$D$5:$F$13,MATCH(Table1[[#This Row],[Tipologia_Testes]],Auxiliar!$B$5:$B$13,0),MATCH(Table1[[#This Row],[Complexidade]],Auxiliar!$D$4:$F$4,0))</f>
        <v>8</v>
      </c>
      <c r="P686" s="3"/>
      <c r="Q686" s="3"/>
      <c r="R686" s="173">
        <v>45561</v>
      </c>
      <c r="S686" s="173">
        <v>45526</v>
      </c>
      <c r="T686" s="173">
        <v>45561</v>
      </c>
      <c r="U686" s="173"/>
      <c r="V686" s="173"/>
      <c r="W686" s="3">
        <f>VLOOKUP(Table1[[#This Row],[Status]],Auxiliar!$B$16:$D$23,3,0)*Table1[[#This Row],[Estimação (horas)]]</f>
        <v>2</v>
      </c>
      <c r="X686" s="3"/>
    </row>
    <row r="687" spans="2:24" ht="17.399999999999999" hidden="1" customHeight="1">
      <c r="B687" s="3" t="s">
        <v>28</v>
      </c>
      <c r="C687" s="3" t="s">
        <v>301</v>
      </c>
      <c r="D687" s="3" t="s">
        <v>313</v>
      </c>
      <c r="E687" s="3" t="s">
        <v>38</v>
      </c>
      <c r="F687" s="3" t="s">
        <v>312</v>
      </c>
      <c r="G687" s="3" t="s">
        <v>241</v>
      </c>
      <c r="H687" s="63" t="str">
        <f>Table1[[#This Row],[Tabela]]&amp;Table1[[#This Row],[Campo]]</f>
        <v>modesg_out_empr_info_nfincca_capex_enblng_algnd</v>
      </c>
      <c r="I687" s="3" t="s">
        <v>482</v>
      </c>
      <c r="J687" s="45">
        <f>VLOOKUP(Table1[[#This Row],[Status]],Auxiliar!$B$16:$C$23,2,0)</f>
        <v>6</v>
      </c>
      <c r="K687" s="3" t="s">
        <v>1138</v>
      </c>
      <c r="L687" s="3" t="s">
        <v>1144</v>
      </c>
      <c r="M687" s="22" t="s">
        <v>1136</v>
      </c>
      <c r="N687" s="53">
        <v>45526</v>
      </c>
      <c r="O687" s="22">
        <f>INDEX(Auxiliar!$D$5:$F$13,MATCH(Table1[[#This Row],[Tipologia_Testes]],Auxiliar!$B$5:$B$13,0),MATCH(Table1[[#This Row],[Complexidade]],Auxiliar!$D$4:$F$4,0))</f>
        <v>8</v>
      </c>
      <c r="P687" s="3"/>
      <c r="Q687" s="3"/>
      <c r="R687" s="173">
        <v>45561</v>
      </c>
      <c r="S687" s="173">
        <v>45526</v>
      </c>
      <c r="T687" s="173">
        <v>45561</v>
      </c>
      <c r="U687" s="173"/>
      <c r="V687" s="173"/>
      <c r="W687" s="3">
        <f>VLOOKUP(Table1[[#This Row],[Status]],Auxiliar!$B$16:$D$23,3,0)*Table1[[#This Row],[Estimação (horas)]]</f>
        <v>2</v>
      </c>
      <c r="X687" s="3"/>
    </row>
    <row r="688" spans="2:24" ht="17.399999999999999" hidden="1" customHeight="1">
      <c r="B688" s="3" t="s">
        <v>28</v>
      </c>
      <c r="C688" s="3" t="s">
        <v>301</v>
      </c>
      <c r="D688" s="3" t="s">
        <v>313</v>
      </c>
      <c r="E688" s="3" t="s">
        <v>38</v>
      </c>
      <c r="F688" s="3" t="s">
        <v>312</v>
      </c>
      <c r="G688" s="3" t="s">
        <v>241</v>
      </c>
      <c r="H688" s="63" t="str">
        <f>Table1[[#This Row],[Tabela]]&amp;Table1[[#This Row],[Campo]]</f>
        <v>modesg_out_empr_info_nfincca_capex_enblng_algnd</v>
      </c>
      <c r="I688" s="3" t="s">
        <v>482</v>
      </c>
      <c r="J688" s="45">
        <f>VLOOKUP(Table1[[#This Row],[Status]],Auxiliar!$B$16:$C$23,2,0)</f>
        <v>6</v>
      </c>
      <c r="K688" s="3" t="s">
        <v>1141</v>
      </c>
      <c r="L688" s="3" t="s">
        <v>1144</v>
      </c>
      <c r="M688" s="22" t="s">
        <v>1136</v>
      </c>
      <c r="N688" s="53">
        <v>45526</v>
      </c>
      <c r="O688" s="22">
        <f>INDEX(Auxiliar!$D$5:$F$13,MATCH(Table1[[#This Row],[Tipologia_Testes]],Auxiliar!$B$5:$B$13,0),MATCH(Table1[[#This Row],[Complexidade]],Auxiliar!$D$4:$F$4,0))</f>
        <v>0.1</v>
      </c>
      <c r="P688" s="3"/>
      <c r="Q688" s="3"/>
      <c r="R688" s="173">
        <v>45561</v>
      </c>
      <c r="S688" s="173">
        <v>45526</v>
      </c>
      <c r="T688" s="173">
        <v>45561</v>
      </c>
      <c r="U688" s="173"/>
      <c r="V688" s="173"/>
      <c r="W688" s="3">
        <f>VLOOKUP(Table1[[#This Row],[Status]],Auxiliar!$B$16:$D$23,3,0)*Table1[[#This Row],[Estimação (horas)]]</f>
        <v>2.5000000000000001E-2</v>
      </c>
      <c r="X688" s="3"/>
    </row>
    <row r="689" spans="2:24" ht="17.399999999999999" hidden="1" customHeight="1">
      <c r="B689" s="3" t="s">
        <v>28</v>
      </c>
      <c r="C689" s="3" t="s">
        <v>301</v>
      </c>
      <c r="D689" s="3" t="s">
        <v>313</v>
      </c>
      <c r="E689" s="3" t="s">
        <v>38</v>
      </c>
      <c r="F689" s="3" t="s">
        <v>312</v>
      </c>
      <c r="G689" s="3" t="s">
        <v>242</v>
      </c>
      <c r="H689" s="63" t="str">
        <f>Table1[[#This Row],[Tabela]]&amp;Table1[[#This Row],[Campo]]</f>
        <v>modesg_out_empr_info_nfincca_capex_own_prfrmnce_algnd</v>
      </c>
      <c r="I689" s="3" t="s">
        <v>482</v>
      </c>
      <c r="J689" s="45">
        <f>VLOOKUP(Table1[[#This Row],[Status]],Auxiliar!$B$16:$C$23,2,0)</f>
        <v>6</v>
      </c>
      <c r="K689" s="3" t="s">
        <v>1137</v>
      </c>
      <c r="L689" s="3" t="s">
        <v>1144</v>
      </c>
      <c r="M689" s="22" t="s">
        <v>1136</v>
      </c>
      <c r="N689" s="53">
        <v>45526</v>
      </c>
      <c r="O689" s="22">
        <f>INDEX(Auxiliar!$D$5:$F$13,MATCH(Table1[[#This Row],[Tipologia_Testes]],Auxiliar!$B$5:$B$13,0),MATCH(Table1[[#This Row],[Complexidade]],Auxiliar!$D$4:$F$4,0))</f>
        <v>8</v>
      </c>
      <c r="P689" s="3"/>
      <c r="Q689" s="3"/>
      <c r="R689" s="173">
        <v>45561</v>
      </c>
      <c r="S689" s="173">
        <v>45526</v>
      </c>
      <c r="T689" s="173">
        <v>45561</v>
      </c>
      <c r="U689" s="173"/>
      <c r="V689" s="173"/>
      <c r="W689" s="3">
        <f>VLOOKUP(Table1[[#This Row],[Status]],Auxiliar!$B$16:$D$23,3,0)*Table1[[#This Row],[Estimação (horas)]]</f>
        <v>2</v>
      </c>
      <c r="X689" s="3"/>
    </row>
    <row r="690" spans="2:24" ht="17.399999999999999" hidden="1" customHeight="1">
      <c r="B690" s="3" t="s">
        <v>28</v>
      </c>
      <c r="C690" s="3" t="s">
        <v>301</v>
      </c>
      <c r="D690" s="3" t="s">
        <v>313</v>
      </c>
      <c r="E690" s="3" t="s">
        <v>38</v>
      </c>
      <c r="F690" s="3" t="s">
        <v>312</v>
      </c>
      <c r="G690" s="3" t="s">
        <v>242</v>
      </c>
      <c r="H690" s="63" t="str">
        <f>Table1[[#This Row],[Tabela]]&amp;Table1[[#This Row],[Campo]]</f>
        <v>modesg_out_empr_info_nfincca_capex_own_prfrmnce_algnd</v>
      </c>
      <c r="I690" s="3" t="s">
        <v>482</v>
      </c>
      <c r="J690" s="45">
        <f>VLOOKUP(Table1[[#This Row],[Status]],Auxiliar!$B$16:$C$23,2,0)</f>
        <v>6</v>
      </c>
      <c r="K690" s="3" t="s">
        <v>1138</v>
      </c>
      <c r="L690" s="3" t="s">
        <v>1144</v>
      </c>
      <c r="M690" s="22" t="s">
        <v>1136</v>
      </c>
      <c r="N690" s="53">
        <v>45526</v>
      </c>
      <c r="O690" s="22">
        <f>INDEX(Auxiliar!$D$5:$F$13,MATCH(Table1[[#This Row],[Tipologia_Testes]],Auxiliar!$B$5:$B$13,0),MATCH(Table1[[#This Row],[Complexidade]],Auxiliar!$D$4:$F$4,0))</f>
        <v>8</v>
      </c>
      <c r="P690" s="3"/>
      <c r="Q690" s="3"/>
      <c r="R690" s="173">
        <v>45561</v>
      </c>
      <c r="S690" s="173">
        <v>45526</v>
      </c>
      <c r="T690" s="173">
        <v>45561</v>
      </c>
      <c r="U690" s="173"/>
      <c r="V690" s="173"/>
      <c r="W690" s="3">
        <f>VLOOKUP(Table1[[#This Row],[Status]],Auxiliar!$B$16:$D$23,3,0)*Table1[[#This Row],[Estimação (horas)]]</f>
        <v>2</v>
      </c>
      <c r="X690" s="3"/>
    </row>
    <row r="691" spans="2:24" ht="17.399999999999999" hidden="1" customHeight="1">
      <c r="B691" s="3" t="s">
        <v>28</v>
      </c>
      <c r="C691" s="3" t="s">
        <v>301</v>
      </c>
      <c r="D691" s="3" t="s">
        <v>313</v>
      </c>
      <c r="E691" s="3" t="s">
        <v>38</v>
      </c>
      <c r="F691" s="3" t="s">
        <v>312</v>
      </c>
      <c r="G691" s="3" t="s">
        <v>242</v>
      </c>
      <c r="H691" s="63" t="str">
        <f>Table1[[#This Row],[Tabela]]&amp;Table1[[#This Row],[Campo]]</f>
        <v>modesg_out_empr_info_nfincca_capex_own_prfrmnce_algnd</v>
      </c>
      <c r="I691" s="3" t="s">
        <v>482</v>
      </c>
      <c r="J691" s="45">
        <f>VLOOKUP(Table1[[#This Row],[Status]],Auxiliar!$B$16:$C$23,2,0)</f>
        <v>6</v>
      </c>
      <c r="K691" s="3" t="s">
        <v>1141</v>
      </c>
      <c r="L691" s="3" t="s">
        <v>1144</v>
      </c>
      <c r="M691" s="22" t="s">
        <v>1136</v>
      </c>
      <c r="N691" s="53">
        <v>45526</v>
      </c>
      <c r="O691" s="22">
        <f>INDEX(Auxiliar!$D$5:$F$13,MATCH(Table1[[#This Row],[Tipologia_Testes]],Auxiliar!$B$5:$B$13,0),MATCH(Table1[[#This Row],[Complexidade]],Auxiliar!$D$4:$F$4,0))</f>
        <v>0.1</v>
      </c>
      <c r="P691" s="3"/>
      <c r="Q691" s="3"/>
      <c r="R691" s="173">
        <v>45561</v>
      </c>
      <c r="S691" s="173">
        <v>45526</v>
      </c>
      <c r="T691" s="173">
        <v>45561</v>
      </c>
      <c r="U691" s="173"/>
      <c r="V691" s="173"/>
      <c r="W691" s="3">
        <f>VLOOKUP(Table1[[#This Row],[Status]],Auxiliar!$B$16:$D$23,3,0)*Table1[[#This Row],[Estimação (horas)]]</f>
        <v>2.5000000000000001E-2</v>
      </c>
      <c r="X691" s="3"/>
    </row>
    <row r="692" spans="2:24" ht="17.399999999999999" hidden="1" customHeight="1">
      <c r="B692" s="3" t="s">
        <v>28</v>
      </c>
      <c r="C692" s="3" t="s">
        <v>301</v>
      </c>
      <c r="D692" s="3" t="s">
        <v>313</v>
      </c>
      <c r="E692" s="3" t="s">
        <v>38</v>
      </c>
      <c r="F692" s="3" t="s">
        <v>312</v>
      </c>
      <c r="G692" s="3" t="s">
        <v>240</v>
      </c>
      <c r="H692" s="63" t="str">
        <f>Table1[[#This Row],[Tabela]]&amp;Table1[[#This Row],[Campo]]</f>
        <v>modesg_out_empr_info_nfincca_capex_ttl_elgbl</v>
      </c>
      <c r="I692" s="3" t="s">
        <v>482</v>
      </c>
      <c r="J692" s="45">
        <f>VLOOKUP(Table1[[#This Row],[Status]],Auxiliar!$B$16:$C$23,2,0)</f>
        <v>6</v>
      </c>
      <c r="K692" s="3" t="s">
        <v>1137</v>
      </c>
      <c r="L692" s="3" t="s">
        <v>1144</v>
      </c>
      <c r="M692" s="22" t="s">
        <v>1136</v>
      </c>
      <c r="N692" s="53">
        <v>45526</v>
      </c>
      <c r="O692" s="22">
        <f>INDEX(Auxiliar!$D$5:$F$13,MATCH(Table1[[#This Row],[Tipologia_Testes]],Auxiliar!$B$5:$B$13,0),MATCH(Table1[[#This Row],[Complexidade]],Auxiliar!$D$4:$F$4,0))</f>
        <v>8</v>
      </c>
      <c r="P692" s="3"/>
      <c r="Q692" s="3"/>
      <c r="R692" s="173">
        <v>45561</v>
      </c>
      <c r="S692" s="173">
        <v>45526</v>
      </c>
      <c r="T692" s="173">
        <v>45561</v>
      </c>
      <c r="U692" s="173"/>
      <c r="V692" s="173"/>
      <c r="W692" s="3">
        <f>VLOOKUP(Table1[[#This Row],[Status]],Auxiliar!$B$16:$D$23,3,0)*Table1[[#This Row],[Estimação (horas)]]</f>
        <v>2</v>
      </c>
      <c r="X692" s="3"/>
    </row>
    <row r="693" spans="2:24" ht="17.399999999999999" hidden="1" customHeight="1">
      <c r="B693" s="3" t="s">
        <v>28</v>
      </c>
      <c r="C693" s="3" t="s">
        <v>301</v>
      </c>
      <c r="D693" s="3" t="s">
        <v>313</v>
      </c>
      <c r="E693" s="3" t="s">
        <v>38</v>
      </c>
      <c r="F693" s="3" t="s">
        <v>312</v>
      </c>
      <c r="G693" s="3" t="s">
        <v>240</v>
      </c>
      <c r="H693" s="63" t="str">
        <f>Table1[[#This Row],[Tabela]]&amp;Table1[[#This Row],[Campo]]</f>
        <v>modesg_out_empr_info_nfincca_capex_ttl_elgbl</v>
      </c>
      <c r="I693" s="3" t="s">
        <v>482</v>
      </c>
      <c r="J693" s="45">
        <f>VLOOKUP(Table1[[#This Row],[Status]],Auxiliar!$B$16:$C$23,2,0)</f>
        <v>6</v>
      </c>
      <c r="K693" s="3" t="s">
        <v>1138</v>
      </c>
      <c r="L693" s="3" t="s">
        <v>1144</v>
      </c>
      <c r="M693" s="22" t="s">
        <v>1136</v>
      </c>
      <c r="N693" s="53">
        <v>45526</v>
      </c>
      <c r="O693" s="22">
        <f>INDEX(Auxiliar!$D$5:$F$13,MATCH(Table1[[#This Row],[Tipologia_Testes]],Auxiliar!$B$5:$B$13,0),MATCH(Table1[[#This Row],[Complexidade]],Auxiliar!$D$4:$F$4,0))</f>
        <v>8</v>
      </c>
      <c r="P693" s="3"/>
      <c r="Q693" s="3"/>
      <c r="R693" s="173">
        <v>45561</v>
      </c>
      <c r="S693" s="173">
        <v>45526</v>
      </c>
      <c r="T693" s="173">
        <v>45561</v>
      </c>
      <c r="U693" s="173"/>
      <c r="V693" s="173"/>
      <c r="W693" s="3">
        <f>VLOOKUP(Table1[[#This Row],[Status]],Auxiliar!$B$16:$D$23,3,0)*Table1[[#This Row],[Estimação (horas)]]</f>
        <v>2</v>
      </c>
      <c r="X693" s="3"/>
    </row>
    <row r="694" spans="2:24" ht="17.399999999999999" hidden="1" customHeight="1">
      <c r="B694" s="3" t="s">
        <v>28</v>
      </c>
      <c r="C694" s="3" t="s">
        <v>301</v>
      </c>
      <c r="D694" s="3" t="s">
        <v>313</v>
      </c>
      <c r="E694" s="3" t="s">
        <v>38</v>
      </c>
      <c r="F694" s="3" t="s">
        <v>312</v>
      </c>
      <c r="G694" s="3" t="s">
        <v>240</v>
      </c>
      <c r="H694" s="63" t="str">
        <f>Table1[[#This Row],[Tabela]]&amp;Table1[[#This Row],[Campo]]</f>
        <v>modesg_out_empr_info_nfincca_capex_ttl_elgbl</v>
      </c>
      <c r="I694" s="3" t="s">
        <v>482</v>
      </c>
      <c r="J694" s="45">
        <f>VLOOKUP(Table1[[#This Row],[Status]],Auxiliar!$B$16:$C$23,2,0)</f>
        <v>6</v>
      </c>
      <c r="K694" s="3" t="s">
        <v>1141</v>
      </c>
      <c r="L694" s="3" t="s">
        <v>1144</v>
      </c>
      <c r="M694" s="22" t="s">
        <v>1136</v>
      </c>
      <c r="N694" s="53">
        <v>45526</v>
      </c>
      <c r="O694" s="22">
        <f>INDEX(Auxiliar!$D$5:$F$13,MATCH(Table1[[#This Row],[Tipologia_Testes]],Auxiliar!$B$5:$B$13,0),MATCH(Table1[[#This Row],[Complexidade]],Auxiliar!$D$4:$F$4,0))</f>
        <v>0.1</v>
      </c>
      <c r="P694" s="3"/>
      <c r="Q694" s="3"/>
      <c r="R694" s="173">
        <v>45561</v>
      </c>
      <c r="S694" s="173">
        <v>45526</v>
      </c>
      <c r="T694" s="173">
        <v>45561</v>
      </c>
      <c r="U694" s="173"/>
      <c r="V694" s="173"/>
      <c r="W694" s="3">
        <f>VLOOKUP(Table1[[#This Row],[Status]],Auxiliar!$B$16:$D$23,3,0)*Table1[[#This Row],[Estimação (horas)]]</f>
        <v>2.5000000000000001E-2</v>
      </c>
      <c r="X694" s="3"/>
    </row>
    <row r="695" spans="2:24" ht="17.399999999999999" hidden="1" customHeight="1">
      <c r="B695" s="3" t="s">
        <v>28</v>
      </c>
      <c r="C695" s="3" t="s">
        <v>301</v>
      </c>
      <c r="D695" s="3" t="s">
        <v>313</v>
      </c>
      <c r="E695" s="3" t="s">
        <v>38</v>
      </c>
      <c r="F695" s="3" t="s">
        <v>312</v>
      </c>
      <c r="G695" s="3" t="s">
        <v>238</v>
      </c>
      <c r="H695" s="63" t="str">
        <f>Table1[[#This Row],[Tabela]]&amp;Table1[[#This Row],[Campo]]</f>
        <v>modesg_out_empr_info_nfincca_trnvr_enblng_alignd</v>
      </c>
      <c r="I695" s="3" t="s">
        <v>482</v>
      </c>
      <c r="J695" s="45">
        <f>VLOOKUP(Table1[[#This Row],[Status]],Auxiliar!$B$16:$C$23,2,0)</f>
        <v>6</v>
      </c>
      <c r="K695" s="3" t="s">
        <v>1137</v>
      </c>
      <c r="L695" s="3" t="s">
        <v>1144</v>
      </c>
      <c r="M695" s="22" t="s">
        <v>1136</v>
      </c>
      <c r="N695" s="53">
        <v>45526</v>
      </c>
      <c r="O695" s="22">
        <f>INDEX(Auxiliar!$D$5:$F$13,MATCH(Table1[[#This Row],[Tipologia_Testes]],Auxiliar!$B$5:$B$13,0),MATCH(Table1[[#This Row],[Complexidade]],Auxiliar!$D$4:$F$4,0))</f>
        <v>8</v>
      </c>
      <c r="P695" s="3"/>
      <c r="Q695" s="3"/>
      <c r="R695" s="173">
        <v>45561</v>
      </c>
      <c r="S695" s="173">
        <v>45526</v>
      </c>
      <c r="T695" s="173">
        <v>45561</v>
      </c>
      <c r="U695" s="173"/>
      <c r="V695" s="173"/>
      <c r="W695" s="3">
        <f>VLOOKUP(Table1[[#This Row],[Status]],Auxiliar!$B$16:$D$23,3,0)*Table1[[#This Row],[Estimação (horas)]]</f>
        <v>2</v>
      </c>
      <c r="X695" s="3"/>
    </row>
    <row r="696" spans="2:24" ht="17.399999999999999" hidden="1" customHeight="1">
      <c r="B696" s="3" t="s">
        <v>28</v>
      </c>
      <c r="C696" s="3" t="s">
        <v>301</v>
      </c>
      <c r="D696" s="3" t="s">
        <v>313</v>
      </c>
      <c r="E696" s="3" t="s">
        <v>38</v>
      </c>
      <c r="F696" s="3" t="s">
        <v>312</v>
      </c>
      <c r="G696" s="3" t="s">
        <v>238</v>
      </c>
      <c r="H696" s="63" t="str">
        <f>Table1[[#This Row],[Tabela]]&amp;Table1[[#This Row],[Campo]]</f>
        <v>modesg_out_empr_info_nfincca_trnvr_enblng_alignd</v>
      </c>
      <c r="I696" s="3" t="s">
        <v>482</v>
      </c>
      <c r="J696" s="45">
        <f>VLOOKUP(Table1[[#This Row],[Status]],Auxiliar!$B$16:$C$23,2,0)</f>
        <v>6</v>
      </c>
      <c r="K696" s="3" t="s">
        <v>1138</v>
      </c>
      <c r="L696" s="3" t="s">
        <v>1144</v>
      </c>
      <c r="M696" s="22" t="s">
        <v>1136</v>
      </c>
      <c r="N696" s="53">
        <v>45526</v>
      </c>
      <c r="O696" s="22">
        <f>INDEX(Auxiliar!$D$5:$F$13,MATCH(Table1[[#This Row],[Tipologia_Testes]],Auxiliar!$B$5:$B$13,0),MATCH(Table1[[#This Row],[Complexidade]],Auxiliar!$D$4:$F$4,0))</f>
        <v>8</v>
      </c>
      <c r="P696" s="3"/>
      <c r="Q696" s="3"/>
      <c r="R696" s="173">
        <v>45561</v>
      </c>
      <c r="S696" s="173">
        <v>45526</v>
      </c>
      <c r="T696" s="173">
        <v>45561</v>
      </c>
      <c r="U696" s="173"/>
      <c r="V696" s="173"/>
      <c r="W696" s="3">
        <f>VLOOKUP(Table1[[#This Row],[Status]],Auxiliar!$B$16:$D$23,3,0)*Table1[[#This Row],[Estimação (horas)]]</f>
        <v>2</v>
      </c>
      <c r="X696" s="3"/>
    </row>
    <row r="697" spans="2:24" ht="17.399999999999999" hidden="1" customHeight="1">
      <c r="B697" s="3" t="s">
        <v>28</v>
      </c>
      <c r="C697" s="3" t="s">
        <v>301</v>
      </c>
      <c r="D697" s="3" t="s">
        <v>313</v>
      </c>
      <c r="E697" s="3" t="s">
        <v>38</v>
      </c>
      <c r="F697" s="3" t="s">
        <v>312</v>
      </c>
      <c r="G697" s="3" t="s">
        <v>238</v>
      </c>
      <c r="H697" s="63" t="str">
        <f>Table1[[#This Row],[Tabela]]&amp;Table1[[#This Row],[Campo]]</f>
        <v>modesg_out_empr_info_nfincca_trnvr_enblng_alignd</v>
      </c>
      <c r="I697" s="3" t="s">
        <v>482</v>
      </c>
      <c r="J697" s="45">
        <f>VLOOKUP(Table1[[#This Row],[Status]],Auxiliar!$B$16:$C$23,2,0)</f>
        <v>6</v>
      </c>
      <c r="K697" s="3" t="s">
        <v>1141</v>
      </c>
      <c r="L697" s="3" t="s">
        <v>1144</v>
      </c>
      <c r="M697" s="22" t="s">
        <v>1136</v>
      </c>
      <c r="N697" s="53">
        <v>45526</v>
      </c>
      <c r="O697" s="22">
        <f>INDEX(Auxiliar!$D$5:$F$13,MATCH(Table1[[#This Row],[Tipologia_Testes]],Auxiliar!$B$5:$B$13,0),MATCH(Table1[[#This Row],[Complexidade]],Auxiliar!$D$4:$F$4,0))</f>
        <v>0.1</v>
      </c>
      <c r="P697" s="3"/>
      <c r="Q697" s="3"/>
      <c r="R697" s="173">
        <v>45561</v>
      </c>
      <c r="S697" s="173">
        <v>45526</v>
      </c>
      <c r="T697" s="173">
        <v>45561</v>
      </c>
      <c r="U697" s="173"/>
      <c r="V697" s="173"/>
      <c r="W697" s="3">
        <f>VLOOKUP(Table1[[#This Row],[Status]],Auxiliar!$B$16:$D$23,3,0)*Table1[[#This Row],[Estimação (horas)]]</f>
        <v>2.5000000000000001E-2</v>
      </c>
      <c r="X697" s="3"/>
    </row>
    <row r="698" spans="2:24" ht="17.399999999999999" hidden="1" customHeight="1">
      <c r="B698" s="3" t="s">
        <v>28</v>
      </c>
      <c r="C698" s="3" t="s">
        <v>301</v>
      </c>
      <c r="D698" s="3" t="s">
        <v>313</v>
      </c>
      <c r="E698" s="3" t="s">
        <v>38</v>
      </c>
      <c r="F698" s="3" t="s">
        <v>312</v>
      </c>
      <c r="G698" s="3" t="s">
        <v>237</v>
      </c>
      <c r="H698" s="63" t="str">
        <f>Table1[[#This Row],[Tabela]]&amp;Table1[[#This Row],[Campo]]</f>
        <v>modesg_out_empr_info_nfincca_trnvr_ttl_elgbl</v>
      </c>
      <c r="I698" s="3" t="s">
        <v>482</v>
      </c>
      <c r="J698" s="45">
        <f>VLOOKUP(Table1[[#This Row],[Status]],Auxiliar!$B$16:$C$23,2,0)</f>
        <v>6</v>
      </c>
      <c r="K698" s="3" t="s">
        <v>1137</v>
      </c>
      <c r="L698" s="3" t="s">
        <v>1144</v>
      </c>
      <c r="M698" s="22" t="s">
        <v>1136</v>
      </c>
      <c r="N698" s="53">
        <v>45526</v>
      </c>
      <c r="O698" s="22">
        <f>INDEX(Auxiliar!$D$5:$F$13,MATCH(Table1[[#This Row],[Tipologia_Testes]],Auxiliar!$B$5:$B$13,0),MATCH(Table1[[#This Row],[Complexidade]],Auxiliar!$D$4:$F$4,0))</f>
        <v>8</v>
      </c>
      <c r="P698" s="3"/>
      <c r="Q698" s="3"/>
      <c r="R698" s="173">
        <v>45561</v>
      </c>
      <c r="S698" s="173">
        <v>45526</v>
      </c>
      <c r="T698" s="173">
        <v>45561</v>
      </c>
      <c r="U698" s="173"/>
      <c r="V698" s="173"/>
      <c r="W698" s="3">
        <f>VLOOKUP(Table1[[#This Row],[Status]],Auxiliar!$B$16:$D$23,3,0)*Table1[[#This Row],[Estimação (horas)]]</f>
        <v>2</v>
      </c>
      <c r="X698" s="3"/>
    </row>
    <row r="699" spans="2:24" ht="17.399999999999999" hidden="1" customHeight="1">
      <c r="B699" s="3" t="s">
        <v>28</v>
      </c>
      <c r="C699" s="3" t="s">
        <v>301</v>
      </c>
      <c r="D699" s="3" t="s">
        <v>313</v>
      </c>
      <c r="E699" s="3" t="s">
        <v>38</v>
      </c>
      <c r="F699" s="3" t="s">
        <v>312</v>
      </c>
      <c r="G699" s="3" t="s">
        <v>237</v>
      </c>
      <c r="H699" s="63" t="str">
        <f>Table1[[#This Row],[Tabela]]&amp;Table1[[#This Row],[Campo]]</f>
        <v>modesg_out_empr_info_nfincca_trnvr_ttl_elgbl</v>
      </c>
      <c r="I699" s="3" t="s">
        <v>482</v>
      </c>
      <c r="J699" s="45">
        <f>VLOOKUP(Table1[[#This Row],[Status]],Auxiliar!$B$16:$C$23,2,0)</f>
        <v>6</v>
      </c>
      <c r="K699" s="3" t="s">
        <v>1138</v>
      </c>
      <c r="L699" s="3" t="s">
        <v>1144</v>
      </c>
      <c r="M699" s="22" t="s">
        <v>1136</v>
      </c>
      <c r="N699" s="53">
        <v>45526</v>
      </c>
      <c r="O699" s="22">
        <f>INDEX(Auxiliar!$D$5:$F$13,MATCH(Table1[[#This Row],[Tipologia_Testes]],Auxiliar!$B$5:$B$13,0),MATCH(Table1[[#This Row],[Complexidade]],Auxiliar!$D$4:$F$4,0))</f>
        <v>8</v>
      </c>
      <c r="P699" s="3"/>
      <c r="Q699" s="3"/>
      <c r="R699" s="173">
        <v>45561</v>
      </c>
      <c r="S699" s="173">
        <v>45526</v>
      </c>
      <c r="T699" s="173">
        <v>45561</v>
      </c>
      <c r="U699" s="173"/>
      <c r="V699" s="173"/>
      <c r="W699" s="3">
        <f>VLOOKUP(Table1[[#This Row],[Status]],Auxiliar!$B$16:$D$23,3,0)*Table1[[#This Row],[Estimação (horas)]]</f>
        <v>2</v>
      </c>
      <c r="X699" s="3"/>
    </row>
    <row r="700" spans="2:24" ht="17.399999999999999" hidden="1" customHeight="1">
      <c r="B700" s="3" t="s">
        <v>28</v>
      </c>
      <c r="C700" s="3" t="s">
        <v>301</v>
      </c>
      <c r="D700" s="3" t="s">
        <v>313</v>
      </c>
      <c r="E700" s="3" t="s">
        <v>38</v>
      </c>
      <c r="F700" s="3" t="s">
        <v>312</v>
      </c>
      <c r="G700" s="3" t="s">
        <v>237</v>
      </c>
      <c r="H700" s="63" t="str">
        <f>Table1[[#This Row],[Tabela]]&amp;Table1[[#This Row],[Campo]]</f>
        <v>modesg_out_empr_info_nfincca_trnvr_ttl_elgbl</v>
      </c>
      <c r="I700" s="3" t="s">
        <v>482</v>
      </c>
      <c r="J700" s="45">
        <f>VLOOKUP(Table1[[#This Row],[Status]],Auxiliar!$B$16:$C$23,2,0)</f>
        <v>6</v>
      </c>
      <c r="K700" s="3" t="s">
        <v>1141</v>
      </c>
      <c r="L700" s="3" t="s">
        <v>1144</v>
      </c>
      <c r="M700" s="22" t="s">
        <v>1136</v>
      </c>
      <c r="N700" s="53">
        <v>45526</v>
      </c>
      <c r="O700" s="22">
        <f>INDEX(Auxiliar!$D$5:$F$13,MATCH(Table1[[#This Row],[Tipologia_Testes]],Auxiliar!$B$5:$B$13,0),MATCH(Table1[[#This Row],[Complexidade]],Auxiliar!$D$4:$F$4,0))</f>
        <v>0.1</v>
      </c>
      <c r="P700" s="3"/>
      <c r="Q700" s="3"/>
      <c r="R700" s="173">
        <v>45561</v>
      </c>
      <c r="S700" s="173">
        <v>45526</v>
      </c>
      <c r="T700" s="173">
        <v>45561</v>
      </c>
      <c r="U700" s="173"/>
      <c r="V700" s="173"/>
      <c r="W700" s="3">
        <f>VLOOKUP(Table1[[#This Row],[Status]],Auxiliar!$B$16:$D$23,3,0)*Table1[[#This Row],[Estimação (horas)]]</f>
        <v>2.5000000000000001E-2</v>
      </c>
      <c r="X700" s="3"/>
    </row>
    <row r="701" spans="2:24" ht="17.399999999999999" hidden="1" customHeight="1">
      <c r="B701" s="3" t="s">
        <v>28</v>
      </c>
      <c r="C701" s="3" t="s">
        <v>301</v>
      </c>
      <c r="D701" s="3" t="s">
        <v>313</v>
      </c>
      <c r="E701" s="3" t="s">
        <v>38</v>
      </c>
      <c r="F701" s="3" t="s">
        <v>312</v>
      </c>
      <c r="G701" s="3" t="s">
        <v>239</v>
      </c>
      <c r="H701" s="63" t="str">
        <f>Table1[[#This Row],[Tabela]]&amp;Table1[[#This Row],[Campo]]</f>
        <v>modesg_out_empr_info_nfincca_turnover_own_prfrmnce_algnd</v>
      </c>
      <c r="I701" s="3" t="s">
        <v>482</v>
      </c>
      <c r="J701" s="45">
        <f>VLOOKUP(Table1[[#This Row],[Status]],Auxiliar!$B$16:$C$23,2,0)</f>
        <v>6</v>
      </c>
      <c r="K701" s="3" t="s">
        <v>1137</v>
      </c>
      <c r="L701" s="3" t="s">
        <v>1144</v>
      </c>
      <c r="M701" s="22" t="s">
        <v>1136</v>
      </c>
      <c r="N701" s="53">
        <v>45526</v>
      </c>
      <c r="O701" s="22">
        <f>INDEX(Auxiliar!$D$5:$F$13,MATCH(Table1[[#This Row],[Tipologia_Testes]],Auxiliar!$B$5:$B$13,0),MATCH(Table1[[#This Row],[Complexidade]],Auxiliar!$D$4:$F$4,0))</f>
        <v>8</v>
      </c>
      <c r="P701" s="3"/>
      <c r="Q701" s="3"/>
      <c r="R701" s="173">
        <v>45561</v>
      </c>
      <c r="S701" s="173">
        <v>45526</v>
      </c>
      <c r="T701" s="173">
        <v>45561</v>
      </c>
      <c r="U701" s="173"/>
      <c r="V701" s="173"/>
      <c r="W701" s="3">
        <f>VLOOKUP(Table1[[#This Row],[Status]],Auxiliar!$B$16:$D$23,3,0)*Table1[[#This Row],[Estimação (horas)]]</f>
        <v>2</v>
      </c>
      <c r="X701" s="3"/>
    </row>
    <row r="702" spans="2:24" ht="17.399999999999999" hidden="1" customHeight="1">
      <c r="B702" s="3" t="s">
        <v>28</v>
      </c>
      <c r="C702" s="3" t="s">
        <v>301</v>
      </c>
      <c r="D702" s="3" t="s">
        <v>313</v>
      </c>
      <c r="E702" s="3" t="s">
        <v>38</v>
      </c>
      <c r="F702" s="3" t="s">
        <v>312</v>
      </c>
      <c r="G702" s="3" t="s">
        <v>239</v>
      </c>
      <c r="H702" s="63" t="str">
        <f>Table1[[#This Row],[Tabela]]&amp;Table1[[#This Row],[Campo]]</f>
        <v>modesg_out_empr_info_nfincca_turnover_own_prfrmnce_algnd</v>
      </c>
      <c r="I702" s="3" t="s">
        <v>482</v>
      </c>
      <c r="J702" s="45">
        <f>VLOOKUP(Table1[[#This Row],[Status]],Auxiliar!$B$16:$C$23,2,0)</f>
        <v>6</v>
      </c>
      <c r="K702" s="3" t="s">
        <v>1138</v>
      </c>
      <c r="L702" s="3" t="s">
        <v>1144</v>
      </c>
      <c r="M702" s="22" t="s">
        <v>1136</v>
      </c>
      <c r="N702" s="53">
        <v>45526</v>
      </c>
      <c r="O702" s="22">
        <f>INDEX(Auxiliar!$D$5:$F$13,MATCH(Table1[[#This Row],[Tipologia_Testes]],Auxiliar!$B$5:$B$13,0),MATCH(Table1[[#This Row],[Complexidade]],Auxiliar!$D$4:$F$4,0))</f>
        <v>8</v>
      </c>
      <c r="P702" s="3"/>
      <c r="Q702" s="3"/>
      <c r="R702" s="173">
        <v>45561</v>
      </c>
      <c r="S702" s="173">
        <v>45526</v>
      </c>
      <c r="T702" s="173">
        <v>45561</v>
      </c>
      <c r="U702" s="173"/>
      <c r="V702" s="173"/>
      <c r="W702" s="3">
        <f>VLOOKUP(Table1[[#This Row],[Status]],Auxiliar!$B$16:$D$23,3,0)*Table1[[#This Row],[Estimação (horas)]]</f>
        <v>2</v>
      </c>
      <c r="X702" s="3"/>
    </row>
    <row r="703" spans="2:24" ht="17.399999999999999" hidden="1" customHeight="1">
      <c r="B703" s="3" t="s">
        <v>28</v>
      </c>
      <c r="C703" s="3" t="s">
        <v>301</v>
      </c>
      <c r="D703" s="3" t="s">
        <v>313</v>
      </c>
      <c r="E703" s="3" t="s">
        <v>38</v>
      </c>
      <c r="F703" s="3" t="s">
        <v>312</v>
      </c>
      <c r="G703" s="3" t="s">
        <v>239</v>
      </c>
      <c r="H703" s="63" t="str">
        <f>Table1[[#This Row],[Tabela]]&amp;Table1[[#This Row],[Campo]]</f>
        <v>modesg_out_empr_info_nfincca_turnover_own_prfrmnce_algnd</v>
      </c>
      <c r="I703" s="3" t="s">
        <v>482</v>
      </c>
      <c r="J703" s="45">
        <f>VLOOKUP(Table1[[#This Row],[Status]],Auxiliar!$B$16:$C$23,2,0)</f>
        <v>6</v>
      </c>
      <c r="K703" s="3" t="s">
        <v>1141</v>
      </c>
      <c r="L703" s="3" t="s">
        <v>1144</v>
      </c>
      <c r="M703" s="22" t="s">
        <v>1136</v>
      </c>
      <c r="N703" s="53">
        <v>45526</v>
      </c>
      <c r="O703" s="22">
        <f>INDEX(Auxiliar!$D$5:$F$13,MATCH(Table1[[#This Row],[Tipologia_Testes]],Auxiliar!$B$5:$B$13,0),MATCH(Table1[[#This Row],[Complexidade]],Auxiliar!$D$4:$F$4,0))</f>
        <v>0.1</v>
      </c>
      <c r="P703" s="3"/>
      <c r="Q703" s="3"/>
      <c r="R703" s="173">
        <v>45561</v>
      </c>
      <c r="S703" s="173">
        <v>45526</v>
      </c>
      <c r="T703" s="173">
        <v>45561</v>
      </c>
      <c r="U703" s="173"/>
      <c r="V703" s="173"/>
      <c r="W703" s="3">
        <f>VLOOKUP(Table1[[#This Row],[Status]],Auxiliar!$B$16:$D$23,3,0)*Table1[[#This Row],[Estimação (horas)]]</f>
        <v>2.5000000000000001E-2</v>
      </c>
      <c r="X703" s="3"/>
    </row>
    <row r="704" spans="2:24" ht="17.399999999999999" hidden="1" customHeight="1">
      <c r="B704" s="3" t="s">
        <v>28</v>
      </c>
      <c r="C704" s="3" t="s">
        <v>301</v>
      </c>
      <c r="D704" s="3" t="s">
        <v>313</v>
      </c>
      <c r="E704" s="3" t="s">
        <v>38</v>
      </c>
      <c r="F704" s="3" t="s">
        <v>312</v>
      </c>
      <c r="G704" s="3" t="s">
        <v>248</v>
      </c>
      <c r="H704" s="63" t="str">
        <f>Table1[[#This Row],[Tabela]]&amp;Table1[[#This Row],[Campo]]</f>
        <v>modesg_out_empr_info_nfinccm_capex_enblng_algnd</v>
      </c>
      <c r="I704" s="3" t="s">
        <v>482</v>
      </c>
      <c r="J704" s="45">
        <f>VLOOKUP(Table1[[#This Row],[Status]],Auxiliar!$B$16:$C$23,2,0)</f>
        <v>6</v>
      </c>
      <c r="K704" s="3" t="s">
        <v>1137</v>
      </c>
      <c r="L704" s="3" t="s">
        <v>1144</v>
      </c>
      <c r="M704" s="22" t="s">
        <v>1136</v>
      </c>
      <c r="N704" s="53">
        <v>45526</v>
      </c>
      <c r="O704" s="22">
        <f>INDEX(Auxiliar!$D$5:$F$13,MATCH(Table1[[#This Row],[Tipologia_Testes]],Auxiliar!$B$5:$B$13,0),MATCH(Table1[[#This Row],[Complexidade]],Auxiliar!$D$4:$F$4,0))</f>
        <v>8</v>
      </c>
      <c r="P704" s="3"/>
      <c r="Q704" s="3"/>
      <c r="R704" s="173">
        <v>45561</v>
      </c>
      <c r="S704" s="173">
        <v>45526</v>
      </c>
      <c r="T704" s="173">
        <v>45561</v>
      </c>
      <c r="U704" s="173"/>
      <c r="V704" s="173"/>
      <c r="W704" s="3">
        <f>VLOOKUP(Table1[[#This Row],[Status]],Auxiliar!$B$16:$D$23,3,0)*Table1[[#This Row],[Estimação (horas)]]</f>
        <v>2</v>
      </c>
      <c r="X704" s="3"/>
    </row>
    <row r="705" spans="2:24" ht="17.399999999999999" hidden="1" customHeight="1">
      <c r="B705" s="3" t="s">
        <v>28</v>
      </c>
      <c r="C705" s="3" t="s">
        <v>301</v>
      </c>
      <c r="D705" s="3" t="s">
        <v>313</v>
      </c>
      <c r="E705" s="3" t="s">
        <v>38</v>
      </c>
      <c r="F705" s="3" t="s">
        <v>312</v>
      </c>
      <c r="G705" s="3" t="s">
        <v>248</v>
      </c>
      <c r="H705" s="63" t="str">
        <f>Table1[[#This Row],[Tabela]]&amp;Table1[[#This Row],[Campo]]</f>
        <v>modesg_out_empr_info_nfinccm_capex_enblng_algnd</v>
      </c>
      <c r="I705" s="3" t="s">
        <v>482</v>
      </c>
      <c r="J705" s="45">
        <f>VLOOKUP(Table1[[#This Row],[Status]],Auxiliar!$B$16:$C$23,2,0)</f>
        <v>6</v>
      </c>
      <c r="K705" s="3" t="s">
        <v>1138</v>
      </c>
      <c r="L705" s="3" t="s">
        <v>1144</v>
      </c>
      <c r="M705" s="22" t="s">
        <v>1136</v>
      </c>
      <c r="N705" s="53">
        <v>45526</v>
      </c>
      <c r="O705" s="22">
        <f>INDEX(Auxiliar!$D$5:$F$13,MATCH(Table1[[#This Row],[Tipologia_Testes]],Auxiliar!$B$5:$B$13,0),MATCH(Table1[[#This Row],[Complexidade]],Auxiliar!$D$4:$F$4,0))</f>
        <v>8</v>
      </c>
      <c r="P705" s="3"/>
      <c r="Q705" s="3"/>
      <c r="R705" s="173">
        <v>45561</v>
      </c>
      <c r="S705" s="173">
        <v>45526</v>
      </c>
      <c r="T705" s="173">
        <v>45561</v>
      </c>
      <c r="U705" s="173"/>
      <c r="V705" s="173"/>
      <c r="W705" s="3">
        <f>VLOOKUP(Table1[[#This Row],[Status]],Auxiliar!$B$16:$D$23,3,0)*Table1[[#This Row],[Estimação (horas)]]</f>
        <v>2</v>
      </c>
      <c r="X705" s="3"/>
    </row>
    <row r="706" spans="2:24" ht="17.399999999999999" hidden="1" customHeight="1">
      <c r="B706" s="3" t="s">
        <v>28</v>
      </c>
      <c r="C706" s="3" t="s">
        <v>301</v>
      </c>
      <c r="D706" s="3" t="s">
        <v>313</v>
      </c>
      <c r="E706" s="3" t="s">
        <v>38</v>
      </c>
      <c r="F706" s="3" t="s">
        <v>312</v>
      </c>
      <c r="G706" s="3" t="s">
        <v>248</v>
      </c>
      <c r="H706" s="63" t="str">
        <f>Table1[[#This Row],[Tabela]]&amp;Table1[[#This Row],[Campo]]</f>
        <v>modesg_out_empr_info_nfinccm_capex_enblng_algnd</v>
      </c>
      <c r="I706" s="3" t="s">
        <v>482</v>
      </c>
      <c r="J706" s="45">
        <f>VLOOKUP(Table1[[#This Row],[Status]],Auxiliar!$B$16:$C$23,2,0)</f>
        <v>6</v>
      </c>
      <c r="K706" s="3" t="s">
        <v>1141</v>
      </c>
      <c r="L706" s="3" t="s">
        <v>1144</v>
      </c>
      <c r="M706" s="22" t="s">
        <v>1136</v>
      </c>
      <c r="N706" s="53">
        <v>45526</v>
      </c>
      <c r="O706" s="22">
        <f>INDEX(Auxiliar!$D$5:$F$13,MATCH(Table1[[#This Row],[Tipologia_Testes]],Auxiliar!$B$5:$B$13,0),MATCH(Table1[[#This Row],[Complexidade]],Auxiliar!$D$4:$F$4,0))</f>
        <v>0.1</v>
      </c>
      <c r="P706" s="3"/>
      <c r="Q706" s="3"/>
      <c r="R706" s="173">
        <v>45561</v>
      </c>
      <c r="S706" s="173">
        <v>45526</v>
      </c>
      <c r="T706" s="173">
        <v>45561</v>
      </c>
      <c r="U706" s="173"/>
      <c r="V706" s="173"/>
      <c r="W706" s="3">
        <f>VLOOKUP(Table1[[#This Row],[Status]],Auxiliar!$B$16:$D$23,3,0)*Table1[[#This Row],[Estimação (horas)]]</f>
        <v>2.5000000000000001E-2</v>
      </c>
      <c r="X706" s="3"/>
    </row>
    <row r="707" spans="2:24" ht="17.399999999999999" hidden="1" customHeight="1">
      <c r="B707" s="3" t="s">
        <v>28</v>
      </c>
      <c r="C707" s="3" t="s">
        <v>301</v>
      </c>
      <c r="D707" s="3" t="s">
        <v>313</v>
      </c>
      <c r="E707" s="3" t="s">
        <v>38</v>
      </c>
      <c r="F707" s="3" t="s">
        <v>312</v>
      </c>
      <c r="G707" s="3" t="s">
        <v>250</v>
      </c>
      <c r="H707" s="63" t="str">
        <f>Table1[[#This Row],[Tabela]]&amp;Table1[[#This Row],[Campo]]</f>
        <v>modesg_out_empr_info_nfinccm_capex_own_prfrmnce_algnd</v>
      </c>
      <c r="I707" s="3" t="s">
        <v>482</v>
      </c>
      <c r="J707" s="45">
        <f>VLOOKUP(Table1[[#This Row],[Status]],Auxiliar!$B$16:$C$23,2,0)</f>
        <v>6</v>
      </c>
      <c r="K707" s="3" t="s">
        <v>1137</v>
      </c>
      <c r="L707" s="3" t="s">
        <v>1144</v>
      </c>
      <c r="M707" s="22" t="s">
        <v>1136</v>
      </c>
      <c r="N707" s="53">
        <v>45526</v>
      </c>
      <c r="O707" s="22">
        <f>INDEX(Auxiliar!$D$5:$F$13,MATCH(Table1[[#This Row],[Tipologia_Testes]],Auxiliar!$B$5:$B$13,0),MATCH(Table1[[#This Row],[Complexidade]],Auxiliar!$D$4:$F$4,0))</f>
        <v>8</v>
      </c>
      <c r="P707" s="3"/>
      <c r="Q707" s="3"/>
      <c r="R707" s="173">
        <v>45561</v>
      </c>
      <c r="S707" s="173">
        <v>45526</v>
      </c>
      <c r="T707" s="173">
        <v>45561</v>
      </c>
      <c r="U707" s="173"/>
      <c r="V707" s="173"/>
      <c r="W707" s="3">
        <f>VLOOKUP(Table1[[#This Row],[Status]],Auxiliar!$B$16:$D$23,3,0)*Table1[[#This Row],[Estimação (horas)]]</f>
        <v>2</v>
      </c>
      <c r="X707" s="3"/>
    </row>
    <row r="708" spans="2:24" ht="17.399999999999999" hidden="1" customHeight="1">
      <c r="B708" s="3" t="s">
        <v>28</v>
      </c>
      <c r="C708" s="3" t="s">
        <v>301</v>
      </c>
      <c r="D708" s="3" t="s">
        <v>313</v>
      </c>
      <c r="E708" s="3" t="s">
        <v>38</v>
      </c>
      <c r="F708" s="3" t="s">
        <v>312</v>
      </c>
      <c r="G708" s="3" t="s">
        <v>250</v>
      </c>
      <c r="H708" s="63" t="str">
        <f>Table1[[#This Row],[Tabela]]&amp;Table1[[#This Row],[Campo]]</f>
        <v>modesg_out_empr_info_nfinccm_capex_own_prfrmnce_algnd</v>
      </c>
      <c r="I708" s="3" t="s">
        <v>482</v>
      </c>
      <c r="J708" s="45">
        <f>VLOOKUP(Table1[[#This Row],[Status]],Auxiliar!$B$16:$C$23,2,0)</f>
        <v>6</v>
      </c>
      <c r="K708" s="3" t="s">
        <v>1138</v>
      </c>
      <c r="L708" s="3" t="s">
        <v>1144</v>
      </c>
      <c r="M708" s="22" t="s">
        <v>1136</v>
      </c>
      <c r="N708" s="53">
        <v>45526</v>
      </c>
      <c r="O708" s="22">
        <f>INDEX(Auxiliar!$D$5:$F$13,MATCH(Table1[[#This Row],[Tipologia_Testes]],Auxiliar!$B$5:$B$13,0),MATCH(Table1[[#This Row],[Complexidade]],Auxiliar!$D$4:$F$4,0))</f>
        <v>8</v>
      </c>
      <c r="P708" s="3"/>
      <c r="Q708" s="3"/>
      <c r="R708" s="173">
        <v>45561</v>
      </c>
      <c r="S708" s="173">
        <v>45526</v>
      </c>
      <c r="T708" s="173">
        <v>45561</v>
      </c>
      <c r="U708" s="173"/>
      <c r="V708" s="173"/>
      <c r="W708" s="3">
        <f>VLOOKUP(Table1[[#This Row],[Status]],Auxiliar!$B$16:$D$23,3,0)*Table1[[#This Row],[Estimação (horas)]]</f>
        <v>2</v>
      </c>
      <c r="X708" s="3"/>
    </row>
    <row r="709" spans="2:24" ht="17.399999999999999" hidden="1" customHeight="1">
      <c r="B709" s="3" t="s">
        <v>28</v>
      </c>
      <c r="C709" s="3" t="s">
        <v>301</v>
      </c>
      <c r="D709" s="3" t="s">
        <v>313</v>
      </c>
      <c r="E709" s="3" t="s">
        <v>38</v>
      </c>
      <c r="F709" s="3" t="s">
        <v>312</v>
      </c>
      <c r="G709" s="3" t="s">
        <v>250</v>
      </c>
      <c r="H709" s="63" t="str">
        <f>Table1[[#This Row],[Tabela]]&amp;Table1[[#This Row],[Campo]]</f>
        <v>modesg_out_empr_info_nfinccm_capex_own_prfrmnce_algnd</v>
      </c>
      <c r="I709" s="3" t="s">
        <v>482</v>
      </c>
      <c r="J709" s="45">
        <f>VLOOKUP(Table1[[#This Row],[Status]],Auxiliar!$B$16:$C$23,2,0)</f>
        <v>6</v>
      </c>
      <c r="K709" s="3" t="s">
        <v>1141</v>
      </c>
      <c r="L709" s="3" t="s">
        <v>1144</v>
      </c>
      <c r="M709" s="22" t="s">
        <v>1136</v>
      </c>
      <c r="N709" s="53">
        <v>45526</v>
      </c>
      <c r="O709" s="22">
        <f>INDEX(Auxiliar!$D$5:$F$13,MATCH(Table1[[#This Row],[Tipologia_Testes]],Auxiliar!$B$5:$B$13,0),MATCH(Table1[[#This Row],[Complexidade]],Auxiliar!$D$4:$F$4,0))</f>
        <v>0.1</v>
      </c>
      <c r="P709" s="3"/>
      <c r="Q709" s="3"/>
      <c r="R709" s="173">
        <v>45561</v>
      </c>
      <c r="S709" s="173">
        <v>45526</v>
      </c>
      <c r="T709" s="173">
        <v>45561</v>
      </c>
      <c r="U709" s="173"/>
      <c r="V709" s="173"/>
      <c r="W709" s="3">
        <f>VLOOKUP(Table1[[#This Row],[Status]],Auxiliar!$B$16:$D$23,3,0)*Table1[[#This Row],[Estimação (horas)]]</f>
        <v>2.5000000000000001E-2</v>
      </c>
      <c r="X709" s="3"/>
    </row>
    <row r="710" spans="2:24" ht="17.399999999999999" hidden="1" customHeight="1">
      <c r="B710" s="3" t="s">
        <v>28</v>
      </c>
      <c r="C710" s="3" t="s">
        <v>301</v>
      </c>
      <c r="D710" s="3" t="s">
        <v>313</v>
      </c>
      <c r="E710" s="3" t="s">
        <v>38</v>
      </c>
      <c r="F710" s="3" t="s">
        <v>312</v>
      </c>
      <c r="G710" s="3" t="s">
        <v>249</v>
      </c>
      <c r="H710" s="63" t="str">
        <f>Table1[[#This Row],[Tabela]]&amp;Table1[[#This Row],[Campo]]</f>
        <v>modesg_out_empr_info_nfinccm_capex_trnstn_algnd</v>
      </c>
      <c r="I710" s="3" t="s">
        <v>482</v>
      </c>
      <c r="J710" s="45">
        <f>VLOOKUP(Table1[[#This Row],[Status]],Auxiliar!$B$16:$C$23,2,0)</f>
        <v>6</v>
      </c>
      <c r="K710" s="3" t="s">
        <v>1137</v>
      </c>
      <c r="L710" s="3" t="s">
        <v>1144</v>
      </c>
      <c r="M710" s="22" t="s">
        <v>1136</v>
      </c>
      <c r="N710" s="53">
        <v>45526</v>
      </c>
      <c r="O710" s="22">
        <f>INDEX(Auxiliar!$D$5:$F$13,MATCH(Table1[[#This Row],[Tipologia_Testes]],Auxiliar!$B$5:$B$13,0),MATCH(Table1[[#This Row],[Complexidade]],Auxiliar!$D$4:$F$4,0))</f>
        <v>8</v>
      </c>
      <c r="P710" s="3"/>
      <c r="Q710" s="3"/>
      <c r="R710" s="173">
        <v>45561</v>
      </c>
      <c r="S710" s="173">
        <v>45526</v>
      </c>
      <c r="T710" s="173">
        <v>45561</v>
      </c>
      <c r="U710" s="173"/>
      <c r="V710" s="173"/>
      <c r="W710" s="3">
        <f>VLOOKUP(Table1[[#This Row],[Status]],Auxiliar!$B$16:$D$23,3,0)*Table1[[#This Row],[Estimação (horas)]]</f>
        <v>2</v>
      </c>
      <c r="X710" s="3"/>
    </row>
    <row r="711" spans="2:24" ht="17.399999999999999" hidden="1" customHeight="1">
      <c r="B711" s="3" t="s">
        <v>28</v>
      </c>
      <c r="C711" s="3" t="s">
        <v>301</v>
      </c>
      <c r="D711" s="3" t="s">
        <v>313</v>
      </c>
      <c r="E711" s="3" t="s">
        <v>38</v>
      </c>
      <c r="F711" s="3" t="s">
        <v>312</v>
      </c>
      <c r="G711" s="3" t="s">
        <v>249</v>
      </c>
      <c r="H711" s="63" t="str">
        <f>Table1[[#This Row],[Tabela]]&amp;Table1[[#This Row],[Campo]]</f>
        <v>modesg_out_empr_info_nfinccm_capex_trnstn_algnd</v>
      </c>
      <c r="I711" s="3" t="s">
        <v>482</v>
      </c>
      <c r="J711" s="45">
        <f>VLOOKUP(Table1[[#This Row],[Status]],Auxiliar!$B$16:$C$23,2,0)</f>
        <v>6</v>
      </c>
      <c r="K711" s="3" t="s">
        <v>1138</v>
      </c>
      <c r="L711" s="3" t="s">
        <v>1144</v>
      </c>
      <c r="M711" s="22" t="s">
        <v>1136</v>
      </c>
      <c r="N711" s="53">
        <v>45526</v>
      </c>
      <c r="O711" s="22">
        <f>INDEX(Auxiliar!$D$5:$F$13,MATCH(Table1[[#This Row],[Tipologia_Testes]],Auxiliar!$B$5:$B$13,0),MATCH(Table1[[#This Row],[Complexidade]],Auxiliar!$D$4:$F$4,0))</f>
        <v>8</v>
      </c>
      <c r="P711" s="3"/>
      <c r="Q711" s="3"/>
      <c r="R711" s="173">
        <v>45561</v>
      </c>
      <c r="S711" s="173">
        <v>45526</v>
      </c>
      <c r="T711" s="173">
        <v>45561</v>
      </c>
      <c r="U711" s="173"/>
      <c r="V711" s="173"/>
      <c r="W711" s="3">
        <f>VLOOKUP(Table1[[#This Row],[Status]],Auxiliar!$B$16:$D$23,3,0)*Table1[[#This Row],[Estimação (horas)]]</f>
        <v>2</v>
      </c>
      <c r="X711" s="3"/>
    </row>
    <row r="712" spans="2:24" ht="17.399999999999999" hidden="1" customHeight="1">
      <c r="B712" s="3" t="s">
        <v>28</v>
      </c>
      <c r="C712" s="3" t="s">
        <v>301</v>
      </c>
      <c r="D712" s="3" t="s">
        <v>313</v>
      </c>
      <c r="E712" s="3" t="s">
        <v>38</v>
      </c>
      <c r="F712" s="3" t="s">
        <v>312</v>
      </c>
      <c r="G712" s="3" t="s">
        <v>249</v>
      </c>
      <c r="H712" s="63" t="str">
        <f>Table1[[#This Row],[Tabela]]&amp;Table1[[#This Row],[Campo]]</f>
        <v>modesg_out_empr_info_nfinccm_capex_trnstn_algnd</v>
      </c>
      <c r="I712" s="3" t="s">
        <v>482</v>
      </c>
      <c r="J712" s="45">
        <f>VLOOKUP(Table1[[#This Row],[Status]],Auxiliar!$B$16:$C$23,2,0)</f>
        <v>6</v>
      </c>
      <c r="K712" s="3" t="s">
        <v>1141</v>
      </c>
      <c r="L712" s="3" t="s">
        <v>1144</v>
      </c>
      <c r="M712" s="22" t="s">
        <v>1136</v>
      </c>
      <c r="N712" s="53">
        <v>45526</v>
      </c>
      <c r="O712" s="22">
        <f>INDEX(Auxiliar!$D$5:$F$13,MATCH(Table1[[#This Row],[Tipologia_Testes]],Auxiliar!$B$5:$B$13,0),MATCH(Table1[[#This Row],[Complexidade]],Auxiliar!$D$4:$F$4,0))</f>
        <v>0.1</v>
      </c>
      <c r="P712" s="3"/>
      <c r="Q712" s="3"/>
      <c r="R712" s="173">
        <v>45561</v>
      </c>
      <c r="S712" s="173">
        <v>45526</v>
      </c>
      <c r="T712" s="173">
        <v>45561</v>
      </c>
      <c r="U712" s="173"/>
      <c r="V712" s="173"/>
      <c r="W712" s="3">
        <f>VLOOKUP(Table1[[#This Row],[Status]],Auxiliar!$B$16:$D$23,3,0)*Table1[[#This Row],[Estimação (horas)]]</f>
        <v>2.5000000000000001E-2</v>
      </c>
      <c r="X712" s="3"/>
    </row>
    <row r="713" spans="2:24" ht="17.399999999999999" hidden="1" customHeight="1">
      <c r="B713" s="3" t="s">
        <v>28</v>
      </c>
      <c r="C713" s="3" t="s">
        <v>301</v>
      </c>
      <c r="D713" s="3" t="s">
        <v>313</v>
      </c>
      <c r="E713" s="3" t="s">
        <v>38</v>
      </c>
      <c r="F713" s="3" t="s">
        <v>312</v>
      </c>
      <c r="G713" s="3" t="s">
        <v>247</v>
      </c>
      <c r="H713" s="63" t="str">
        <f>Table1[[#This Row],[Tabela]]&amp;Table1[[#This Row],[Campo]]</f>
        <v>modesg_out_empr_info_nfinccm_capex_ttl_elgbl</v>
      </c>
      <c r="I713" s="3" t="s">
        <v>482</v>
      </c>
      <c r="J713" s="45">
        <f>VLOOKUP(Table1[[#This Row],[Status]],Auxiliar!$B$16:$C$23,2,0)</f>
        <v>6</v>
      </c>
      <c r="K713" s="3" t="s">
        <v>1137</v>
      </c>
      <c r="L713" s="3" t="s">
        <v>1144</v>
      </c>
      <c r="M713" s="22" t="s">
        <v>1136</v>
      </c>
      <c r="N713" s="53">
        <v>45526</v>
      </c>
      <c r="O713" s="22">
        <f>INDEX(Auxiliar!$D$5:$F$13,MATCH(Table1[[#This Row],[Tipologia_Testes]],Auxiliar!$B$5:$B$13,0),MATCH(Table1[[#This Row],[Complexidade]],Auxiliar!$D$4:$F$4,0))</f>
        <v>8</v>
      </c>
      <c r="P713" s="3"/>
      <c r="Q713" s="3"/>
      <c r="R713" s="173">
        <v>45561</v>
      </c>
      <c r="S713" s="173">
        <v>45526</v>
      </c>
      <c r="T713" s="173">
        <v>45561</v>
      </c>
      <c r="U713" s="173"/>
      <c r="V713" s="173"/>
      <c r="W713" s="3">
        <f>VLOOKUP(Table1[[#This Row],[Status]],Auxiliar!$B$16:$D$23,3,0)*Table1[[#This Row],[Estimação (horas)]]</f>
        <v>2</v>
      </c>
      <c r="X713" s="3"/>
    </row>
    <row r="714" spans="2:24" ht="17.399999999999999" hidden="1" customHeight="1">
      <c r="B714" s="3" t="s">
        <v>28</v>
      </c>
      <c r="C714" s="3" t="s">
        <v>301</v>
      </c>
      <c r="D714" s="3" t="s">
        <v>313</v>
      </c>
      <c r="E714" s="3" t="s">
        <v>38</v>
      </c>
      <c r="F714" s="3" t="s">
        <v>312</v>
      </c>
      <c r="G714" s="3" t="s">
        <v>247</v>
      </c>
      <c r="H714" s="63" t="str">
        <f>Table1[[#This Row],[Tabela]]&amp;Table1[[#This Row],[Campo]]</f>
        <v>modesg_out_empr_info_nfinccm_capex_ttl_elgbl</v>
      </c>
      <c r="I714" s="3" t="s">
        <v>482</v>
      </c>
      <c r="J714" s="45">
        <f>VLOOKUP(Table1[[#This Row],[Status]],Auxiliar!$B$16:$C$23,2,0)</f>
        <v>6</v>
      </c>
      <c r="K714" s="3" t="s">
        <v>1138</v>
      </c>
      <c r="L714" s="3" t="s">
        <v>1144</v>
      </c>
      <c r="M714" s="22" t="s">
        <v>1136</v>
      </c>
      <c r="N714" s="53">
        <v>45526</v>
      </c>
      <c r="O714" s="22">
        <f>INDEX(Auxiliar!$D$5:$F$13,MATCH(Table1[[#This Row],[Tipologia_Testes]],Auxiliar!$B$5:$B$13,0),MATCH(Table1[[#This Row],[Complexidade]],Auxiliar!$D$4:$F$4,0))</f>
        <v>8</v>
      </c>
      <c r="P714" s="3"/>
      <c r="Q714" s="3"/>
      <c r="R714" s="173">
        <v>45561</v>
      </c>
      <c r="S714" s="173">
        <v>45526</v>
      </c>
      <c r="T714" s="173">
        <v>45561</v>
      </c>
      <c r="U714" s="173"/>
      <c r="V714" s="173"/>
      <c r="W714" s="3">
        <f>VLOOKUP(Table1[[#This Row],[Status]],Auxiliar!$B$16:$D$23,3,0)*Table1[[#This Row],[Estimação (horas)]]</f>
        <v>2</v>
      </c>
      <c r="X714" s="3"/>
    </row>
    <row r="715" spans="2:24" ht="17.399999999999999" hidden="1" customHeight="1">
      <c r="B715" s="3" t="s">
        <v>28</v>
      </c>
      <c r="C715" s="3" t="s">
        <v>301</v>
      </c>
      <c r="D715" s="3" t="s">
        <v>313</v>
      </c>
      <c r="E715" s="3" t="s">
        <v>38</v>
      </c>
      <c r="F715" s="3" t="s">
        <v>312</v>
      </c>
      <c r="G715" s="3" t="s">
        <v>247</v>
      </c>
      <c r="H715" s="63" t="str">
        <f>Table1[[#This Row],[Tabela]]&amp;Table1[[#This Row],[Campo]]</f>
        <v>modesg_out_empr_info_nfinccm_capex_ttl_elgbl</v>
      </c>
      <c r="I715" s="3" t="s">
        <v>482</v>
      </c>
      <c r="J715" s="45">
        <f>VLOOKUP(Table1[[#This Row],[Status]],Auxiliar!$B$16:$C$23,2,0)</f>
        <v>6</v>
      </c>
      <c r="K715" s="3" t="s">
        <v>1141</v>
      </c>
      <c r="L715" s="3" t="s">
        <v>1144</v>
      </c>
      <c r="M715" s="22" t="s">
        <v>1136</v>
      </c>
      <c r="N715" s="53">
        <v>45526</v>
      </c>
      <c r="O715" s="22">
        <f>INDEX(Auxiliar!$D$5:$F$13,MATCH(Table1[[#This Row],[Tipologia_Testes]],Auxiliar!$B$5:$B$13,0),MATCH(Table1[[#This Row],[Complexidade]],Auxiliar!$D$4:$F$4,0))</f>
        <v>0.1</v>
      </c>
      <c r="P715" s="3"/>
      <c r="Q715" s="3"/>
      <c r="R715" s="173">
        <v>45561</v>
      </c>
      <c r="S715" s="173">
        <v>45526</v>
      </c>
      <c r="T715" s="173">
        <v>45561</v>
      </c>
      <c r="U715" s="173"/>
      <c r="V715" s="173"/>
      <c r="W715" s="3">
        <f>VLOOKUP(Table1[[#This Row],[Status]],Auxiliar!$B$16:$D$23,3,0)*Table1[[#This Row],[Estimação (horas)]]</f>
        <v>2.5000000000000001E-2</v>
      </c>
      <c r="X715" s="3"/>
    </row>
    <row r="716" spans="2:24" ht="17.399999999999999" hidden="1" customHeight="1">
      <c r="B716" s="3" t="s">
        <v>28</v>
      </c>
      <c r="C716" s="3" t="s">
        <v>301</v>
      </c>
      <c r="D716" s="3" t="s">
        <v>313</v>
      </c>
      <c r="E716" s="3" t="s">
        <v>38</v>
      </c>
      <c r="F716" s="3" t="s">
        <v>312</v>
      </c>
      <c r="G716" s="3" t="s">
        <v>244</v>
      </c>
      <c r="H716" s="63" t="str">
        <f>Table1[[#This Row],[Tabela]]&amp;Table1[[#This Row],[Campo]]</f>
        <v>modesg_out_empr_info_nfinccm_trnvr_enblng_algnd</v>
      </c>
      <c r="I716" s="3" t="s">
        <v>482</v>
      </c>
      <c r="J716" s="45">
        <f>VLOOKUP(Table1[[#This Row],[Status]],Auxiliar!$B$16:$C$23,2,0)</f>
        <v>6</v>
      </c>
      <c r="K716" s="3" t="s">
        <v>1137</v>
      </c>
      <c r="L716" s="3" t="s">
        <v>1144</v>
      </c>
      <c r="M716" s="22" t="s">
        <v>1136</v>
      </c>
      <c r="N716" s="53">
        <v>45526</v>
      </c>
      <c r="O716" s="22">
        <f>INDEX(Auxiliar!$D$5:$F$13,MATCH(Table1[[#This Row],[Tipologia_Testes]],Auxiliar!$B$5:$B$13,0),MATCH(Table1[[#This Row],[Complexidade]],Auxiliar!$D$4:$F$4,0))</f>
        <v>8</v>
      </c>
      <c r="P716" s="3"/>
      <c r="Q716" s="3"/>
      <c r="R716" s="173">
        <v>45561</v>
      </c>
      <c r="S716" s="173">
        <v>45526</v>
      </c>
      <c r="T716" s="173">
        <v>45561</v>
      </c>
      <c r="U716" s="173"/>
      <c r="V716" s="173"/>
      <c r="W716" s="3">
        <f>VLOOKUP(Table1[[#This Row],[Status]],Auxiliar!$B$16:$D$23,3,0)*Table1[[#This Row],[Estimação (horas)]]</f>
        <v>2</v>
      </c>
      <c r="X716" s="3"/>
    </row>
    <row r="717" spans="2:24" ht="17.399999999999999" hidden="1" customHeight="1">
      <c r="B717" s="3" t="s">
        <v>28</v>
      </c>
      <c r="C717" s="3" t="s">
        <v>301</v>
      </c>
      <c r="D717" s="3" t="s">
        <v>313</v>
      </c>
      <c r="E717" s="3" t="s">
        <v>38</v>
      </c>
      <c r="F717" s="3" t="s">
        <v>312</v>
      </c>
      <c r="G717" s="3" t="s">
        <v>244</v>
      </c>
      <c r="H717" s="63" t="str">
        <f>Table1[[#This Row],[Tabela]]&amp;Table1[[#This Row],[Campo]]</f>
        <v>modesg_out_empr_info_nfinccm_trnvr_enblng_algnd</v>
      </c>
      <c r="I717" s="3" t="s">
        <v>482</v>
      </c>
      <c r="J717" s="45">
        <f>VLOOKUP(Table1[[#This Row],[Status]],Auxiliar!$B$16:$C$23,2,0)</f>
        <v>6</v>
      </c>
      <c r="K717" s="3" t="s">
        <v>1138</v>
      </c>
      <c r="L717" s="3" t="s">
        <v>1144</v>
      </c>
      <c r="M717" s="22" t="s">
        <v>1136</v>
      </c>
      <c r="N717" s="53">
        <v>45526</v>
      </c>
      <c r="O717" s="22">
        <f>INDEX(Auxiliar!$D$5:$F$13,MATCH(Table1[[#This Row],[Tipologia_Testes]],Auxiliar!$B$5:$B$13,0),MATCH(Table1[[#This Row],[Complexidade]],Auxiliar!$D$4:$F$4,0))</f>
        <v>8</v>
      </c>
      <c r="P717" s="3"/>
      <c r="Q717" s="3"/>
      <c r="R717" s="173">
        <v>45561</v>
      </c>
      <c r="S717" s="173">
        <v>45526</v>
      </c>
      <c r="T717" s="173">
        <v>45561</v>
      </c>
      <c r="U717" s="173"/>
      <c r="V717" s="173"/>
      <c r="W717" s="3">
        <f>VLOOKUP(Table1[[#This Row],[Status]],Auxiliar!$B$16:$D$23,3,0)*Table1[[#This Row],[Estimação (horas)]]</f>
        <v>2</v>
      </c>
      <c r="X717" s="3"/>
    </row>
    <row r="718" spans="2:24" ht="17.399999999999999" hidden="1" customHeight="1">
      <c r="B718" s="3" t="s">
        <v>28</v>
      </c>
      <c r="C718" s="3" t="s">
        <v>301</v>
      </c>
      <c r="D718" s="3" t="s">
        <v>313</v>
      </c>
      <c r="E718" s="3" t="s">
        <v>38</v>
      </c>
      <c r="F718" s="3" t="s">
        <v>312</v>
      </c>
      <c r="G718" s="3" t="s">
        <v>244</v>
      </c>
      <c r="H718" s="63" t="str">
        <f>Table1[[#This Row],[Tabela]]&amp;Table1[[#This Row],[Campo]]</f>
        <v>modesg_out_empr_info_nfinccm_trnvr_enblng_algnd</v>
      </c>
      <c r="I718" s="3" t="s">
        <v>482</v>
      </c>
      <c r="J718" s="45">
        <f>VLOOKUP(Table1[[#This Row],[Status]],Auxiliar!$B$16:$C$23,2,0)</f>
        <v>6</v>
      </c>
      <c r="K718" s="3" t="s">
        <v>1141</v>
      </c>
      <c r="L718" s="3" t="s">
        <v>1144</v>
      </c>
      <c r="M718" s="22" t="s">
        <v>1136</v>
      </c>
      <c r="N718" s="53">
        <v>45526</v>
      </c>
      <c r="O718" s="22">
        <f>INDEX(Auxiliar!$D$5:$F$13,MATCH(Table1[[#This Row],[Tipologia_Testes]],Auxiliar!$B$5:$B$13,0),MATCH(Table1[[#This Row],[Complexidade]],Auxiliar!$D$4:$F$4,0))</f>
        <v>0.1</v>
      </c>
      <c r="P718" s="3"/>
      <c r="Q718" s="3"/>
      <c r="R718" s="173">
        <v>45561</v>
      </c>
      <c r="S718" s="173">
        <v>45526</v>
      </c>
      <c r="T718" s="173">
        <v>45561</v>
      </c>
      <c r="U718" s="173"/>
      <c r="V718" s="173"/>
      <c r="W718" s="3">
        <f>VLOOKUP(Table1[[#This Row],[Status]],Auxiliar!$B$16:$D$23,3,0)*Table1[[#This Row],[Estimação (horas)]]</f>
        <v>2.5000000000000001E-2</v>
      </c>
      <c r="X718" s="3"/>
    </row>
    <row r="719" spans="2:24" ht="17.399999999999999" hidden="1" customHeight="1">
      <c r="B719" s="3" t="s">
        <v>28</v>
      </c>
      <c r="C719" s="3" t="s">
        <v>301</v>
      </c>
      <c r="D719" s="3" t="s">
        <v>313</v>
      </c>
      <c r="E719" s="3" t="s">
        <v>38</v>
      </c>
      <c r="F719" s="3" t="s">
        <v>312</v>
      </c>
      <c r="G719" s="3" t="s">
        <v>246</v>
      </c>
      <c r="H719" s="63" t="str">
        <f>Table1[[#This Row],[Tabela]]&amp;Table1[[#This Row],[Campo]]</f>
        <v>modesg_out_empr_info_nfinccm_trnvr_own_prfrmnce_algnd</v>
      </c>
      <c r="I719" s="3" t="s">
        <v>482</v>
      </c>
      <c r="J719" s="45">
        <f>VLOOKUP(Table1[[#This Row],[Status]],Auxiliar!$B$16:$C$23,2,0)</f>
        <v>6</v>
      </c>
      <c r="K719" s="3" t="s">
        <v>1137</v>
      </c>
      <c r="L719" s="3" t="s">
        <v>1144</v>
      </c>
      <c r="M719" s="22" t="s">
        <v>1136</v>
      </c>
      <c r="N719" s="53">
        <v>45526</v>
      </c>
      <c r="O719" s="22">
        <f>INDEX(Auxiliar!$D$5:$F$13,MATCH(Table1[[#This Row],[Tipologia_Testes]],Auxiliar!$B$5:$B$13,0),MATCH(Table1[[#This Row],[Complexidade]],Auxiliar!$D$4:$F$4,0))</f>
        <v>8</v>
      </c>
      <c r="P719" s="3"/>
      <c r="Q719" s="3"/>
      <c r="R719" s="173">
        <v>45561</v>
      </c>
      <c r="S719" s="173">
        <v>45526</v>
      </c>
      <c r="T719" s="173">
        <v>45561</v>
      </c>
      <c r="U719" s="173"/>
      <c r="V719" s="173"/>
      <c r="W719" s="3">
        <f>VLOOKUP(Table1[[#This Row],[Status]],Auxiliar!$B$16:$D$23,3,0)*Table1[[#This Row],[Estimação (horas)]]</f>
        <v>2</v>
      </c>
      <c r="X719" s="3"/>
    </row>
    <row r="720" spans="2:24" ht="17.399999999999999" hidden="1" customHeight="1">
      <c r="B720" s="3" t="s">
        <v>28</v>
      </c>
      <c r="C720" s="3" t="s">
        <v>301</v>
      </c>
      <c r="D720" s="3" t="s">
        <v>313</v>
      </c>
      <c r="E720" s="3" t="s">
        <v>38</v>
      </c>
      <c r="F720" s="3" t="s">
        <v>312</v>
      </c>
      <c r="G720" s="3" t="s">
        <v>246</v>
      </c>
      <c r="H720" s="63" t="str">
        <f>Table1[[#This Row],[Tabela]]&amp;Table1[[#This Row],[Campo]]</f>
        <v>modesg_out_empr_info_nfinccm_trnvr_own_prfrmnce_algnd</v>
      </c>
      <c r="I720" s="3" t="s">
        <v>482</v>
      </c>
      <c r="J720" s="45">
        <f>VLOOKUP(Table1[[#This Row],[Status]],Auxiliar!$B$16:$C$23,2,0)</f>
        <v>6</v>
      </c>
      <c r="K720" s="3" t="s">
        <v>1138</v>
      </c>
      <c r="L720" s="3" t="s">
        <v>1144</v>
      </c>
      <c r="M720" s="22" t="s">
        <v>1136</v>
      </c>
      <c r="N720" s="53">
        <v>45526</v>
      </c>
      <c r="O720" s="22">
        <f>INDEX(Auxiliar!$D$5:$F$13,MATCH(Table1[[#This Row],[Tipologia_Testes]],Auxiliar!$B$5:$B$13,0),MATCH(Table1[[#This Row],[Complexidade]],Auxiliar!$D$4:$F$4,0))</f>
        <v>8</v>
      </c>
      <c r="P720" s="3"/>
      <c r="Q720" s="3"/>
      <c r="R720" s="173">
        <v>45561</v>
      </c>
      <c r="S720" s="173">
        <v>45526</v>
      </c>
      <c r="T720" s="173">
        <v>45561</v>
      </c>
      <c r="U720" s="173"/>
      <c r="V720" s="173"/>
      <c r="W720" s="3">
        <f>VLOOKUP(Table1[[#This Row],[Status]],Auxiliar!$B$16:$D$23,3,0)*Table1[[#This Row],[Estimação (horas)]]</f>
        <v>2</v>
      </c>
      <c r="X720" s="3"/>
    </row>
    <row r="721" spans="2:24" ht="17.399999999999999" hidden="1" customHeight="1">
      <c r="B721" s="3" t="s">
        <v>28</v>
      </c>
      <c r="C721" s="3" t="s">
        <v>301</v>
      </c>
      <c r="D721" s="3" t="s">
        <v>313</v>
      </c>
      <c r="E721" s="3" t="s">
        <v>38</v>
      </c>
      <c r="F721" s="3" t="s">
        <v>312</v>
      </c>
      <c r="G721" s="3" t="s">
        <v>246</v>
      </c>
      <c r="H721" s="63" t="str">
        <f>Table1[[#This Row],[Tabela]]&amp;Table1[[#This Row],[Campo]]</f>
        <v>modesg_out_empr_info_nfinccm_trnvr_own_prfrmnce_algnd</v>
      </c>
      <c r="I721" s="3" t="s">
        <v>482</v>
      </c>
      <c r="J721" s="45">
        <f>VLOOKUP(Table1[[#This Row],[Status]],Auxiliar!$B$16:$C$23,2,0)</f>
        <v>6</v>
      </c>
      <c r="K721" s="3" t="s">
        <v>1141</v>
      </c>
      <c r="L721" s="3" t="s">
        <v>1144</v>
      </c>
      <c r="M721" s="22" t="s">
        <v>1136</v>
      </c>
      <c r="N721" s="53">
        <v>45526</v>
      </c>
      <c r="O721" s="22">
        <f>INDEX(Auxiliar!$D$5:$F$13,MATCH(Table1[[#This Row],[Tipologia_Testes]],Auxiliar!$B$5:$B$13,0),MATCH(Table1[[#This Row],[Complexidade]],Auxiliar!$D$4:$F$4,0))</f>
        <v>0.1</v>
      </c>
      <c r="P721" s="3"/>
      <c r="Q721" s="3"/>
      <c r="R721" s="173">
        <v>45561</v>
      </c>
      <c r="S721" s="173">
        <v>45526</v>
      </c>
      <c r="T721" s="173">
        <v>45561</v>
      </c>
      <c r="U721" s="173"/>
      <c r="V721" s="173"/>
      <c r="W721" s="3">
        <f>VLOOKUP(Table1[[#This Row],[Status]],Auxiliar!$B$16:$D$23,3,0)*Table1[[#This Row],[Estimação (horas)]]</f>
        <v>2.5000000000000001E-2</v>
      </c>
      <c r="X721" s="3"/>
    </row>
    <row r="722" spans="2:24" ht="17.399999999999999" hidden="1" customHeight="1">
      <c r="B722" s="3" t="s">
        <v>28</v>
      </c>
      <c r="C722" s="3" t="s">
        <v>301</v>
      </c>
      <c r="D722" s="3" t="s">
        <v>313</v>
      </c>
      <c r="E722" s="3" t="s">
        <v>38</v>
      </c>
      <c r="F722" s="3" t="s">
        <v>312</v>
      </c>
      <c r="G722" s="3" t="s">
        <v>245</v>
      </c>
      <c r="H722" s="63" t="str">
        <f>Table1[[#This Row],[Tabela]]&amp;Table1[[#This Row],[Campo]]</f>
        <v>modesg_out_empr_info_nfinccm_trnvr_trnstn_alignd</v>
      </c>
      <c r="I722" s="3" t="s">
        <v>482</v>
      </c>
      <c r="J722" s="45">
        <f>VLOOKUP(Table1[[#This Row],[Status]],Auxiliar!$B$16:$C$23,2,0)</f>
        <v>6</v>
      </c>
      <c r="K722" s="3" t="s">
        <v>1137</v>
      </c>
      <c r="L722" s="3" t="s">
        <v>1144</v>
      </c>
      <c r="M722" s="22" t="s">
        <v>1136</v>
      </c>
      <c r="N722" s="53">
        <v>45526</v>
      </c>
      <c r="O722" s="22">
        <f>INDEX(Auxiliar!$D$5:$F$13,MATCH(Table1[[#This Row],[Tipologia_Testes]],Auxiliar!$B$5:$B$13,0),MATCH(Table1[[#This Row],[Complexidade]],Auxiliar!$D$4:$F$4,0))</f>
        <v>8</v>
      </c>
      <c r="P722" s="3"/>
      <c r="Q722" s="3"/>
      <c r="R722" s="173">
        <v>45561</v>
      </c>
      <c r="S722" s="173">
        <v>45526</v>
      </c>
      <c r="T722" s="173">
        <v>45561</v>
      </c>
      <c r="U722" s="173"/>
      <c r="V722" s="173"/>
      <c r="W722" s="3">
        <f>VLOOKUP(Table1[[#This Row],[Status]],Auxiliar!$B$16:$D$23,3,0)*Table1[[#This Row],[Estimação (horas)]]</f>
        <v>2</v>
      </c>
      <c r="X722" s="3"/>
    </row>
    <row r="723" spans="2:24" ht="17.399999999999999" hidden="1" customHeight="1">
      <c r="B723" s="3" t="s">
        <v>28</v>
      </c>
      <c r="C723" s="3" t="s">
        <v>301</v>
      </c>
      <c r="D723" s="3" t="s">
        <v>313</v>
      </c>
      <c r="E723" s="3" t="s">
        <v>38</v>
      </c>
      <c r="F723" s="3" t="s">
        <v>312</v>
      </c>
      <c r="G723" s="3" t="s">
        <v>245</v>
      </c>
      <c r="H723" s="63" t="str">
        <f>Table1[[#This Row],[Tabela]]&amp;Table1[[#This Row],[Campo]]</f>
        <v>modesg_out_empr_info_nfinccm_trnvr_trnstn_alignd</v>
      </c>
      <c r="I723" s="3" t="s">
        <v>482</v>
      </c>
      <c r="J723" s="45">
        <f>VLOOKUP(Table1[[#This Row],[Status]],Auxiliar!$B$16:$C$23,2,0)</f>
        <v>6</v>
      </c>
      <c r="K723" s="3" t="s">
        <v>1138</v>
      </c>
      <c r="L723" s="3" t="s">
        <v>1144</v>
      </c>
      <c r="M723" s="22" t="s">
        <v>1136</v>
      </c>
      <c r="N723" s="53">
        <v>45526</v>
      </c>
      <c r="O723" s="22">
        <f>INDEX(Auxiliar!$D$5:$F$13,MATCH(Table1[[#This Row],[Tipologia_Testes]],Auxiliar!$B$5:$B$13,0),MATCH(Table1[[#This Row],[Complexidade]],Auxiliar!$D$4:$F$4,0))</f>
        <v>8</v>
      </c>
      <c r="P723" s="3"/>
      <c r="Q723" s="3"/>
      <c r="R723" s="173">
        <v>45561</v>
      </c>
      <c r="S723" s="173">
        <v>45526</v>
      </c>
      <c r="T723" s="173">
        <v>45561</v>
      </c>
      <c r="U723" s="173"/>
      <c r="V723" s="173"/>
      <c r="W723" s="3">
        <f>VLOOKUP(Table1[[#This Row],[Status]],Auxiliar!$B$16:$D$23,3,0)*Table1[[#This Row],[Estimação (horas)]]</f>
        <v>2</v>
      </c>
      <c r="X723" s="3"/>
    </row>
    <row r="724" spans="2:24" ht="17.399999999999999" hidden="1" customHeight="1">
      <c r="B724" s="3" t="s">
        <v>28</v>
      </c>
      <c r="C724" s="3" t="s">
        <v>301</v>
      </c>
      <c r="D724" s="3" t="s">
        <v>313</v>
      </c>
      <c r="E724" s="3" t="s">
        <v>38</v>
      </c>
      <c r="F724" s="3" t="s">
        <v>312</v>
      </c>
      <c r="G724" s="3" t="s">
        <v>245</v>
      </c>
      <c r="H724" s="63" t="str">
        <f>Table1[[#This Row],[Tabela]]&amp;Table1[[#This Row],[Campo]]</f>
        <v>modesg_out_empr_info_nfinccm_trnvr_trnstn_alignd</v>
      </c>
      <c r="I724" s="3" t="s">
        <v>482</v>
      </c>
      <c r="J724" s="45">
        <f>VLOOKUP(Table1[[#This Row],[Status]],Auxiliar!$B$16:$C$23,2,0)</f>
        <v>6</v>
      </c>
      <c r="K724" s="3" t="s">
        <v>1141</v>
      </c>
      <c r="L724" s="3" t="s">
        <v>1144</v>
      </c>
      <c r="M724" s="22" t="s">
        <v>1136</v>
      </c>
      <c r="N724" s="53">
        <v>45526</v>
      </c>
      <c r="O724" s="22">
        <f>INDEX(Auxiliar!$D$5:$F$13,MATCH(Table1[[#This Row],[Tipologia_Testes]],Auxiliar!$B$5:$B$13,0),MATCH(Table1[[#This Row],[Complexidade]],Auxiliar!$D$4:$F$4,0))</f>
        <v>0.1</v>
      </c>
      <c r="P724" s="3"/>
      <c r="Q724" s="3"/>
      <c r="R724" s="173">
        <v>45561</v>
      </c>
      <c r="S724" s="173">
        <v>45526</v>
      </c>
      <c r="T724" s="173">
        <v>45561</v>
      </c>
      <c r="U724" s="173"/>
      <c r="V724" s="173"/>
      <c r="W724" s="3">
        <f>VLOOKUP(Table1[[#This Row],[Status]],Auxiliar!$B$16:$D$23,3,0)*Table1[[#This Row],[Estimação (horas)]]</f>
        <v>2.5000000000000001E-2</v>
      </c>
      <c r="X724" s="3"/>
    </row>
    <row r="725" spans="2:24" ht="17.399999999999999" hidden="1" customHeight="1">
      <c r="B725" s="3" t="s">
        <v>28</v>
      </c>
      <c r="C725" s="3" t="s">
        <v>301</v>
      </c>
      <c r="D725" s="3" t="s">
        <v>313</v>
      </c>
      <c r="E725" s="3" t="s">
        <v>38</v>
      </c>
      <c r="F725" s="3" t="s">
        <v>312</v>
      </c>
      <c r="G725" s="3" t="s">
        <v>243</v>
      </c>
      <c r="H725" s="63" t="str">
        <f>Table1[[#This Row],[Tabela]]&amp;Table1[[#This Row],[Campo]]</f>
        <v>modesg_out_empr_info_nfinccm_trnvr_ttl_elgbl</v>
      </c>
      <c r="I725" s="3" t="s">
        <v>482</v>
      </c>
      <c r="J725" s="45">
        <f>VLOOKUP(Table1[[#This Row],[Status]],Auxiliar!$B$16:$C$23,2,0)</f>
        <v>6</v>
      </c>
      <c r="K725" s="3" t="s">
        <v>1137</v>
      </c>
      <c r="L725" s="3" t="s">
        <v>1144</v>
      </c>
      <c r="M725" s="22" t="s">
        <v>1136</v>
      </c>
      <c r="N725" s="53">
        <v>45526</v>
      </c>
      <c r="O725" s="22">
        <f>INDEX(Auxiliar!$D$5:$F$13,MATCH(Table1[[#This Row],[Tipologia_Testes]],Auxiliar!$B$5:$B$13,0),MATCH(Table1[[#This Row],[Complexidade]],Auxiliar!$D$4:$F$4,0))</f>
        <v>8</v>
      </c>
      <c r="P725" s="3"/>
      <c r="Q725" s="3"/>
      <c r="R725" s="173">
        <v>45561</v>
      </c>
      <c r="S725" s="173">
        <v>45526</v>
      </c>
      <c r="T725" s="173">
        <v>45561</v>
      </c>
      <c r="U725" s="173"/>
      <c r="V725" s="173"/>
      <c r="W725" s="3">
        <f>VLOOKUP(Table1[[#This Row],[Status]],Auxiliar!$B$16:$D$23,3,0)*Table1[[#This Row],[Estimação (horas)]]</f>
        <v>2</v>
      </c>
      <c r="X725" s="3"/>
    </row>
    <row r="726" spans="2:24" ht="17.399999999999999" hidden="1" customHeight="1">
      <c r="B726" s="3" t="s">
        <v>28</v>
      </c>
      <c r="C726" s="3" t="s">
        <v>301</v>
      </c>
      <c r="D726" s="3" t="s">
        <v>313</v>
      </c>
      <c r="E726" s="3" t="s">
        <v>38</v>
      </c>
      <c r="F726" s="3" t="s">
        <v>312</v>
      </c>
      <c r="G726" s="3" t="s">
        <v>243</v>
      </c>
      <c r="H726" s="63" t="str">
        <f>Table1[[#This Row],[Tabela]]&amp;Table1[[#This Row],[Campo]]</f>
        <v>modesg_out_empr_info_nfinccm_trnvr_ttl_elgbl</v>
      </c>
      <c r="I726" s="3" t="s">
        <v>482</v>
      </c>
      <c r="J726" s="45">
        <f>VLOOKUP(Table1[[#This Row],[Status]],Auxiliar!$B$16:$C$23,2,0)</f>
        <v>6</v>
      </c>
      <c r="K726" s="3" t="s">
        <v>1138</v>
      </c>
      <c r="L726" s="3" t="s">
        <v>1144</v>
      </c>
      <c r="M726" s="22" t="s">
        <v>1136</v>
      </c>
      <c r="N726" s="53">
        <v>45526</v>
      </c>
      <c r="O726" s="22">
        <f>INDEX(Auxiliar!$D$5:$F$13,MATCH(Table1[[#This Row],[Tipologia_Testes]],Auxiliar!$B$5:$B$13,0),MATCH(Table1[[#This Row],[Complexidade]],Auxiliar!$D$4:$F$4,0))</f>
        <v>8</v>
      </c>
      <c r="P726" s="3"/>
      <c r="Q726" s="3"/>
      <c r="R726" s="173">
        <v>45561</v>
      </c>
      <c r="S726" s="173">
        <v>45526</v>
      </c>
      <c r="T726" s="173">
        <v>45561</v>
      </c>
      <c r="U726" s="173"/>
      <c r="V726" s="173"/>
      <c r="W726" s="3">
        <f>VLOOKUP(Table1[[#This Row],[Status]],Auxiliar!$B$16:$D$23,3,0)*Table1[[#This Row],[Estimação (horas)]]</f>
        <v>2</v>
      </c>
      <c r="X726" s="3"/>
    </row>
    <row r="727" spans="2:24" ht="17.399999999999999" hidden="1" customHeight="1">
      <c r="B727" s="3" t="s">
        <v>28</v>
      </c>
      <c r="C727" s="3" t="s">
        <v>301</v>
      </c>
      <c r="D727" s="3" t="s">
        <v>313</v>
      </c>
      <c r="E727" s="3" t="s">
        <v>38</v>
      </c>
      <c r="F727" s="3" t="s">
        <v>312</v>
      </c>
      <c r="G727" s="3" t="s">
        <v>243</v>
      </c>
      <c r="H727" s="63" t="str">
        <f>Table1[[#This Row],[Tabela]]&amp;Table1[[#This Row],[Campo]]</f>
        <v>modesg_out_empr_info_nfinccm_trnvr_ttl_elgbl</v>
      </c>
      <c r="I727" s="3" t="s">
        <v>482</v>
      </c>
      <c r="J727" s="45">
        <f>VLOOKUP(Table1[[#This Row],[Status]],Auxiliar!$B$16:$C$23,2,0)</f>
        <v>6</v>
      </c>
      <c r="K727" s="3" t="s">
        <v>1141</v>
      </c>
      <c r="L727" s="3" t="s">
        <v>1144</v>
      </c>
      <c r="M727" s="22" t="s">
        <v>1136</v>
      </c>
      <c r="N727" s="53">
        <v>45526</v>
      </c>
      <c r="O727" s="22">
        <f>INDEX(Auxiliar!$D$5:$F$13,MATCH(Table1[[#This Row],[Tipologia_Testes]],Auxiliar!$B$5:$B$13,0),MATCH(Table1[[#This Row],[Complexidade]],Auxiliar!$D$4:$F$4,0))</f>
        <v>0.1</v>
      </c>
      <c r="P727" s="3"/>
      <c r="Q727" s="3"/>
      <c r="R727" s="173">
        <v>45561</v>
      </c>
      <c r="S727" s="173">
        <v>45526</v>
      </c>
      <c r="T727" s="173">
        <v>45561</v>
      </c>
      <c r="U727" s="173"/>
      <c r="V727" s="173"/>
      <c r="W727" s="3">
        <f>VLOOKUP(Table1[[#This Row],[Status]],Auxiliar!$B$16:$D$23,3,0)*Table1[[#This Row],[Estimação (horas)]]</f>
        <v>2.5000000000000001E-2</v>
      </c>
      <c r="X727" s="3"/>
    </row>
    <row r="728" spans="2:24" ht="17.399999999999999" hidden="1" customHeight="1">
      <c r="B728" s="3" t="s">
        <v>28</v>
      </c>
      <c r="C728" s="3" t="s">
        <v>301</v>
      </c>
      <c r="D728" s="3" t="s">
        <v>313</v>
      </c>
      <c r="E728" s="3" t="s">
        <v>38</v>
      </c>
      <c r="F728" s="3" t="s">
        <v>312</v>
      </c>
      <c r="G728" s="3" t="s">
        <v>272</v>
      </c>
      <c r="H728" s="63" t="str">
        <f>Table1[[#This Row],[Tabela]]&amp;Table1[[#This Row],[Campo]]</f>
        <v>modesg_out_empr_info_nfincod_nace_esg</v>
      </c>
      <c r="I728" s="3" t="s">
        <v>482</v>
      </c>
      <c r="J728" s="45">
        <f>VLOOKUP(Table1[[#This Row],[Status]],Auxiliar!$B$16:$C$23,2,0)</f>
        <v>6</v>
      </c>
      <c r="K728" s="3" t="s">
        <v>1137</v>
      </c>
      <c r="L728" s="29" t="s">
        <v>1135</v>
      </c>
      <c r="M728" s="22" t="s">
        <v>1136</v>
      </c>
      <c r="N728" s="53">
        <v>45530</v>
      </c>
      <c r="O728" s="22">
        <f>INDEX(Auxiliar!$D$5:$F$13,MATCH(Table1[[#This Row],[Tipologia_Testes]],Auxiliar!$B$5:$B$13,0),MATCH(Table1[[#This Row],[Complexidade]],Auxiliar!$D$4:$F$4,0))</f>
        <v>8</v>
      </c>
      <c r="P728" s="3"/>
      <c r="Q728" s="3"/>
      <c r="R728" s="173">
        <v>45560</v>
      </c>
      <c r="S728" s="173">
        <v>45526</v>
      </c>
      <c r="T728" s="173">
        <v>45561</v>
      </c>
      <c r="U728" s="173"/>
      <c r="V728" s="173"/>
      <c r="W728" s="3">
        <f>VLOOKUP(Table1[[#This Row],[Status]],Auxiliar!$B$16:$D$23,3,0)*Table1[[#This Row],[Estimação (horas)]]</f>
        <v>2</v>
      </c>
      <c r="X728" s="3"/>
    </row>
    <row r="729" spans="2:24" ht="17.399999999999999" hidden="1" customHeight="1">
      <c r="B729" s="3" t="s">
        <v>28</v>
      </c>
      <c r="C729" s="3" t="s">
        <v>301</v>
      </c>
      <c r="D729" s="3" t="s">
        <v>313</v>
      </c>
      <c r="E729" s="3" t="s">
        <v>38</v>
      </c>
      <c r="F729" s="3" t="s">
        <v>312</v>
      </c>
      <c r="G729" s="3" t="s">
        <v>272</v>
      </c>
      <c r="H729" s="63" t="str">
        <f>Table1[[#This Row],[Tabela]]&amp;Table1[[#This Row],[Campo]]</f>
        <v>modesg_out_empr_info_nfincod_nace_esg</v>
      </c>
      <c r="I729" s="3" t="s">
        <v>482</v>
      </c>
      <c r="J729" s="45">
        <f>VLOOKUP(Table1[[#This Row],[Status]],Auxiliar!$B$16:$C$23,2,0)</f>
        <v>6</v>
      </c>
      <c r="K729" s="3" t="s">
        <v>1138</v>
      </c>
      <c r="L729" s="29" t="s">
        <v>1135</v>
      </c>
      <c r="M729" s="22" t="s">
        <v>1136</v>
      </c>
      <c r="N729" s="53">
        <v>45530</v>
      </c>
      <c r="O729" s="22">
        <f>INDEX(Auxiliar!$D$5:$F$13,MATCH(Table1[[#This Row],[Tipologia_Testes]],Auxiliar!$B$5:$B$13,0),MATCH(Table1[[#This Row],[Complexidade]],Auxiliar!$D$4:$F$4,0))</f>
        <v>8</v>
      </c>
      <c r="P729" s="3"/>
      <c r="Q729" s="3"/>
      <c r="R729" s="173">
        <v>45560</v>
      </c>
      <c r="S729" s="173">
        <v>45526</v>
      </c>
      <c r="T729" s="173">
        <v>45561</v>
      </c>
      <c r="U729" s="173"/>
      <c r="V729" s="173"/>
      <c r="W729" s="3">
        <f>VLOOKUP(Table1[[#This Row],[Status]],Auxiliar!$B$16:$D$23,3,0)*Table1[[#This Row],[Estimação (horas)]]</f>
        <v>2</v>
      </c>
      <c r="X729" s="3"/>
    </row>
    <row r="730" spans="2:24" ht="17.399999999999999" hidden="1" customHeight="1">
      <c r="B730" s="3" t="s">
        <v>28</v>
      </c>
      <c r="C730" s="3" t="s">
        <v>301</v>
      </c>
      <c r="D730" s="3" t="s">
        <v>313</v>
      </c>
      <c r="E730" s="3" t="s">
        <v>38</v>
      </c>
      <c r="F730" s="3" t="s">
        <v>312</v>
      </c>
      <c r="G730" s="3" t="s">
        <v>272</v>
      </c>
      <c r="H730" s="63" t="str">
        <f>Table1[[#This Row],[Tabela]]&amp;Table1[[#This Row],[Campo]]</f>
        <v>modesg_out_empr_info_nfincod_nace_esg</v>
      </c>
      <c r="I730" s="3" t="s">
        <v>482</v>
      </c>
      <c r="J730" s="45">
        <f>VLOOKUP(Table1[[#This Row],[Status]],Auxiliar!$B$16:$C$23,2,0)</f>
        <v>6</v>
      </c>
      <c r="K730" s="3" t="s">
        <v>1141</v>
      </c>
      <c r="L730" s="29" t="s">
        <v>1135</v>
      </c>
      <c r="M730" s="22" t="s">
        <v>1136</v>
      </c>
      <c r="N730" s="53">
        <v>45530</v>
      </c>
      <c r="O730" s="22">
        <f>INDEX(Auxiliar!$D$5:$F$13,MATCH(Table1[[#This Row],[Tipologia_Testes]],Auxiliar!$B$5:$B$13,0),MATCH(Table1[[#This Row],[Complexidade]],Auxiliar!$D$4:$F$4,0))</f>
        <v>0.1</v>
      </c>
      <c r="P730" s="3"/>
      <c r="Q730" s="3"/>
      <c r="R730" s="173">
        <v>45560</v>
      </c>
      <c r="S730" s="173">
        <v>45526</v>
      </c>
      <c r="T730" s="173">
        <v>45561</v>
      </c>
      <c r="U730" s="173"/>
      <c r="V730" s="173"/>
      <c r="W730" s="3">
        <f>VLOOKUP(Table1[[#This Row],[Status]],Auxiliar!$B$16:$D$23,3,0)*Table1[[#This Row],[Estimação (horas)]]</f>
        <v>2.5000000000000001E-2</v>
      </c>
      <c r="X730" s="3"/>
    </row>
    <row r="731" spans="2:24" ht="17.399999999999999" hidden="1" customHeight="1">
      <c r="B731" s="3" t="s">
        <v>28</v>
      </c>
      <c r="C731" s="3" t="s">
        <v>301</v>
      </c>
      <c r="D731" s="3" t="s">
        <v>313</v>
      </c>
      <c r="E731" s="3" t="s">
        <v>38</v>
      </c>
      <c r="F731" s="3" t="s">
        <v>312</v>
      </c>
      <c r="G731" s="3" t="s">
        <v>314</v>
      </c>
      <c r="H731" s="63" t="str">
        <f>Table1[[#This Row],[Tabela]]&amp;Table1[[#This Row],[Campo]]</f>
        <v>modesg_out_empr_info_nfinflg_emprs_excl_paris</v>
      </c>
      <c r="I731" s="3" t="s">
        <v>482</v>
      </c>
      <c r="J731" s="45">
        <f>VLOOKUP(Table1[[#This Row],[Status]],Auxiliar!$B$16:$C$23,2,0)</f>
        <v>6</v>
      </c>
      <c r="K731" s="3" t="s">
        <v>1137</v>
      </c>
      <c r="L731" s="3" t="s">
        <v>1144</v>
      </c>
      <c r="M731" s="22" t="s">
        <v>1155</v>
      </c>
      <c r="N731" s="53">
        <v>45526</v>
      </c>
      <c r="O731" s="22">
        <f>INDEX(Auxiliar!$D$5:$F$13,MATCH(Table1[[#This Row],[Tipologia_Testes]],Auxiliar!$B$5:$B$13,0),MATCH(Table1[[#This Row],[Complexidade]],Auxiliar!$D$4:$F$4,0))</f>
        <v>4</v>
      </c>
      <c r="P731" s="208" t="s">
        <v>1886</v>
      </c>
      <c r="Q731" s="3"/>
      <c r="R731" s="173">
        <v>45553</v>
      </c>
      <c r="S731" s="173">
        <v>45526</v>
      </c>
      <c r="T731" s="173">
        <v>45553</v>
      </c>
      <c r="U731" s="173">
        <v>45565</v>
      </c>
      <c r="V731" s="173"/>
      <c r="W731" s="3">
        <f>VLOOKUP(Table1[[#This Row],[Status]],Auxiliar!$B$16:$D$23,3,0)*Table1[[#This Row],[Estimação (horas)]]</f>
        <v>1</v>
      </c>
      <c r="X731" s="3"/>
    </row>
    <row r="732" spans="2:24" ht="17.399999999999999" hidden="1" customHeight="1">
      <c r="B732" s="3" t="s">
        <v>28</v>
      </c>
      <c r="C732" s="3" t="s">
        <v>301</v>
      </c>
      <c r="D732" s="3" t="s">
        <v>313</v>
      </c>
      <c r="E732" s="3" t="s">
        <v>38</v>
      </c>
      <c r="F732" s="3" t="s">
        <v>312</v>
      </c>
      <c r="G732" s="3" t="s">
        <v>314</v>
      </c>
      <c r="H732" s="63" t="str">
        <f>Table1[[#This Row],[Tabela]]&amp;Table1[[#This Row],[Campo]]</f>
        <v>modesg_out_empr_info_nfinflg_emprs_excl_paris</v>
      </c>
      <c r="I732" s="3" t="s">
        <v>482</v>
      </c>
      <c r="J732" s="45">
        <f>VLOOKUP(Table1[[#This Row],[Status]],Auxiliar!$B$16:$C$23,2,0)</f>
        <v>6</v>
      </c>
      <c r="K732" s="3" t="s">
        <v>1138</v>
      </c>
      <c r="L732" s="3" t="s">
        <v>1144</v>
      </c>
      <c r="M732" s="22" t="s">
        <v>1155</v>
      </c>
      <c r="N732" s="53">
        <v>45526</v>
      </c>
      <c r="O732" s="22">
        <f>INDEX(Auxiliar!$D$5:$F$13,MATCH(Table1[[#This Row],[Tipologia_Testes]],Auxiliar!$B$5:$B$13,0),MATCH(Table1[[#This Row],[Complexidade]],Auxiliar!$D$4:$F$4,0))</f>
        <v>4</v>
      </c>
      <c r="P732" s="208" t="s">
        <v>1886</v>
      </c>
      <c r="Q732" s="3"/>
      <c r="R732" s="173">
        <v>45553</v>
      </c>
      <c r="S732" s="173">
        <v>45526</v>
      </c>
      <c r="T732" s="173">
        <v>45553</v>
      </c>
      <c r="U732" s="173">
        <v>45565</v>
      </c>
      <c r="V732" s="173"/>
      <c r="W732" s="3">
        <f>VLOOKUP(Table1[[#This Row],[Status]],Auxiliar!$B$16:$D$23,3,0)*Table1[[#This Row],[Estimação (horas)]]</f>
        <v>1</v>
      </c>
      <c r="X732" s="3"/>
    </row>
    <row r="733" spans="2:24" ht="17.399999999999999" hidden="1" customHeight="1">
      <c r="B733" s="3" t="s">
        <v>28</v>
      </c>
      <c r="C733" s="3" t="s">
        <v>301</v>
      </c>
      <c r="D733" s="3" t="s">
        <v>313</v>
      </c>
      <c r="E733" s="3" t="s">
        <v>38</v>
      </c>
      <c r="F733" s="3" t="s">
        <v>312</v>
      </c>
      <c r="G733" s="3" t="s">
        <v>314</v>
      </c>
      <c r="H733" s="63" t="str">
        <f>Table1[[#This Row],[Tabela]]&amp;Table1[[#This Row],[Campo]]</f>
        <v>modesg_out_empr_info_nfinflg_emprs_excl_paris</v>
      </c>
      <c r="I733" s="3" t="s">
        <v>482</v>
      </c>
      <c r="J733" s="45">
        <f>VLOOKUP(Table1[[#This Row],[Status]],Auxiliar!$B$16:$C$23,2,0)</f>
        <v>6</v>
      </c>
      <c r="K733" s="3" t="s">
        <v>1141</v>
      </c>
      <c r="L733" s="3" t="s">
        <v>1144</v>
      </c>
      <c r="M733" s="22" t="s">
        <v>1155</v>
      </c>
      <c r="N733" s="53">
        <v>45526</v>
      </c>
      <c r="O733" s="22">
        <f>INDEX(Auxiliar!$D$5:$F$13,MATCH(Table1[[#This Row],[Tipologia_Testes]],Auxiliar!$B$5:$B$13,0),MATCH(Table1[[#This Row],[Complexidade]],Auxiliar!$D$4:$F$4,0))</f>
        <v>0.1</v>
      </c>
      <c r="P733" s="208" t="s">
        <v>1886</v>
      </c>
      <c r="Q733" s="3"/>
      <c r="R733" s="173">
        <v>45553</v>
      </c>
      <c r="S733" s="173">
        <v>45526</v>
      </c>
      <c r="T733" s="173">
        <v>45553</v>
      </c>
      <c r="U733" s="173">
        <v>45565</v>
      </c>
      <c r="V733" s="173"/>
      <c r="W733" s="3">
        <f>VLOOKUP(Table1[[#This Row],[Status]],Auxiliar!$B$16:$D$23,3,0)*Table1[[#This Row],[Estimação (horas)]]</f>
        <v>2.5000000000000001E-2</v>
      </c>
      <c r="X733" s="3"/>
    </row>
    <row r="734" spans="2:24" ht="17.399999999999999" hidden="1" customHeight="1">
      <c r="B734" s="3" t="s">
        <v>28</v>
      </c>
      <c r="C734" s="3" t="s">
        <v>301</v>
      </c>
      <c r="D734" s="3" t="s">
        <v>313</v>
      </c>
      <c r="E734" s="3" t="s">
        <v>38</v>
      </c>
      <c r="F734" s="3" t="s">
        <v>312</v>
      </c>
      <c r="G734" s="3" t="s">
        <v>236</v>
      </c>
      <c r="H734" s="63" t="str">
        <f>Table1[[#This Row],[Tabela]]&amp;Table1[[#This Row],[Campo]]</f>
        <v>modesg_out_empr_info_nfinflg_nfrd</v>
      </c>
      <c r="I734" s="3" t="s">
        <v>482</v>
      </c>
      <c r="J734" s="45">
        <f>VLOOKUP(Table1[[#This Row],[Status]],Auxiliar!$B$16:$C$23,2,0)</f>
        <v>6</v>
      </c>
      <c r="K734" s="3" t="s">
        <v>1137</v>
      </c>
      <c r="L734" s="3" t="s">
        <v>1144</v>
      </c>
      <c r="M734" s="22" t="s">
        <v>1155</v>
      </c>
      <c r="N734" s="53">
        <v>45526</v>
      </c>
      <c r="O734" s="22">
        <f>INDEX(Auxiliar!$D$5:$F$13,MATCH(Table1[[#This Row],[Tipologia_Testes]],Auxiliar!$B$5:$B$13,0),MATCH(Table1[[#This Row],[Complexidade]],Auxiliar!$D$4:$F$4,0))</f>
        <v>4</v>
      </c>
      <c r="P734" s="208" t="s">
        <v>1886</v>
      </c>
      <c r="Q734" s="3"/>
      <c r="R734" s="173">
        <v>45553</v>
      </c>
      <c r="S734" s="173">
        <v>45526</v>
      </c>
      <c r="T734" s="173">
        <v>45553</v>
      </c>
      <c r="U734" s="173">
        <v>45565</v>
      </c>
      <c r="V734" s="173"/>
      <c r="W734" s="3">
        <f>VLOOKUP(Table1[[#This Row],[Status]],Auxiliar!$B$16:$D$23,3,0)*Table1[[#This Row],[Estimação (horas)]]</f>
        <v>1</v>
      </c>
      <c r="X734" s="3"/>
    </row>
    <row r="735" spans="2:24" ht="17.399999999999999" hidden="1" customHeight="1">
      <c r="B735" s="3" t="s">
        <v>28</v>
      </c>
      <c r="C735" s="3" t="s">
        <v>301</v>
      </c>
      <c r="D735" s="3" t="s">
        <v>313</v>
      </c>
      <c r="E735" s="3" t="s">
        <v>38</v>
      </c>
      <c r="F735" s="3" t="s">
        <v>312</v>
      </c>
      <c r="G735" s="3" t="s">
        <v>236</v>
      </c>
      <c r="H735" s="63" t="str">
        <f>Table1[[#This Row],[Tabela]]&amp;Table1[[#This Row],[Campo]]</f>
        <v>modesg_out_empr_info_nfinflg_nfrd</v>
      </c>
      <c r="I735" s="3" t="s">
        <v>482</v>
      </c>
      <c r="J735" s="45">
        <f>VLOOKUP(Table1[[#This Row],[Status]],Auxiliar!$B$16:$C$23,2,0)</f>
        <v>6</v>
      </c>
      <c r="K735" s="3" t="s">
        <v>1138</v>
      </c>
      <c r="L735" s="3" t="s">
        <v>1144</v>
      </c>
      <c r="M735" s="22" t="s">
        <v>1155</v>
      </c>
      <c r="N735" s="53">
        <v>45526</v>
      </c>
      <c r="O735" s="22">
        <f>INDEX(Auxiliar!$D$5:$F$13,MATCH(Table1[[#This Row],[Tipologia_Testes]],Auxiliar!$B$5:$B$13,0),MATCH(Table1[[#This Row],[Complexidade]],Auxiliar!$D$4:$F$4,0))</f>
        <v>4</v>
      </c>
      <c r="P735" s="208" t="s">
        <v>1886</v>
      </c>
      <c r="Q735" s="3"/>
      <c r="R735" s="173">
        <v>45553</v>
      </c>
      <c r="S735" s="173">
        <v>45526</v>
      </c>
      <c r="T735" s="173">
        <v>45553</v>
      </c>
      <c r="U735" s="173">
        <v>45565</v>
      </c>
      <c r="V735" s="173"/>
      <c r="W735" s="3">
        <f>VLOOKUP(Table1[[#This Row],[Status]],Auxiliar!$B$16:$D$23,3,0)*Table1[[#This Row],[Estimação (horas)]]</f>
        <v>1</v>
      </c>
      <c r="X735" s="3"/>
    </row>
    <row r="736" spans="2:24" ht="17.399999999999999" hidden="1" customHeight="1">
      <c r="B736" s="3" t="s">
        <v>28</v>
      </c>
      <c r="C736" s="3" t="s">
        <v>301</v>
      </c>
      <c r="D736" s="3" t="s">
        <v>313</v>
      </c>
      <c r="E736" s="3" t="s">
        <v>38</v>
      </c>
      <c r="F736" s="3" t="s">
        <v>312</v>
      </c>
      <c r="G736" s="3" t="s">
        <v>236</v>
      </c>
      <c r="H736" s="63" t="str">
        <f>Table1[[#This Row],[Tabela]]&amp;Table1[[#This Row],[Campo]]</f>
        <v>modesg_out_empr_info_nfinflg_nfrd</v>
      </c>
      <c r="I736" s="3" t="s">
        <v>482</v>
      </c>
      <c r="J736" s="45">
        <f>VLOOKUP(Table1[[#This Row],[Status]],Auxiliar!$B$16:$C$23,2,0)</f>
        <v>6</v>
      </c>
      <c r="K736" s="3" t="s">
        <v>1141</v>
      </c>
      <c r="L736" s="3" t="s">
        <v>1144</v>
      </c>
      <c r="M736" s="22" t="s">
        <v>1155</v>
      </c>
      <c r="N736" s="53">
        <v>45526</v>
      </c>
      <c r="O736" s="22">
        <f>INDEX(Auxiliar!$D$5:$F$13,MATCH(Table1[[#This Row],[Tipologia_Testes]],Auxiliar!$B$5:$B$13,0),MATCH(Table1[[#This Row],[Complexidade]],Auxiliar!$D$4:$F$4,0))</f>
        <v>0.1</v>
      </c>
      <c r="P736" s="208" t="s">
        <v>1886</v>
      </c>
      <c r="Q736" s="3"/>
      <c r="R736" s="173">
        <v>45553</v>
      </c>
      <c r="S736" s="173">
        <v>45526</v>
      </c>
      <c r="T736" s="173">
        <v>45553</v>
      </c>
      <c r="U736" s="173">
        <v>45565</v>
      </c>
      <c r="V736" s="173"/>
      <c r="W736" s="3">
        <f>VLOOKUP(Table1[[#This Row],[Status]],Auxiliar!$B$16:$D$23,3,0)*Table1[[#This Row],[Estimação (horas)]]</f>
        <v>2.5000000000000001E-2</v>
      </c>
      <c r="X736" s="3"/>
    </row>
    <row r="737" spans="2:24" ht="17.399999999999999" hidden="1" customHeight="1">
      <c r="B737" s="3" t="s">
        <v>28</v>
      </c>
      <c r="C737" s="3" t="s">
        <v>301</v>
      </c>
      <c r="D737" s="3" t="s">
        <v>313</v>
      </c>
      <c r="E737" s="3" t="s">
        <v>38</v>
      </c>
      <c r="F737" s="3" t="s">
        <v>312</v>
      </c>
      <c r="G737" s="3" t="s">
        <v>273</v>
      </c>
      <c r="H737" s="63" t="str">
        <f>Table1[[#This Row],[Tabela]]&amp;Table1[[#This Row],[Campo]]</f>
        <v>modesg_out_empr_info_nfinflg_rsc_fsc_agd</v>
      </c>
      <c r="I737" s="3" t="s">
        <v>479</v>
      </c>
      <c r="J737" s="45">
        <f>VLOOKUP(Table1[[#This Row],[Status]],Auxiliar!$B$16:$C$23,2,0)</f>
        <v>4</v>
      </c>
      <c r="K737" s="3" t="s">
        <v>1137</v>
      </c>
      <c r="L737" s="3" t="s">
        <v>1135</v>
      </c>
      <c r="M737" s="22" t="s">
        <v>1136</v>
      </c>
      <c r="N737" s="53">
        <v>45561</v>
      </c>
      <c r="O737" s="22">
        <f>INDEX(Auxiliar!$D$5:$F$13,MATCH(Table1[[#This Row],[Tipologia_Testes]],Auxiliar!$B$5:$B$13,0),MATCH(Table1[[#This Row],[Complexidade]],Auxiliar!$D$4:$F$4,0))</f>
        <v>8</v>
      </c>
      <c r="P737" s="3"/>
      <c r="Q737" s="3"/>
      <c r="R737" s="173">
        <v>45561</v>
      </c>
      <c r="S737" s="173"/>
      <c r="T737" s="173">
        <v>45561</v>
      </c>
      <c r="U737" s="173"/>
      <c r="V737" s="173"/>
      <c r="W737" s="3">
        <f>VLOOKUP(Table1[[#This Row],[Status]],Auxiliar!$B$16:$D$23,3,0)*Table1[[#This Row],[Estimação (horas)]]</f>
        <v>2</v>
      </c>
      <c r="X737" s="3"/>
    </row>
    <row r="738" spans="2:24" ht="17.399999999999999" hidden="1" customHeight="1">
      <c r="B738" s="3" t="s">
        <v>28</v>
      </c>
      <c r="C738" s="3" t="s">
        <v>301</v>
      </c>
      <c r="D738" s="3" t="s">
        <v>313</v>
      </c>
      <c r="E738" s="3" t="s">
        <v>38</v>
      </c>
      <c r="F738" s="3" t="s">
        <v>312</v>
      </c>
      <c r="G738" s="3" t="s">
        <v>273</v>
      </c>
      <c r="H738" s="63" t="str">
        <f>Table1[[#This Row],[Tabela]]&amp;Table1[[#This Row],[Campo]]</f>
        <v>modesg_out_empr_info_nfinflg_rsc_fsc_agd</v>
      </c>
      <c r="I738" s="3" t="s">
        <v>479</v>
      </c>
      <c r="J738" s="45">
        <f>VLOOKUP(Table1[[#This Row],[Status]],Auxiliar!$B$16:$C$23,2,0)</f>
        <v>4</v>
      </c>
      <c r="K738" s="3" t="s">
        <v>1138</v>
      </c>
      <c r="L738" s="3" t="s">
        <v>1135</v>
      </c>
      <c r="M738" s="22" t="s">
        <v>1136</v>
      </c>
      <c r="N738" s="53">
        <v>45561</v>
      </c>
      <c r="O738" s="22">
        <f>INDEX(Auxiliar!$D$5:$F$13,MATCH(Table1[[#This Row],[Tipologia_Testes]],Auxiliar!$B$5:$B$13,0),MATCH(Table1[[#This Row],[Complexidade]],Auxiliar!$D$4:$F$4,0))</f>
        <v>8</v>
      </c>
      <c r="P738" s="3"/>
      <c r="Q738" s="3"/>
      <c r="R738" s="173">
        <v>45561</v>
      </c>
      <c r="S738" s="173"/>
      <c r="T738" s="173">
        <v>45561</v>
      </c>
      <c r="U738" s="173"/>
      <c r="V738" s="173"/>
      <c r="W738" s="3">
        <f>VLOOKUP(Table1[[#This Row],[Status]],Auxiliar!$B$16:$D$23,3,0)*Table1[[#This Row],[Estimação (horas)]]</f>
        <v>2</v>
      </c>
      <c r="X738" s="3"/>
    </row>
    <row r="739" spans="2:24" ht="17.399999999999999" hidden="1" customHeight="1">
      <c r="B739" s="3" t="s">
        <v>28</v>
      </c>
      <c r="C739" s="3" t="s">
        <v>301</v>
      </c>
      <c r="D739" s="3" t="s">
        <v>313</v>
      </c>
      <c r="E739" s="3" t="s">
        <v>38</v>
      </c>
      <c r="F739" s="3" t="s">
        <v>312</v>
      </c>
      <c r="G739" s="3" t="s">
        <v>273</v>
      </c>
      <c r="H739" s="63" t="str">
        <f>Table1[[#This Row],[Tabela]]&amp;Table1[[#This Row],[Campo]]</f>
        <v>modesg_out_empr_info_nfinflg_rsc_fsc_agd</v>
      </c>
      <c r="I739" s="3" t="s">
        <v>479</v>
      </c>
      <c r="J739" s="45">
        <f>VLOOKUP(Table1[[#This Row],[Status]],Auxiliar!$B$16:$C$23,2,0)</f>
        <v>4</v>
      </c>
      <c r="K739" s="3" t="s">
        <v>1141</v>
      </c>
      <c r="L739" s="3" t="s">
        <v>1135</v>
      </c>
      <c r="M739" s="22" t="s">
        <v>1136</v>
      </c>
      <c r="N739" s="53">
        <v>45561</v>
      </c>
      <c r="O739" s="22">
        <f>INDEX(Auxiliar!$D$5:$F$13,MATCH(Table1[[#This Row],[Tipologia_Testes]],Auxiliar!$B$5:$B$13,0),MATCH(Table1[[#This Row],[Complexidade]],Auxiliar!$D$4:$F$4,0))</f>
        <v>0.1</v>
      </c>
      <c r="P739" s="3"/>
      <c r="Q739" s="3"/>
      <c r="R739" s="173">
        <v>45561</v>
      </c>
      <c r="S739" s="173"/>
      <c r="T739" s="173">
        <v>45561</v>
      </c>
      <c r="U739" s="173"/>
      <c r="V739" s="173"/>
      <c r="W739" s="3">
        <f>VLOOKUP(Table1[[#This Row],[Status]],Auxiliar!$B$16:$D$23,3,0)*Table1[[#This Row],[Estimação (horas)]]</f>
        <v>2.5000000000000001E-2</v>
      </c>
      <c r="X739" s="3"/>
    </row>
    <row r="740" spans="2:24" ht="17.399999999999999" hidden="1" customHeight="1">
      <c r="B740" s="3" t="s">
        <v>28</v>
      </c>
      <c r="C740" s="3" t="s">
        <v>301</v>
      </c>
      <c r="D740" s="3" t="s">
        <v>313</v>
      </c>
      <c r="E740" s="3" t="s">
        <v>38</v>
      </c>
      <c r="F740" s="3" t="s">
        <v>312</v>
      </c>
      <c r="G740" s="3" t="s">
        <v>274</v>
      </c>
      <c r="H740" s="63" t="str">
        <f>Table1[[#This Row],[Tabela]]&amp;Table1[[#This Row],[Campo]]</f>
        <v>modesg_out_empr_info_nfinflg_rsc_fsc_crnc</v>
      </c>
      <c r="I740" s="3" t="s">
        <v>479</v>
      </c>
      <c r="J740" s="45">
        <f>VLOOKUP(Table1[[#This Row],[Status]],Auxiliar!$B$16:$C$23,2,0)</f>
        <v>4</v>
      </c>
      <c r="K740" s="3" t="s">
        <v>1137</v>
      </c>
      <c r="L740" s="3" t="s">
        <v>1135</v>
      </c>
      <c r="M740" s="22" t="s">
        <v>1136</v>
      </c>
      <c r="N740" s="53">
        <v>45561</v>
      </c>
      <c r="O740" s="22">
        <f>INDEX(Auxiliar!$D$5:$F$13,MATCH(Table1[[#This Row],[Tipologia_Testes]],Auxiliar!$B$5:$B$13,0),MATCH(Table1[[#This Row],[Complexidade]],Auxiliar!$D$4:$F$4,0))</f>
        <v>8</v>
      </c>
      <c r="P740" s="3"/>
      <c r="Q740" s="3"/>
      <c r="R740" s="173">
        <v>45561</v>
      </c>
      <c r="S740" s="173"/>
      <c r="T740" s="173">
        <v>45561</v>
      </c>
      <c r="U740" s="173"/>
      <c r="V740" s="173"/>
      <c r="W740" s="3">
        <f>VLOOKUP(Table1[[#This Row],[Status]],Auxiliar!$B$16:$D$23,3,0)*Table1[[#This Row],[Estimação (horas)]]</f>
        <v>2</v>
      </c>
      <c r="X740" s="3"/>
    </row>
    <row r="741" spans="2:24" ht="17.399999999999999" hidden="1" customHeight="1">
      <c r="B741" s="3" t="s">
        <v>28</v>
      </c>
      <c r="C741" s="3" t="s">
        <v>301</v>
      </c>
      <c r="D741" s="3" t="s">
        <v>313</v>
      </c>
      <c r="E741" s="3" t="s">
        <v>38</v>
      </c>
      <c r="F741" s="3" t="s">
        <v>312</v>
      </c>
      <c r="G741" s="3" t="s">
        <v>274</v>
      </c>
      <c r="H741" s="63" t="str">
        <f>Table1[[#This Row],[Tabela]]&amp;Table1[[#This Row],[Campo]]</f>
        <v>modesg_out_empr_info_nfinflg_rsc_fsc_crnc</v>
      </c>
      <c r="I741" s="3" t="s">
        <v>479</v>
      </c>
      <c r="J741" s="45">
        <f>VLOOKUP(Table1[[#This Row],[Status]],Auxiliar!$B$16:$C$23,2,0)</f>
        <v>4</v>
      </c>
      <c r="K741" s="3" t="s">
        <v>1138</v>
      </c>
      <c r="L741" s="3" t="s">
        <v>1135</v>
      </c>
      <c r="M741" s="22" t="s">
        <v>1136</v>
      </c>
      <c r="N741" s="53">
        <v>45561</v>
      </c>
      <c r="O741" s="22">
        <f>INDEX(Auxiliar!$D$5:$F$13,MATCH(Table1[[#This Row],[Tipologia_Testes]],Auxiliar!$B$5:$B$13,0),MATCH(Table1[[#This Row],[Complexidade]],Auxiliar!$D$4:$F$4,0))</f>
        <v>8</v>
      </c>
      <c r="P741" s="3"/>
      <c r="Q741" s="3"/>
      <c r="R741" s="173">
        <v>45561</v>
      </c>
      <c r="S741" s="173"/>
      <c r="T741" s="173">
        <v>45561</v>
      </c>
      <c r="U741" s="173"/>
      <c r="V741" s="173"/>
      <c r="W741" s="3">
        <f>VLOOKUP(Table1[[#This Row],[Status]],Auxiliar!$B$16:$D$23,3,0)*Table1[[#This Row],[Estimação (horas)]]</f>
        <v>2</v>
      </c>
      <c r="X741" s="3"/>
    </row>
    <row r="742" spans="2:24" ht="17.399999999999999" hidden="1" customHeight="1">
      <c r="B742" s="3" t="s">
        <v>28</v>
      </c>
      <c r="C742" s="3" t="s">
        <v>301</v>
      </c>
      <c r="D742" s="3" t="s">
        <v>313</v>
      </c>
      <c r="E742" s="3" t="s">
        <v>38</v>
      </c>
      <c r="F742" s="3" t="s">
        <v>312</v>
      </c>
      <c r="G742" s="3" t="s">
        <v>274</v>
      </c>
      <c r="H742" s="63" t="str">
        <f>Table1[[#This Row],[Tabela]]&amp;Table1[[#This Row],[Campo]]</f>
        <v>modesg_out_empr_info_nfinflg_rsc_fsc_crnc</v>
      </c>
      <c r="I742" s="3" t="s">
        <v>479</v>
      </c>
      <c r="J742" s="45">
        <f>VLOOKUP(Table1[[#This Row],[Status]],Auxiliar!$B$16:$C$23,2,0)</f>
        <v>4</v>
      </c>
      <c r="K742" s="3" t="s">
        <v>1141</v>
      </c>
      <c r="L742" s="3" t="s">
        <v>1135</v>
      </c>
      <c r="M742" s="22" t="s">
        <v>1136</v>
      </c>
      <c r="N742" s="53">
        <v>45561</v>
      </c>
      <c r="O742" s="22">
        <f>INDEX(Auxiliar!$D$5:$F$13,MATCH(Table1[[#This Row],[Tipologia_Testes]],Auxiliar!$B$5:$B$13,0),MATCH(Table1[[#This Row],[Complexidade]],Auxiliar!$D$4:$F$4,0))</f>
        <v>0.1</v>
      </c>
      <c r="P742" s="3"/>
      <c r="Q742" s="3"/>
      <c r="R742" s="173">
        <v>45561</v>
      </c>
      <c r="S742" s="173"/>
      <c r="T742" s="173">
        <v>45561</v>
      </c>
      <c r="U742" s="173"/>
      <c r="V742" s="173"/>
      <c r="W742" s="3">
        <f>VLOOKUP(Table1[[#This Row],[Status]],Auxiliar!$B$16:$D$23,3,0)*Table1[[#This Row],[Estimação (horas)]]</f>
        <v>2.5000000000000001E-2</v>
      </c>
      <c r="X742" s="3"/>
    </row>
    <row r="743" spans="2:24" ht="17.399999999999999" hidden="1" customHeight="1">
      <c r="B743" s="3" t="s">
        <v>28</v>
      </c>
      <c r="C743" s="3" t="s">
        <v>301</v>
      </c>
      <c r="D743" s="3" t="s">
        <v>313</v>
      </c>
      <c r="E743" s="3" t="s">
        <v>38</v>
      </c>
      <c r="F743" s="3" t="s">
        <v>312</v>
      </c>
      <c r="G743" s="3" t="s">
        <v>315</v>
      </c>
      <c r="H743" s="63" t="str">
        <f>Table1[[#This Row],[Tabela]]&amp;Table1[[#This Row],[Campo]]</f>
        <v>modesg_out_empr_info_nfinorigem_alinhamentos</v>
      </c>
      <c r="I743" s="3" t="s">
        <v>482</v>
      </c>
      <c r="J743" s="45">
        <f>VLOOKUP(Table1[[#This Row],[Status]],Auxiliar!$B$16:$C$23,2,0)</f>
        <v>6</v>
      </c>
      <c r="K743" s="3" t="s">
        <v>1137</v>
      </c>
      <c r="L743" s="3" t="s">
        <v>1144</v>
      </c>
      <c r="M743" s="22" t="s">
        <v>1145</v>
      </c>
      <c r="N743" s="53">
        <v>45546</v>
      </c>
      <c r="O743" s="22">
        <f>INDEX(Auxiliar!$D$5:$F$13,MATCH(Table1[[#This Row],[Tipologia_Testes]],Auxiliar!$B$5:$B$13,0),MATCH(Table1[[#This Row],[Complexidade]],Auxiliar!$D$4:$F$4,0))</f>
        <v>2</v>
      </c>
      <c r="P743" s="3"/>
      <c r="Q743" s="3"/>
      <c r="R743" s="173">
        <v>45561</v>
      </c>
      <c r="S743" s="173"/>
      <c r="T743" s="173">
        <v>45561</v>
      </c>
      <c r="U743" s="173"/>
      <c r="V743" s="173"/>
      <c r="W743" s="3">
        <f>VLOOKUP(Table1[[#This Row],[Status]],Auxiliar!$B$16:$D$23,3,0)*Table1[[#This Row],[Estimação (horas)]]</f>
        <v>0.5</v>
      </c>
      <c r="X743" s="3"/>
    </row>
    <row r="744" spans="2:24" ht="17.399999999999999" hidden="1" customHeight="1">
      <c r="B744" s="3" t="s">
        <v>28</v>
      </c>
      <c r="C744" s="3" t="s">
        <v>301</v>
      </c>
      <c r="D744" s="3" t="s">
        <v>313</v>
      </c>
      <c r="E744" s="3" t="s">
        <v>38</v>
      </c>
      <c r="F744" s="3" t="s">
        <v>312</v>
      </c>
      <c r="G744" s="3" t="s">
        <v>315</v>
      </c>
      <c r="H744" s="63" t="str">
        <f>Table1[[#This Row],[Tabela]]&amp;Table1[[#This Row],[Campo]]</f>
        <v>modesg_out_empr_info_nfinorigem_alinhamentos</v>
      </c>
      <c r="I744" s="3" t="s">
        <v>482</v>
      </c>
      <c r="J744" s="45">
        <f>VLOOKUP(Table1[[#This Row],[Status]],Auxiliar!$B$16:$C$23,2,0)</f>
        <v>6</v>
      </c>
      <c r="K744" s="3" t="s">
        <v>1138</v>
      </c>
      <c r="L744" s="3" t="s">
        <v>1144</v>
      </c>
      <c r="M744" s="22" t="s">
        <v>1145</v>
      </c>
      <c r="N744" s="53">
        <v>45546</v>
      </c>
      <c r="O744" s="22">
        <f>INDEX(Auxiliar!$D$5:$F$13,MATCH(Table1[[#This Row],[Tipologia_Testes]],Auxiliar!$B$5:$B$13,0),MATCH(Table1[[#This Row],[Complexidade]],Auxiliar!$D$4:$F$4,0))</f>
        <v>2</v>
      </c>
      <c r="P744" s="3"/>
      <c r="Q744" s="3"/>
      <c r="R744" s="173">
        <v>45561</v>
      </c>
      <c r="S744" s="173"/>
      <c r="T744" s="173">
        <v>45561</v>
      </c>
      <c r="U744" s="173"/>
      <c r="V744" s="173"/>
      <c r="W744" s="3">
        <f>VLOOKUP(Table1[[#This Row],[Status]],Auxiliar!$B$16:$D$23,3,0)*Table1[[#This Row],[Estimação (horas)]]</f>
        <v>0.5</v>
      </c>
      <c r="X744" s="3"/>
    </row>
    <row r="745" spans="2:24" ht="17.399999999999999" hidden="1" customHeight="1">
      <c r="B745" s="3" t="s">
        <v>28</v>
      </c>
      <c r="C745" s="3" t="s">
        <v>301</v>
      </c>
      <c r="D745" s="3" t="s">
        <v>313</v>
      </c>
      <c r="E745" s="3" t="s">
        <v>38</v>
      </c>
      <c r="F745" s="3" t="s">
        <v>312</v>
      </c>
      <c r="G745" s="3" t="s">
        <v>315</v>
      </c>
      <c r="H745" s="63" t="str">
        <f>Table1[[#This Row],[Tabela]]&amp;Table1[[#This Row],[Campo]]</f>
        <v>modesg_out_empr_info_nfinorigem_alinhamentos</v>
      </c>
      <c r="I745" s="3" t="s">
        <v>482</v>
      </c>
      <c r="J745" s="45">
        <f>VLOOKUP(Table1[[#This Row],[Status]],Auxiliar!$B$16:$C$23,2,0)</f>
        <v>6</v>
      </c>
      <c r="K745" s="3" t="s">
        <v>1141</v>
      </c>
      <c r="L745" s="3" t="s">
        <v>1144</v>
      </c>
      <c r="M745" s="22" t="s">
        <v>1145</v>
      </c>
      <c r="N745" s="53">
        <v>45546</v>
      </c>
      <c r="O745" s="22">
        <f>INDEX(Auxiliar!$D$5:$F$13,MATCH(Table1[[#This Row],[Tipologia_Testes]],Auxiliar!$B$5:$B$13,0),MATCH(Table1[[#This Row],[Complexidade]],Auxiliar!$D$4:$F$4,0))</f>
        <v>0.1</v>
      </c>
      <c r="P745" s="3"/>
      <c r="Q745" s="3"/>
      <c r="R745" s="173">
        <v>45561</v>
      </c>
      <c r="S745" s="173"/>
      <c r="T745" s="173">
        <v>45561</v>
      </c>
      <c r="U745" s="173"/>
      <c r="V745" s="173"/>
      <c r="W745" s="3">
        <f>VLOOKUP(Table1[[#This Row],[Status]],Auxiliar!$B$16:$D$23,3,0)*Table1[[#This Row],[Estimação (horas)]]</f>
        <v>2.5000000000000001E-2</v>
      </c>
      <c r="X745" s="3"/>
    </row>
    <row r="746" spans="2:24" ht="17.399999999999999" hidden="1" customHeight="1">
      <c r="B746" s="3" t="s">
        <v>28</v>
      </c>
      <c r="C746" s="3" t="s">
        <v>301</v>
      </c>
      <c r="D746" s="3" t="s">
        <v>313</v>
      </c>
      <c r="E746" s="3" t="s">
        <v>38</v>
      </c>
      <c r="F746" s="3" t="s">
        <v>312</v>
      </c>
      <c r="G746" s="3" t="s">
        <v>316</v>
      </c>
      <c r="H746" s="63" t="str">
        <f>Table1[[#This Row],[Tabela]]&amp;Table1[[#This Row],[Campo]]</f>
        <v>modesg_out_empr_info_nfinorigem_flg_emprs_excl_paris</v>
      </c>
      <c r="I746" s="3" t="s">
        <v>482</v>
      </c>
      <c r="J746" s="45">
        <f>VLOOKUP(Table1[[#This Row],[Status]],Auxiliar!$B$16:$C$23,2,0)</f>
        <v>6</v>
      </c>
      <c r="K746" s="3" t="s">
        <v>1137</v>
      </c>
      <c r="L746" s="3" t="s">
        <v>1144</v>
      </c>
      <c r="M746" s="22" t="s">
        <v>1145</v>
      </c>
      <c r="N746" s="53">
        <v>45546</v>
      </c>
      <c r="O746" s="22">
        <f>INDEX(Auxiliar!$D$5:$F$13,MATCH(Table1[[#This Row],[Tipologia_Testes]],Auxiliar!$B$5:$B$13,0),MATCH(Table1[[#This Row],[Complexidade]],Auxiliar!$D$4:$F$4,0))</f>
        <v>2</v>
      </c>
      <c r="P746" s="208" t="s">
        <v>1886</v>
      </c>
      <c r="Q746" s="3"/>
      <c r="R746" s="173">
        <v>45553</v>
      </c>
      <c r="S746" s="173"/>
      <c r="T746" s="173">
        <v>45553</v>
      </c>
      <c r="U746" s="173">
        <v>45565</v>
      </c>
      <c r="V746" s="173"/>
      <c r="W746" s="3">
        <f>VLOOKUP(Table1[[#This Row],[Status]],Auxiliar!$B$16:$D$23,3,0)*Table1[[#This Row],[Estimação (horas)]]</f>
        <v>0.5</v>
      </c>
      <c r="X746" s="3"/>
    </row>
    <row r="747" spans="2:24" ht="17.399999999999999" hidden="1" customHeight="1">
      <c r="B747" s="3" t="s">
        <v>28</v>
      </c>
      <c r="C747" s="3" t="s">
        <v>301</v>
      </c>
      <c r="D747" s="3" t="s">
        <v>313</v>
      </c>
      <c r="E747" s="3" t="s">
        <v>38</v>
      </c>
      <c r="F747" s="3" t="s">
        <v>312</v>
      </c>
      <c r="G747" s="3" t="s">
        <v>316</v>
      </c>
      <c r="H747" s="63" t="str">
        <f>Table1[[#This Row],[Tabela]]&amp;Table1[[#This Row],[Campo]]</f>
        <v>modesg_out_empr_info_nfinorigem_flg_emprs_excl_paris</v>
      </c>
      <c r="I747" s="3" t="s">
        <v>482</v>
      </c>
      <c r="J747" s="45">
        <f>VLOOKUP(Table1[[#This Row],[Status]],Auxiliar!$B$16:$C$23,2,0)</f>
        <v>6</v>
      </c>
      <c r="K747" s="3" t="s">
        <v>1138</v>
      </c>
      <c r="L747" s="3" t="s">
        <v>1144</v>
      </c>
      <c r="M747" s="22" t="s">
        <v>1145</v>
      </c>
      <c r="N747" s="53">
        <v>45546</v>
      </c>
      <c r="O747" s="22">
        <f>INDEX(Auxiliar!$D$5:$F$13,MATCH(Table1[[#This Row],[Tipologia_Testes]],Auxiliar!$B$5:$B$13,0),MATCH(Table1[[#This Row],[Complexidade]],Auxiliar!$D$4:$F$4,0))</f>
        <v>2</v>
      </c>
      <c r="P747" s="208" t="s">
        <v>1886</v>
      </c>
      <c r="Q747" s="3"/>
      <c r="R747" s="173">
        <v>45553</v>
      </c>
      <c r="S747" s="173"/>
      <c r="T747" s="173">
        <v>45553</v>
      </c>
      <c r="U747" s="173">
        <v>45565</v>
      </c>
      <c r="V747" s="173"/>
      <c r="W747" s="3">
        <f>VLOOKUP(Table1[[#This Row],[Status]],Auxiliar!$B$16:$D$23,3,0)*Table1[[#This Row],[Estimação (horas)]]</f>
        <v>0.5</v>
      </c>
      <c r="X747" s="3"/>
    </row>
    <row r="748" spans="2:24" ht="17.399999999999999" hidden="1" customHeight="1">
      <c r="B748" s="3" t="s">
        <v>28</v>
      </c>
      <c r="C748" s="3" t="s">
        <v>301</v>
      </c>
      <c r="D748" s="3" t="s">
        <v>313</v>
      </c>
      <c r="E748" s="3" t="s">
        <v>38</v>
      </c>
      <c r="F748" s="3" t="s">
        <v>312</v>
      </c>
      <c r="G748" s="3" t="s">
        <v>316</v>
      </c>
      <c r="H748" s="63" t="str">
        <f>Table1[[#This Row],[Tabela]]&amp;Table1[[#This Row],[Campo]]</f>
        <v>modesg_out_empr_info_nfinorigem_flg_emprs_excl_paris</v>
      </c>
      <c r="I748" s="3" t="s">
        <v>482</v>
      </c>
      <c r="J748" s="45">
        <f>VLOOKUP(Table1[[#This Row],[Status]],Auxiliar!$B$16:$C$23,2,0)</f>
        <v>6</v>
      </c>
      <c r="K748" s="3" t="s">
        <v>1141</v>
      </c>
      <c r="L748" s="3" t="s">
        <v>1144</v>
      </c>
      <c r="M748" s="22" t="s">
        <v>1145</v>
      </c>
      <c r="N748" s="53">
        <v>45546</v>
      </c>
      <c r="O748" s="22">
        <f>INDEX(Auxiliar!$D$5:$F$13,MATCH(Table1[[#This Row],[Tipologia_Testes]],Auxiliar!$B$5:$B$13,0),MATCH(Table1[[#This Row],[Complexidade]],Auxiliar!$D$4:$F$4,0))</f>
        <v>0.1</v>
      </c>
      <c r="P748" s="208" t="s">
        <v>1886</v>
      </c>
      <c r="Q748" s="3"/>
      <c r="R748" s="173">
        <v>45553</v>
      </c>
      <c r="S748" s="173"/>
      <c r="T748" s="173">
        <v>45553</v>
      </c>
      <c r="U748" s="173">
        <v>45565</v>
      </c>
      <c r="V748" s="173"/>
      <c r="W748" s="3">
        <f>VLOOKUP(Table1[[#This Row],[Status]],Auxiliar!$B$16:$D$23,3,0)*Table1[[#This Row],[Estimação (horas)]]</f>
        <v>2.5000000000000001E-2</v>
      </c>
      <c r="X748" s="3"/>
    </row>
    <row r="749" spans="2:24" ht="17.399999999999999" hidden="1" customHeight="1">
      <c r="B749" s="3" t="s">
        <v>28</v>
      </c>
      <c r="C749" s="3" t="s">
        <v>301</v>
      </c>
      <c r="D749" s="3" t="s">
        <v>313</v>
      </c>
      <c r="E749" s="3" t="s">
        <v>38</v>
      </c>
      <c r="F749" s="3" t="s">
        <v>312</v>
      </c>
      <c r="G749" s="3" t="s">
        <v>317</v>
      </c>
      <c r="H749" s="63" t="str">
        <f>Table1[[#This Row],[Tabela]]&amp;Table1[[#This Row],[Campo]]</f>
        <v>modesg_out_empr_info_nfinorigem_flg_nfrd</v>
      </c>
      <c r="I749" s="3" t="s">
        <v>482</v>
      </c>
      <c r="J749" s="45">
        <f>VLOOKUP(Table1[[#This Row],[Status]],Auxiliar!$B$16:$C$23,2,0)</f>
        <v>6</v>
      </c>
      <c r="K749" s="3" t="s">
        <v>1137</v>
      </c>
      <c r="L749" s="3" t="s">
        <v>1144</v>
      </c>
      <c r="M749" s="22" t="s">
        <v>1145</v>
      </c>
      <c r="N749" s="53">
        <v>45546</v>
      </c>
      <c r="O749" s="22">
        <f>INDEX(Auxiliar!$D$5:$F$13,MATCH(Table1[[#This Row],[Tipologia_Testes]],Auxiliar!$B$5:$B$13,0),MATCH(Table1[[#This Row],[Complexidade]],Auxiliar!$D$4:$F$4,0))</f>
        <v>2</v>
      </c>
      <c r="P749" s="208" t="s">
        <v>1886</v>
      </c>
      <c r="Q749" s="3"/>
      <c r="R749" s="173">
        <v>45553</v>
      </c>
      <c r="S749" s="173"/>
      <c r="T749" s="173">
        <v>45553</v>
      </c>
      <c r="U749" s="173">
        <v>45565</v>
      </c>
      <c r="V749" s="173"/>
      <c r="W749" s="3">
        <f>VLOOKUP(Table1[[#This Row],[Status]],Auxiliar!$B$16:$D$23,3,0)*Table1[[#This Row],[Estimação (horas)]]</f>
        <v>0.5</v>
      </c>
      <c r="X749" s="3"/>
    </row>
    <row r="750" spans="2:24" ht="17.399999999999999" hidden="1" customHeight="1">
      <c r="B750" s="3" t="s">
        <v>28</v>
      </c>
      <c r="C750" s="3" t="s">
        <v>301</v>
      </c>
      <c r="D750" s="3" t="s">
        <v>313</v>
      </c>
      <c r="E750" s="3" t="s">
        <v>38</v>
      </c>
      <c r="F750" s="3" t="s">
        <v>312</v>
      </c>
      <c r="G750" s="3" t="s">
        <v>317</v>
      </c>
      <c r="H750" s="63" t="str">
        <f>Table1[[#This Row],[Tabela]]&amp;Table1[[#This Row],[Campo]]</f>
        <v>modesg_out_empr_info_nfinorigem_flg_nfrd</v>
      </c>
      <c r="I750" s="3" t="s">
        <v>482</v>
      </c>
      <c r="J750" s="45">
        <f>VLOOKUP(Table1[[#This Row],[Status]],Auxiliar!$B$16:$C$23,2,0)</f>
        <v>6</v>
      </c>
      <c r="K750" s="3" t="s">
        <v>1138</v>
      </c>
      <c r="L750" s="3" t="s">
        <v>1144</v>
      </c>
      <c r="M750" s="22" t="s">
        <v>1145</v>
      </c>
      <c r="N750" s="53">
        <v>45546</v>
      </c>
      <c r="O750" s="22">
        <f>INDEX(Auxiliar!$D$5:$F$13,MATCH(Table1[[#This Row],[Tipologia_Testes]],Auxiliar!$B$5:$B$13,0),MATCH(Table1[[#This Row],[Complexidade]],Auxiliar!$D$4:$F$4,0))</f>
        <v>2</v>
      </c>
      <c r="P750" s="208" t="s">
        <v>1886</v>
      </c>
      <c r="Q750" s="3"/>
      <c r="R750" s="173">
        <v>45553</v>
      </c>
      <c r="S750" s="173"/>
      <c r="T750" s="173">
        <v>45553</v>
      </c>
      <c r="U750" s="173">
        <v>45565</v>
      </c>
      <c r="V750" s="173"/>
      <c r="W750" s="3">
        <f>VLOOKUP(Table1[[#This Row],[Status]],Auxiliar!$B$16:$D$23,3,0)*Table1[[#This Row],[Estimação (horas)]]</f>
        <v>0.5</v>
      </c>
      <c r="X750" s="3"/>
    </row>
    <row r="751" spans="2:24" ht="17.399999999999999" hidden="1" customHeight="1">
      <c r="B751" s="3" t="s">
        <v>28</v>
      </c>
      <c r="C751" s="3" t="s">
        <v>301</v>
      </c>
      <c r="D751" s="3" t="s">
        <v>313</v>
      </c>
      <c r="E751" s="3" t="s">
        <v>38</v>
      </c>
      <c r="F751" s="3" t="s">
        <v>312</v>
      </c>
      <c r="G751" s="3" t="s">
        <v>317</v>
      </c>
      <c r="H751" s="63" t="str">
        <f>Table1[[#This Row],[Tabela]]&amp;Table1[[#This Row],[Campo]]</f>
        <v>modesg_out_empr_info_nfinorigem_flg_nfrd</v>
      </c>
      <c r="I751" s="3" t="s">
        <v>482</v>
      </c>
      <c r="J751" s="45">
        <f>VLOOKUP(Table1[[#This Row],[Status]],Auxiliar!$B$16:$C$23,2,0)</f>
        <v>6</v>
      </c>
      <c r="K751" s="3" t="s">
        <v>1141</v>
      </c>
      <c r="L751" s="3" t="s">
        <v>1144</v>
      </c>
      <c r="M751" s="22" t="s">
        <v>1145</v>
      </c>
      <c r="N751" s="53">
        <v>45546</v>
      </c>
      <c r="O751" s="22">
        <f>INDEX(Auxiliar!$D$5:$F$13,MATCH(Table1[[#This Row],[Tipologia_Testes]],Auxiliar!$B$5:$B$13,0),MATCH(Table1[[#This Row],[Complexidade]],Auxiliar!$D$4:$F$4,0))</f>
        <v>0.1</v>
      </c>
      <c r="P751" s="208" t="s">
        <v>1886</v>
      </c>
      <c r="Q751" s="3"/>
      <c r="R751" s="173">
        <v>45553</v>
      </c>
      <c r="S751" s="173"/>
      <c r="T751" s="173">
        <v>45553</v>
      </c>
      <c r="U751" s="173">
        <v>45565</v>
      </c>
      <c r="V751" s="173"/>
      <c r="W751" s="3">
        <f>VLOOKUP(Table1[[#This Row],[Status]],Auxiliar!$B$16:$D$23,3,0)*Table1[[#This Row],[Estimação (horas)]]</f>
        <v>2.5000000000000001E-2</v>
      </c>
      <c r="X751" s="3"/>
    </row>
    <row r="752" spans="2:24" ht="17.399999999999999" hidden="1" customHeight="1">
      <c r="B752" s="3" t="s">
        <v>28</v>
      </c>
      <c r="C752" s="3" t="s">
        <v>301</v>
      </c>
      <c r="D752" s="3" t="s">
        <v>313</v>
      </c>
      <c r="E752" s="3" t="s">
        <v>38</v>
      </c>
      <c r="F752" s="3" t="s">
        <v>312</v>
      </c>
      <c r="G752" s="3" t="s">
        <v>304</v>
      </c>
      <c r="H752" s="63" t="str">
        <f>Table1[[#This Row],[Tabela]]&amp;Table1[[#This Row],[Campo]]</f>
        <v>modesg_out_empr_info_nfinorigem_flg_rsc_fsc_agd</v>
      </c>
      <c r="I752" s="3" t="s">
        <v>479</v>
      </c>
      <c r="J752" s="45">
        <f>VLOOKUP(Table1[[#This Row],[Status]],Auxiliar!$B$16:$C$23,2,0)</f>
        <v>4</v>
      </c>
      <c r="K752" s="3" t="s">
        <v>1137</v>
      </c>
      <c r="L752" s="3" t="s">
        <v>1144</v>
      </c>
      <c r="M752" s="22" t="s">
        <v>1145</v>
      </c>
      <c r="N752" s="53">
        <v>45561</v>
      </c>
      <c r="O752" s="22">
        <f>INDEX(Auxiliar!$D$5:$F$13,MATCH(Table1[[#This Row],[Tipologia_Testes]],Auxiliar!$B$5:$B$13,0),MATCH(Table1[[#This Row],[Complexidade]],Auxiliar!$D$4:$F$4,0))</f>
        <v>2</v>
      </c>
      <c r="P752" s="3"/>
      <c r="Q752" s="3"/>
      <c r="R752" s="173">
        <v>45561</v>
      </c>
      <c r="S752" s="173"/>
      <c r="T752" s="173">
        <v>45561</v>
      </c>
      <c r="U752" s="173"/>
      <c r="V752" s="173"/>
      <c r="W752" s="3">
        <f>VLOOKUP(Table1[[#This Row],[Status]],Auxiliar!$B$16:$D$23,3,0)*Table1[[#This Row],[Estimação (horas)]]</f>
        <v>0.5</v>
      </c>
      <c r="X752" s="3"/>
    </row>
    <row r="753" spans="2:24" ht="17.399999999999999" hidden="1" customHeight="1">
      <c r="B753" s="3" t="s">
        <v>28</v>
      </c>
      <c r="C753" s="3" t="s">
        <v>301</v>
      </c>
      <c r="D753" s="3" t="s">
        <v>313</v>
      </c>
      <c r="E753" s="3" t="s">
        <v>38</v>
      </c>
      <c r="F753" s="3" t="s">
        <v>312</v>
      </c>
      <c r="G753" s="3" t="s">
        <v>304</v>
      </c>
      <c r="H753" s="63" t="str">
        <f>Table1[[#This Row],[Tabela]]&amp;Table1[[#This Row],[Campo]]</f>
        <v>modesg_out_empr_info_nfinorigem_flg_rsc_fsc_agd</v>
      </c>
      <c r="I753" s="3" t="s">
        <v>479</v>
      </c>
      <c r="J753" s="45">
        <f>VLOOKUP(Table1[[#This Row],[Status]],Auxiliar!$B$16:$C$23,2,0)</f>
        <v>4</v>
      </c>
      <c r="K753" s="3" t="s">
        <v>1138</v>
      </c>
      <c r="L753" s="3" t="s">
        <v>1144</v>
      </c>
      <c r="M753" s="22" t="s">
        <v>1145</v>
      </c>
      <c r="N753" s="53">
        <v>45561</v>
      </c>
      <c r="O753" s="22">
        <f>INDEX(Auxiliar!$D$5:$F$13,MATCH(Table1[[#This Row],[Tipologia_Testes]],Auxiliar!$B$5:$B$13,0),MATCH(Table1[[#This Row],[Complexidade]],Auxiliar!$D$4:$F$4,0))</f>
        <v>2</v>
      </c>
      <c r="P753" s="3"/>
      <c r="Q753" s="3"/>
      <c r="R753" s="173">
        <v>45561</v>
      </c>
      <c r="S753" s="173"/>
      <c r="T753" s="173">
        <v>45561</v>
      </c>
      <c r="U753" s="173"/>
      <c r="V753" s="173"/>
      <c r="W753" s="3">
        <f>VLOOKUP(Table1[[#This Row],[Status]],Auxiliar!$B$16:$D$23,3,0)*Table1[[#This Row],[Estimação (horas)]]</f>
        <v>0.5</v>
      </c>
      <c r="X753" s="3"/>
    </row>
    <row r="754" spans="2:24" ht="17.399999999999999" hidden="1" customHeight="1">
      <c r="B754" s="3" t="s">
        <v>28</v>
      </c>
      <c r="C754" s="3" t="s">
        <v>301</v>
      </c>
      <c r="D754" s="3" t="s">
        <v>313</v>
      </c>
      <c r="E754" s="3" t="s">
        <v>38</v>
      </c>
      <c r="F754" s="3" t="s">
        <v>312</v>
      </c>
      <c r="G754" s="3" t="s">
        <v>304</v>
      </c>
      <c r="H754" s="63" t="str">
        <f>Table1[[#This Row],[Tabela]]&amp;Table1[[#This Row],[Campo]]</f>
        <v>modesg_out_empr_info_nfinorigem_flg_rsc_fsc_agd</v>
      </c>
      <c r="I754" s="3" t="s">
        <v>479</v>
      </c>
      <c r="J754" s="45">
        <f>VLOOKUP(Table1[[#This Row],[Status]],Auxiliar!$B$16:$C$23,2,0)</f>
        <v>4</v>
      </c>
      <c r="K754" s="3" t="s">
        <v>1141</v>
      </c>
      <c r="L754" s="3" t="s">
        <v>1144</v>
      </c>
      <c r="M754" s="22" t="s">
        <v>1145</v>
      </c>
      <c r="N754" s="53">
        <v>45561</v>
      </c>
      <c r="O754" s="22">
        <f>INDEX(Auxiliar!$D$5:$F$13,MATCH(Table1[[#This Row],[Tipologia_Testes]],Auxiliar!$B$5:$B$13,0),MATCH(Table1[[#This Row],[Complexidade]],Auxiliar!$D$4:$F$4,0))</f>
        <v>0.1</v>
      </c>
      <c r="P754" s="3"/>
      <c r="Q754" s="3"/>
      <c r="R754" s="173">
        <v>45561</v>
      </c>
      <c r="S754" s="173"/>
      <c r="T754" s="173">
        <v>45561</v>
      </c>
      <c r="U754" s="173"/>
      <c r="V754" s="173"/>
      <c r="W754" s="3">
        <f>VLOOKUP(Table1[[#This Row],[Status]],Auxiliar!$B$16:$D$23,3,0)*Table1[[#This Row],[Estimação (horas)]]</f>
        <v>2.5000000000000001E-2</v>
      </c>
      <c r="X754" s="3"/>
    </row>
    <row r="755" spans="2:24" ht="17.399999999999999" hidden="1" customHeight="1">
      <c r="B755" s="3" t="s">
        <v>28</v>
      </c>
      <c r="C755" s="3" t="s">
        <v>301</v>
      </c>
      <c r="D755" s="3" t="s">
        <v>313</v>
      </c>
      <c r="E755" s="3" t="s">
        <v>38</v>
      </c>
      <c r="F755" s="3" t="s">
        <v>312</v>
      </c>
      <c r="G755" s="3" t="s">
        <v>305</v>
      </c>
      <c r="H755" s="63" t="str">
        <f>Table1[[#This Row],[Tabela]]&amp;Table1[[#This Row],[Campo]]</f>
        <v>modesg_out_empr_info_nfinorigem_flg_rsc_fsc_crnc</v>
      </c>
      <c r="I755" s="3" t="s">
        <v>479</v>
      </c>
      <c r="J755" s="45">
        <f>VLOOKUP(Table1[[#This Row],[Status]],Auxiliar!$B$16:$C$23,2,0)</f>
        <v>4</v>
      </c>
      <c r="K755" s="3" t="s">
        <v>1137</v>
      </c>
      <c r="L755" s="3" t="s">
        <v>1144</v>
      </c>
      <c r="M755" s="22" t="s">
        <v>1145</v>
      </c>
      <c r="N755" s="53">
        <v>45561</v>
      </c>
      <c r="O755" s="22">
        <f>INDEX(Auxiliar!$D$5:$F$13,MATCH(Table1[[#This Row],[Tipologia_Testes]],Auxiliar!$B$5:$B$13,0),MATCH(Table1[[#This Row],[Complexidade]],Auxiliar!$D$4:$F$4,0))</f>
        <v>2</v>
      </c>
      <c r="P755" s="3"/>
      <c r="Q755" s="3"/>
      <c r="R755" s="173">
        <v>45561</v>
      </c>
      <c r="S755" s="173"/>
      <c r="T755" s="173">
        <v>45561</v>
      </c>
      <c r="U755" s="173"/>
      <c r="V755" s="173"/>
      <c r="W755" s="3">
        <f>VLOOKUP(Table1[[#This Row],[Status]],Auxiliar!$B$16:$D$23,3,0)*Table1[[#This Row],[Estimação (horas)]]</f>
        <v>0.5</v>
      </c>
      <c r="X755" s="3"/>
    </row>
    <row r="756" spans="2:24" ht="17.399999999999999" hidden="1" customHeight="1">
      <c r="B756" s="3" t="s">
        <v>28</v>
      </c>
      <c r="C756" s="3" t="s">
        <v>301</v>
      </c>
      <c r="D756" s="3" t="s">
        <v>313</v>
      </c>
      <c r="E756" s="3" t="s">
        <v>38</v>
      </c>
      <c r="F756" s="3" t="s">
        <v>312</v>
      </c>
      <c r="G756" s="3" t="s">
        <v>305</v>
      </c>
      <c r="H756" s="63" t="str">
        <f>Table1[[#This Row],[Tabela]]&amp;Table1[[#This Row],[Campo]]</f>
        <v>modesg_out_empr_info_nfinorigem_flg_rsc_fsc_crnc</v>
      </c>
      <c r="I756" s="3" t="s">
        <v>479</v>
      </c>
      <c r="J756" s="45">
        <f>VLOOKUP(Table1[[#This Row],[Status]],Auxiliar!$B$16:$C$23,2,0)</f>
        <v>4</v>
      </c>
      <c r="K756" s="3" t="s">
        <v>1138</v>
      </c>
      <c r="L756" s="3" t="s">
        <v>1144</v>
      </c>
      <c r="M756" s="22" t="s">
        <v>1145</v>
      </c>
      <c r="N756" s="53">
        <v>45561</v>
      </c>
      <c r="O756" s="22">
        <f>INDEX(Auxiliar!$D$5:$F$13,MATCH(Table1[[#This Row],[Tipologia_Testes]],Auxiliar!$B$5:$B$13,0),MATCH(Table1[[#This Row],[Complexidade]],Auxiliar!$D$4:$F$4,0))</f>
        <v>2</v>
      </c>
      <c r="P756" s="3"/>
      <c r="Q756" s="3"/>
      <c r="R756" s="173">
        <v>45561</v>
      </c>
      <c r="S756" s="173"/>
      <c r="T756" s="173">
        <v>45561</v>
      </c>
      <c r="U756" s="173"/>
      <c r="V756" s="173"/>
      <c r="W756" s="3">
        <f>VLOOKUP(Table1[[#This Row],[Status]],Auxiliar!$B$16:$D$23,3,0)*Table1[[#This Row],[Estimação (horas)]]</f>
        <v>0.5</v>
      </c>
      <c r="X756" s="3"/>
    </row>
    <row r="757" spans="2:24" ht="17.399999999999999" hidden="1" customHeight="1">
      <c r="B757" s="3" t="s">
        <v>28</v>
      </c>
      <c r="C757" s="3" t="s">
        <v>301</v>
      </c>
      <c r="D757" s="3" t="s">
        <v>313</v>
      </c>
      <c r="E757" s="3" t="s">
        <v>38</v>
      </c>
      <c r="F757" s="3" t="s">
        <v>312</v>
      </c>
      <c r="G757" s="3" t="s">
        <v>305</v>
      </c>
      <c r="H757" s="63" t="str">
        <f>Table1[[#This Row],[Tabela]]&amp;Table1[[#This Row],[Campo]]</f>
        <v>modesg_out_empr_info_nfinorigem_flg_rsc_fsc_crnc</v>
      </c>
      <c r="I757" s="3" t="s">
        <v>479</v>
      </c>
      <c r="J757" s="45">
        <f>VLOOKUP(Table1[[#This Row],[Status]],Auxiliar!$B$16:$C$23,2,0)</f>
        <v>4</v>
      </c>
      <c r="K757" s="3" t="s">
        <v>1141</v>
      </c>
      <c r="L757" s="3" t="s">
        <v>1144</v>
      </c>
      <c r="M757" s="22" t="s">
        <v>1145</v>
      </c>
      <c r="N757" s="53">
        <v>45561</v>
      </c>
      <c r="O757" s="22">
        <f>INDEX(Auxiliar!$D$5:$F$13,MATCH(Table1[[#This Row],[Tipologia_Testes]],Auxiliar!$B$5:$B$13,0),MATCH(Table1[[#This Row],[Complexidade]],Auxiliar!$D$4:$F$4,0))</f>
        <v>0.1</v>
      </c>
      <c r="P757" s="3"/>
      <c r="Q757" s="3"/>
      <c r="R757" s="173">
        <v>45561</v>
      </c>
      <c r="S757" s="173"/>
      <c r="T757" s="173">
        <v>45561</v>
      </c>
      <c r="U757" s="173"/>
      <c r="V757" s="173"/>
      <c r="W757" s="3">
        <f>VLOOKUP(Table1[[#This Row],[Status]],Auxiliar!$B$16:$D$23,3,0)*Table1[[#This Row],[Estimação (horas)]]</f>
        <v>2.5000000000000001E-2</v>
      </c>
      <c r="X757" s="3"/>
    </row>
    <row r="758" spans="2:24" ht="17.399999999999999" hidden="1" customHeight="1">
      <c r="B758" s="3" t="s">
        <v>28</v>
      </c>
      <c r="C758" s="3" t="s">
        <v>301</v>
      </c>
      <c r="D758" s="3" t="s">
        <v>313</v>
      </c>
      <c r="E758" s="3" t="s">
        <v>38</v>
      </c>
      <c r="F758" s="3" t="s">
        <v>312</v>
      </c>
      <c r="G758" s="3" t="s">
        <v>306</v>
      </c>
      <c r="H758" s="63" t="str">
        <f>Table1[[#This Row],[Tabela]]&amp;Table1[[#This Row],[Campo]]</f>
        <v>modesg_out_empr_info_nfinorigem_scp1_emss</v>
      </c>
      <c r="I758" s="3" t="s">
        <v>177</v>
      </c>
      <c r="J758" s="45">
        <f>VLOOKUP(Table1[[#This Row],[Status]],Auxiliar!$B$16:$C$23,2,0)</f>
        <v>2</v>
      </c>
      <c r="K758" s="3" t="s">
        <v>1137</v>
      </c>
      <c r="L758" s="3" t="s">
        <v>1144</v>
      </c>
      <c r="M758" s="22" t="s">
        <v>1145</v>
      </c>
      <c r="N758" s="53">
        <v>45561</v>
      </c>
      <c r="O758" s="22">
        <f>INDEX(Auxiliar!$D$5:$F$13,MATCH(Table1[[#This Row],[Tipologia_Testes]],Auxiliar!$B$5:$B$13,0),MATCH(Table1[[#This Row],[Complexidade]],Auxiliar!$D$4:$F$4,0))</f>
        <v>2</v>
      </c>
      <c r="P758" s="3"/>
      <c r="Q758" s="3"/>
      <c r="R758" s="173">
        <v>45261</v>
      </c>
      <c r="S758" s="173"/>
      <c r="T758" s="173"/>
      <c r="U758" s="173"/>
      <c r="V758" s="173"/>
      <c r="W758" s="3">
        <f>VLOOKUP(Table1[[#This Row],[Status]],Auxiliar!$B$16:$D$23,3,0)*Table1[[#This Row],[Estimação (horas)]]</f>
        <v>1</v>
      </c>
      <c r="X758" s="3"/>
    </row>
    <row r="759" spans="2:24" ht="17.399999999999999" hidden="1" customHeight="1">
      <c r="B759" s="3" t="s">
        <v>28</v>
      </c>
      <c r="C759" s="3" t="s">
        <v>301</v>
      </c>
      <c r="D759" s="3" t="s">
        <v>313</v>
      </c>
      <c r="E759" s="3" t="s">
        <v>38</v>
      </c>
      <c r="F759" s="3" t="s">
        <v>312</v>
      </c>
      <c r="G759" s="3" t="s">
        <v>306</v>
      </c>
      <c r="H759" s="63" t="str">
        <f>Table1[[#This Row],[Tabela]]&amp;Table1[[#This Row],[Campo]]</f>
        <v>modesg_out_empr_info_nfinorigem_scp1_emss</v>
      </c>
      <c r="I759" s="3" t="s">
        <v>177</v>
      </c>
      <c r="J759" s="45">
        <f>VLOOKUP(Table1[[#This Row],[Status]],Auxiliar!$B$16:$C$23,2,0)</f>
        <v>2</v>
      </c>
      <c r="K759" s="3" t="s">
        <v>1138</v>
      </c>
      <c r="L759" s="3" t="s">
        <v>1144</v>
      </c>
      <c r="M759" s="22" t="s">
        <v>1145</v>
      </c>
      <c r="N759" s="53">
        <v>45561</v>
      </c>
      <c r="O759" s="22">
        <f>INDEX(Auxiliar!$D$5:$F$13,MATCH(Table1[[#This Row],[Tipologia_Testes]],Auxiliar!$B$5:$B$13,0),MATCH(Table1[[#This Row],[Complexidade]],Auxiliar!$D$4:$F$4,0))</f>
        <v>2</v>
      </c>
      <c r="P759" s="3" t="s">
        <v>1883</v>
      </c>
      <c r="Q759" s="3"/>
      <c r="R759" s="173"/>
      <c r="S759" s="173"/>
      <c r="T759" s="173"/>
      <c r="U759" s="173"/>
      <c r="V759" s="173"/>
      <c r="W759" s="3">
        <f>VLOOKUP(Table1[[#This Row],[Status]],Auxiliar!$B$16:$D$23,3,0)*Table1[[#This Row],[Estimação (horas)]]</f>
        <v>1</v>
      </c>
      <c r="X759" s="3"/>
    </row>
    <row r="760" spans="2:24" ht="17.399999999999999" hidden="1" customHeight="1">
      <c r="B760" s="3" t="s">
        <v>28</v>
      </c>
      <c r="C760" s="3" t="s">
        <v>301</v>
      </c>
      <c r="D760" s="3" t="s">
        <v>313</v>
      </c>
      <c r="E760" s="3" t="s">
        <v>38</v>
      </c>
      <c r="F760" s="3" t="s">
        <v>312</v>
      </c>
      <c r="G760" s="3" t="s">
        <v>306</v>
      </c>
      <c r="H760" s="63" t="str">
        <f>Table1[[#This Row],[Tabela]]&amp;Table1[[#This Row],[Campo]]</f>
        <v>modesg_out_empr_info_nfinorigem_scp1_emss</v>
      </c>
      <c r="I760" s="3" t="s">
        <v>177</v>
      </c>
      <c r="J760" s="45">
        <f>VLOOKUP(Table1[[#This Row],[Status]],Auxiliar!$B$16:$C$23,2,0)</f>
        <v>2</v>
      </c>
      <c r="K760" s="3" t="s">
        <v>1141</v>
      </c>
      <c r="L760" s="3" t="s">
        <v>1144</v>
      </c>
      <c r="M760" s="22" t="s">
        <v>1145</v>
      </c>
      <c r="N760" s="53">
        <v>45561</v>
      </c>
      <c r="O760" s="22">
        <f>INDEX(Auxiliar!$D$5:$F$13,MATCH(Table1[[#This Row],[Tipologia_Testes]],Auxiliar!$B$5:$B$13,0),MATCH(Table1[[#This Row],[Complexidade]],Auxiliar!$D$4:$F$4,0))</f>
        <v>0.1</v>
      </c>
      <c r="P760" s="3" t="s">
        <v>1883</v>
      </c>
      <c r="Q760" s="3"/>
      <c r="R760" s="173"/>
      <c r="S760" s="173"/>
      <c r="T760" s="173"/>
      <c r="U760" s="173"/>
      <c r="V760" s="173"/>
      <c r="W760" s="3">
        <f>VLOOKUP(Table1[[#This Row],[Status]],Auxiliar!$B$16:$D$23,3,0)*Table1[[#This Row],[Estimação (horas)]]</f>
        <v>0.05</v>
      </c>
      <c r="X760" s="3"/>
    </row>
    <row r="761" spans="2:24" ht="17.399999999999999" hidden="1" customHeight="1">
      <c r="B761" s="3" t="s">
        <v>28</v>
      </c>
      <c r="C761" s="3" t="s">
        <v>301</v>
      </c>
      <c r="D761" s="3" t="s">
        <v>313</v>
      </c>
      <c r="E761" s="3" t="s">
        <v>38</v>
      </c>
      <c r="F761" s="3" t="s">
        <v>312</v>
      </c>
      <c r="G761" s="3" t="s">
        <v>307</v>
      </c>
      <c r="H761" s="63" t="str">
        <f>Table1[[#This Row],[Tabela]]&amp;Table1[[#This Row],[Campo]]</f>
        <v>modesg_out_empr_info_nfinorigem_scp2_emss</v>
      </c>
      <c r="I761" s="3" t="s">
        <v>177</v>
      </c>
      <c r="J761" s="45">
        <f>VLOOKUP(Table1[[#This Row],[Status]],Auxiliar!$B$16:$C$23,2,0)</f>
        <v>2</v>
      </c>
      <c r="K761" s="3" t="s">
        <v>1137</v>
      </c>
      <c r="L761" s="3" t="s">
        <v>1144</v>
      </c>
      <c r="M761" s="22" t="s">
        <v>1145</v>
      </c>
      <c r="N761" s="53">
        <v>45561</v>
      </c>
      <c r="O761" s="22">
        <f>INDEX(Auxiliar!$D$5:$F$13,MATCH(Table1[[#This Row],[Tipologia_Testes]],Auxiliar!$B$5:$B$13,0),MATCH(Table1[[#This Row],[Complexidade]],Auxiliar!$D$4:$F$4,0))</f>
        <v>2</v>
      </c>
      <c r="P761" s="3" t="s">
        <v>1883</v>
      </c>
      <c r="Q761" s="3"/>
      <c r="R761" s="173"/>
      <c r="S761" s="173"/>
      <c r="T761" s="173"/>
      <c r="U761" s="173"/>
      <c r="V761" s="173"/>
      <c r="W761" s="3">
        <f>VLOOKUP(Table1[[#This Row],[Status]],Auxiliar!$B$16:$D$23,3,0)*Table1[[#This Row],[Estimação (horas)]]</f>
        <v>1</v>
      </c>
      <c r="X761" s="3"/>
    </row>
    <row r="762" spans="2:24" ht="17.399999999999999" hidden="1" customHeight="1">
      <c r="B762" s="3" t="s">
        <v>28</v>
      </c>
      <c r="C762" s="3" t="s">
        <v>301</v>
      </c>
      <c r="D762" s="3" t="s">
        <v>313</v>
      </c>
      <c r="E762" s="3" t="s">
        <v>38</v>
      </c>
      <c r="F762" s="3" t="s">
        <v>312</v>
      </c>
      <c r="G762" s="3" t="s">
        <v>307</v>
      </c>
      <c r="H762" s="63" t="str">
        <f>Table1[[#This Row],[Tabela]]&amp;Table1[[#This Row],[Campo]]</f>
        <v>modesg_out_empr_info_nfinorigem_scp2_emss</v>
      </c>
      <c r="I762" s="3" t="s">
        <v>177</v>
      </c>
      <c r="J762" s="45">
        <f>VLOOKUP(Table1[[#This Row],[Status]],Auxiliar!$B$16:$C$23,2,0)</f>
        <v>2</v>
      </c>
      <c r="K762" s="3" t="s">
        <v>1138</v>
      </c>
      <c r="L762" s="3" t="s">
        <v>1144</v>
      </c>
      <c r="M762" s="22" t="s">
        <v>1145</v>
      </c>
      <c r="N762" s="53">
        <v>45561</v>
      </c>
      <c r="O762" s="22">
        <f>INDEX(Auxiliar!$D$5:$F$13,MATCH(Table1[[#This Row],[Tipologia_Testes]],Auxiliar!$B$5:$B$13,0),MATCH(Table1[[#This Row],[Complexidade]],Auxiliar!$D$4:$F$4,0))</f>
        <v>2</v>
      </c>
      <c r="P762" s="3" t="s">
        <v>1883</v>
      </c>
      <c r="Q762" s="3"/>
      <c r="R762" s="173"/>
      <c r="S762" s="173"/>
      <c r="T762" s="173"/>
      <c r="U762" s="173"/>
      <c r="V762" s="173"/>
      <c r="W762" s="3">
        <f>VLOOKUP(Table1[[#This Row],[Status]],Auxiliar!$B$16:$D$23,3,0)*Table1[[#This Row],[Estimação (horas)]]</f>
        <v>1</v>
      </c>
      <c r="X762" s="3"/>
    </row>
    <row r="763" spans="2:24" ht="17.399999999999999" hidden="1" customHeight="1">
      <c r="B763" s="3" t="s">
        <v>28</v>
      </c>
      <c r="C763" s="3" t="s">
        <v>301</v>
      </c>
      <c r="D763" s="3" t="s">
        <v>313</v>
      </c>
      <c r="E763" s="3" t="s">
        <v>38</v>
      </c>
      <c r="F763" s="3" t="s">
        <v>312</v>
      </c>
      <c r="G763" s="3" t="s">
        <v>307</v>
      </c>
      <c r="H763" s="63" t="str">
        <f>Table1[[#This Row],[Tabela]]&amp;Table1[[#This Row],[Campo]]</f>
        <v>modesg_out_empr_info_nfinorigem_scp2_emss</v>
      </c>
      <c r="I763" s="3" t="s">
        <v>177</v>
      </c>
      <c r="J763" s="45">
        <f>VLOOKUP(Table1[[#This Row],[Status]],Auxiliar!$B$16:$C$23,2,0)</f>
        <v>2</v>
      </c>
      <c r="K763" s="3" t="s">
        <v>1141</v>
      </c>
      <c r="L763" s="3" t="s">
        <v>1144</v>
      </c>
      <c r="M763" s="22" t="s">
        <v>1145</v>
      </c>
      <c r="N763" s="53">
        <v>45561</v>
      </c>
      <c r="O763" s="22">
        <f>INDEX(Auxiliar!$D$5:$F$13,MATCH(Table1[[#This Row],[Tipologia_Testes]],Auxiliar!$B$5:$B$13,0),MATCH(Table1[[#This Row],[Complexidade]],Auxiliar!$D$4:$F$4,0))</f>
        <v>0.1</v>
      </c>
      <c r="P763" s="3" t="s">
        <v>1883</v>
      </c>
      <c r="Q763" s="3"/>
      <c r="R763" s="173"/>
      <c r="S763" s="173"/>
      <c r="T763" s="173"/>
      <c r="U763" s="173"/>
      <c r="V763" s="173"/>
      <c r="W763" s="3">
        <f>VLOOKUP(Table1[[#This Row],[Status]],Auxiliar!$B$16:$D$23,3,0)*Table1[[#This Row],[Estimação (horas)]]</f>
        <v>0.05</v>
      </c>
      <c r="X763" s="3"/>
    </row>
    <row r="764" spans="2:24" ht="17.399999999999999" hidden="1" customHeight="1">
      <c r="B764" s="3" t="s">
        <v>28</v>
      </c>
      <c r="C764" s="3" t="s">
        <v>301</v>
      </c>
      <c r="D764" s="3" t="s">
        <v>313</v>
      </c>
      <c r="E764" s="3" t="s">
        <v>38</v>
      </c>
      <c r="F764" s="3" t="s">
        <v>312</v>
      </c>
      <c r="G764" s="3" t="s">
        <v>308</v>
      </c>
      <c r="H764" s="63" t="str">
        <f>Table1[[#This Row],[Tabela]]&amp;Table1[[#This Row],[Campo]]</f>
        <v>modesg_out_empr_info_nfinorigem_scp3_emss</v>
      </c>
      <c r="I764" s="3" t="s">
        <v>177</v>
      </c>
      <c r="J764" s="45">
        <f>VLOOKUP(Table1[[#This Row],[Status]],Auxiliar!$B$16:$C$23,2,0)</f>
        <v>2</v>
      </c>
      <c r="K764" s="3" t="s">
        <v>1137</v>
      </c>
      <c r="L764" s="3" t="s">
        <v>1144</v>
      </c>
      <c r="M764" s="22" t="s">
        <v>1145</v>
      </c>
      <c r="N764" s="53">
        <v>45561</v>
      </c>
      <c r="O764" s="22">
        <f>INDEX(Auxiliar!$D$5:$F$13,MATCH(Table1[[#This Row],[Tipologia_Testes]],Auxiliar!$B$5:$B$13,0),MATCH(Table1[[#This Row],[Complexidade]],Auxiliar!$D$4:$F$4,0))</f>
        <v>2</v>
      </c>
      <c r="P764" s="3" t="s">
        <v>1883</v>
      </c>
      <c r="Q764" s="3"/>
      <c r="R764" s="173"/>
      <c r="S764" s="173"/>
      <c r="T764" s="173"/>
      <c r="U764" s="173"/>
      <c r="V764" s="173"/>
      <c r="W764" s="3">
        <f>VLOOKUP(Table1[[#This Row],[Status]],Auxiliar!$B$16:$D$23,3,0)*Table1[[#This Row],[Estimação (horas)]]</f>
        <v>1</v>
      </c>
      <c r="X764" s="3"/>
    </row>
    <row r="765" spans="2:24" ht="17.399999999999999" hidden="1" customHeight="1">
      <c r="B765" s="3" t="s">
        <v>28</v>
      </c>
      <c r="C765" s="3" t="s">
        <v>301</v>
      </c>
      <c r="D765" s="3" t="s">
        <v>313</v>
      </c>
      <c r="E765" s="3" t="s">
        <v>38</v>
      </c>
      <c r="F765" s="3" t="s">
        <v>312</v>
      </c>
      <c r="G765" s="3" t="s">
        <v>308</v>
      </c>
      <c r="H765" s="63" t="str">
        <f>Table1[[#This Row],[Tabela]]&amp;Table1[[#This Row],[Campo]]</f>
        <v>modesg_out_empr_info_nfinorigem_scp3_emss</v>
      </c>
      <c r="I765" s="3" t="s">
        <v>177</v>
      </c>
      <c r="J765" s="45">
        <f>VLOOKUP(Table1[[#This Row],[Status]],Auxiliar!$B$16:$C$23,2,0)</f>
        <v>2</v>
      </c>
      <c r="K765" s="3" t="s">
        <v>1138</v>
      </c>
      <c r="L765" s="3" t="s">
        <v>1144</v>
      </c>
      <c r="M765" s="22" t="s">
        <v>1145</v>
      </c>
      <c r="N765" s="53">
        <v>45561</v>
      </c>
      <c r="O765" s="22">
        <f>INDEX(Auxiliar!$D$5:$F$13,MATCH(Table1[[#This Row],[Tipologia_Testes]],Auxiliar!$B$5:$B$13,0),MATCH(Table1[[#This Row],[Complexidade]],Auxiliar!$D$4:$F$4,0))</f>
        <v>2</v>
      </c>
      <c r="P765" s="3" t="s">
        <v>1883</v>
      </c>
      <c r="Q765" s="3"/>
      <c r="R765" s="173"/>
      <c r="S765" s="173"/>
      <c r="T765" s="173"/>
      <c r="U765" s="173"/>
      <c r="V765" s="173"/>
      <c r="W765" s="3">
        <f>VLOOKUP(Table1[[#This Row],[Status]],Auxiliar!$B$16:$D$23,3,0)*Table1[[#This Row],[Estimação (horas)]]</f>
        <v>1</v>
      </c>
      <c r="X765" s="3"/>
    </row>
    <row r="766" spans="2:24" ht="17.399999999999999" hidden="1" customHeight="1">
      <c r="B766" s="3" t="s">
        <v>28</v>
      </c>
      <c r="C766" s="3" t="s">
        <v>301</v>
      </c>
      <c r="D766" s="3" t="s">
        <v>313</v>
      </c>
      <c r="E766" s="3" t="s">
        <v>38</v>
      </c>
      <c r="F766" s="3" t="s">
        <v>312</v>
      </c>
      <c r="G766" s="3" t="s">
        <v>308</v>
      </c>
      <c r="H766" s="63" t="str">
        <f>Table1[[#This Row],[Tabela]]&amp;Table1[[#This Row],[Campo]]</f>
        <v>modesg_out_empr_info_nfinorigem_scp3_emss</v>
      </c>
      <c r="I766" s="3" t="s">
        <v>177</v>
      </c>
      <c r="J766" s="45">
        <f>VLOOKUP(Table1[[#This Row],[Status]],Auxiliar!$B$16:$C$23,2,0)</f>
        <v>2</v>
      </c>
      <c r="K766" s="3" t="s">
        <v>1141</v>
      </c>
      <c r="L766" s="3" t="s">
        <v>1144</v>
      </c>
      <c r="M766" s="22" t="s">
        <v>1145</v>
      </c>
      <c r="N766" s="53">
        <v>45561</v>
      </c>
      <c r="O766" s="22">
        <f>INDEX(Auxiliar!$D$5:$F$13,MATCH(Table1[[#This Row],[Tipologia_Testes]],Auxiliar!$B$5:$B$13,0),MATCH(Table1[[#This Row],[Complexidade]],Auxiliar!$D$4:$F$4,0))</f>
        <v>0.1</v>
      </c>
      <c r="P766" s="3" t="s">
        <v>1883</v>
      </c>
      <c r="Q766" s="3"/>
      <c r="R766" s="173"/>
      <c r="S766" s="173"/>
      <c r="T766" s="173"/>
      <c r="U766" s="173"/>
      <c r="V766" s="173"/>
      <c r="W766" s="3">
        <f>VLOOKUP(Table1[[#This Row],[Status]],Auxiliar!$B$16:$D$23,3,0)*Table1[[#This Row],[Estimação (horas)]]</f>
        <v>0.05</v>
      </c>
      <c r="X766" s="3"/>
    </row>
    <row r="767" spans="2:24" ht="17.399999999999999" hidden="1" customHeight="1">
      <c r="B767" s="3" t="s">
        <v>28</v>
      </c>
      <c r="C767" s="3" t="s">
        <v>301</v>
      </c>
      <c r="D767" s="3" t="s">
        <v>313</v>
      </c>
      <c r="E767" s="3" t="s">
        <v>38</v>
      </c>
      <c r="F767" s="3" t="s">
        <v>312</v>
      </c>
      <c r="G767" s="3" t="s">
        <v>73</v>
      </c>
      <c r="H767" s="63" t="str">
        <f>Table1[[#This Row],[Tabela]]&amp;Table1[[#This Row],[Campo]]</f>
        <v>modesg_out_empr_info_nfinref_date</v>
      </c>
      <c r="I767" s="4" t="s">
        <v>477</v>
      </c>
      <c r="J767" s="60">
        <f>VLOOKUP(Table1[[#This Row],[Status]],Auxiliar!$B$16:$C$23,2,0)</f>
        <v>1</v>
      </c>
      <c r="K767" s="3" t="s">
        <v>1137</v>
      </c>
      <c r="L767" s="3" t="s">
        <v>1144</v>
      </c>
      <c r="M767" s="22" t="s">
        <v>1145</v>
      </c>
      <c r="N767" s="53">
        <v>45485</v>
      </c>
      <c r="O767" s="22">
        <f>INDEX(Auxiliar!$D$5:$F$13,MATCH(Table1[[#This Row],[Tipologia_Testes]],Auxiliar!$B$5:$B$13,0),MATCH(Table1[[#This Row],[Complexidade]],Auxiliar!$D$4:$F$4,0))</f>
        <v>2</v>
      </c>
      <c r="P767" s="3"/>
      <c r="Q767" s="3" t="s">
        <v>1170</v>
      </c>
      <c r="R767" s="173">
        <v>45261</v>
      </c>
      <c r="S767" s="173"/>
      <c r="T767" s="173"/>
      <c r="U767" s="173"/>
      <c r="V767" s="173"/>
      <c r="W767" s="3">
        <f>VLOOKUP(Table1[[#This Row],[Status]],Auxiliar!$B$16:$D$23,3,0)*Table1[[#This Row],[Estimação (horas)]]</f>
        <v>2</v>
      </c>
      <c r="X767" s="3"/>
    </row>
    <row r="768" spans="2:24" ht="17.399999999999999" hidden="1" customHeight="1">
      <c r="B768" s="3" t="s">
        <v>28</v>
      </c>
      <c r="C768" s="3" t="s">
        <v>301</v>
      </c>
      <c r="D768" s="3" t="s">
        <v>313</v>
      </c>
      <c r="E768" s="3" t="s">
        <v>38</v>
      </c>
      <c r="F768" s="3" t="s">
        <v>312</v>
      </c>
      <c r="G768" s="3" t="s">
        <v>73</v>
      </c>
      <c r="H768" s="63" t="str">
        <f>Table1[[#This Row],[Tabela]]&amp;Table1[[#This Row],[Campo]]</f>
        <v>modesg_out_empr_info_nfinref_date</v>
      </c>
      <c r="I768" s="4" t="s">
        <v>477</v>
      </c>
      <c r="J768" s="60">
        <f>VLOOKUP(Table1[[#This Row],[Status]],Auxiliar!$B$16:$C$23,2,0)</f>
        <v>1</v>
      </c>
      <c r="K768" s="3" t="s">
        <v>1138</v>
      </c>
      <c r="L768" s="3" t="s">
        <v>1144</v>
      </c>
      <c r="M768" s="22" t="s">
        <v>1145</v>
      </c>
      <c r="N768" s="53">
        <v>45485</v>
      </c>
      <c r="O768" s="22">
        <f>INDEX(Auxiliar!$D$5:$F$13,MATCH(Table1[[#This Row],[Tipologia_Testes]],Auxiliar!$B$5:$B$13,0),MATCH(Table1[[#This Row],[Complexidade]],Auxiliar!$D$4:$F$4,0))</f>
        <v>2</v>
      </c>
      <c r="P768" s="3"/>
      <c r="Q768" s="3" t="s">
        <v>1170</v>
      </c>
      <c r="R768" s="173">
        <v>45261</v>
      </c>
      <c r="S768" s="173"/>
      <c r="T768" s="173"/>
      <c r="U768" s="173"/>
      <c r="V768" s="173"/>
      <c r="W768" s="3">
        <f>VLOOKUP(Table1[[#This Row],[Status]],Auxiliar!$B$16:$D$23,3,0)*Table1[[#This Row],[Estimação (horas)]]</f>
        <v>2</v>
      </c>
      <c r="X768" s="3"/>
    </row>
    <row r="769" spans="2:24" ht="17.399999999999999" hidden="1" customHeight="1">
      <c r="B769" s="3" t="s">
        <v>28</v>
      </c>
      <c r="C769" s="3" t="s">
        <v>301</v>
      </c>
      <c r="D769" s="3" t="s">
        <v>313</v>
      </c>
      <c r="E769" s="3" t="s">
        <v>38</v>
      </c>
      <c r="F769" s="3" t="s">
        <v>312</v>
      </c>
      <c r="G769" s="3" t="s">
        <v>73</v>
      </c>
      <c r="H769" s="63" t="str">
        <f>Table1[[#This Row],[Tabela]]&amp;Table1[[#This Row],[Campo]]</f>
        <v>modesg_out_empr_info_nfinref_date</v>
      </c>
      <c r="I769" s="4" t="s">
        <v>477</v>
      </c>
      <c r="J769" s="60">
        <f>VLOOKUP(Table1[[#This Row],[Status]],Auxiliar!$B$16:$C$23,2,0)</f>
        <v>1</v>
      </c>
      <c r="K769" s="3" t="s">
        <v>1141</v>
      </c>
      <c r="L769" s="3" t="s">
        <v>1144</v>
      </c>
      <c r="M769" s="22" t="s">
        <v>1145</v>
      </c>
      <c r="N769" s="53">
        <v>45485</v>
      </c>
      <c r="O769" s="22">
        <f>INDEX(Auxiliar!$D$5:$F$13,MATCH(Table1[[#This Row],[Tipologia_Testes]],Auxiliar!$B$5:$B$13,0),MATCH(Table1[[#This Row],[Complexidade]],Auxiliar!$D$4:$F$4,0))</f>
        <v>0.1</v>
      </c>
      <c r="P769" s="3"/>
      <c r="Q769" s="3" t="s">
        <v>1170</v>
      </c>
      <c r="R769" s="173">
        <v>45261</v>
      </c>
      <c r="S769" s="173"/>
      <c r="T769" s="173"/>
      <c r="U769" s="173"/>
      <c r="V769" s="173"/>
      <c r="W769" s="3">
        <f>VLOOKUP(Table1[[#This Row],[Status]],Auxiliar!$B$16:$D$23,3,0)*Table1[[#This Row],[Estimação (horas)]]</f>
        <v>0.1</v>
      </c>
      <c r="X769" s="3"/>
    </row>
    <row r="770" spans="2:24" ht="17.399999999999999" hidden="1" customHeight="1">
      <c r="B770" s="3" t="s">
        <v>28</v>
      </c>
      <c r="C770" s="3" t="s">
        <v>301</v>
      </c>
      <c r="D770" s="3" t="s">
        <v>313</v>
      </c>
      <c r="E770" s="3" t="s">
        <v>38</v>
      </c>
      <c r="F770" s="3" t="s">
        <v>312</v>
      </c>
      <c r="G770" s="3" t="s">
        <v>276</v>
      </c>
      <c r="H770" s="63" t="str">
        <f>Table1[[#This Row],[Tabela]]&amp;Table1[[#This Row],[Campo]]</f>
        <v>modesg_out_empr_info_nfinscp1_emss</v>
      </c>
      <c r="I770" s="3" t="s">
        <v>177</v>
      </c>
      <c r="J770" s="45">
        <f>VLOOKUP(Table1[[#This Row],[Status]],Auxiliar!$B$16:$C$23,2,0)</f>
        <v>2</v>
      </c>
      <c r="K770" s="3" t="s">
        <v>1137</v>
      </c>
      <c r="L770" s="3" t="s">
        <v>1144</v>
      </c>
      <c r="M770" s="22" t="s">
        <v>1155</v>
      </c>
      <c r="N770" s="53">
        <v>45561</v>
      </c>
      <c r="O770" s="22">
        <f>INDEX(Auxiliar!$D$5:$F$13,MATCH(Table1[[#This Row],[Tipologia_Testes]],Auxiliar!$B$5:$B$13,0),MATCH(Table1[[#This Row],[Complexidade]],Auxiliar!$D$4:$F$4,0))</f>
        <v>4</v>
      </c>
      <c r="P770" s="3" t="s">
        <v>1883</v>
      </c>
      <c r="Q770" s="3"/>
      <c r="R770" s="173"/>
      <c r="S770" s="173"/>
      <c r="T770" s="173"/>
      <c r="U770" s="173"/>
      <c r="V770" s="173"/>
      <c r="W770" s="3">
        <f>VLOOKUP(Table1[[#This Row],[Status]],Auxiliar!$B$16:$D$23,3,0)*Table1[[#This Row],[Estimação (horas)]]</f>
        <v>2</v>
      </c>
      <c r="X770" s="3"/>
    </row>
    <row r="771" spans="2:24" ht="17.399999999999999" hidden="1" customHeight="1">
      <c r="B771" s="3" t="s">
        <v>28</v>
      </c>
      <c r="C771" s="3" t="s">
        <v>301</v>
      </c>
      <c r="D771" s="3" t="s">
        <v>313</v>
      </c>
      <c r="E771" s="3" t="s">
        <v>38</v>
      </c>
      <c r="F771" s="3" t="s">
        <v>312</v>
      </c>
      <c r="G771" s="3" t="s">
        <v>276</v>
      </c>
      <c r="H771" s="63" t="str">
        <f>Table1[[#This Row],[Tabela]]&amp;Table1[[#This Row],[Campo]]</f>
        <v>modesg_out_empr_info_nfinscp1_emss</v>
      </c>
      <c r="I771" s="3" t="s">
        <v>177</v>
      </c>
      <c r="J771" s="45">
        <f>VLOOKUP(Table1[[#This Row],[Status]],Auxiliar!$B$16:$C$23,2,0)</f>
        <v>2</v>
      </c>
      <c r="K771" s="3" t="s">
        <v>1138</v>
      </c>
      <c r="L771" s="3" t="s">
        <v>1144</v>
      </c>
      <c r="M771" s="22" t="s">
        <v>1155</v>
      </c>
      <c r="N771" s="53">
        <v>45561</v>
      </c>
      <c r="O771" s="22">
        <f>INDEX(Auxiliar!$D$5:$F$13,MATCH(Table1[[#This Row],[Tipologia_Testes]],Auxiliar!$B$5:$B$13,0),MATCH(Table1[[#This Row],[Complexidade]],Auxiliar!$D$4:$F$4,0))</f>
        <v>4</v>
      </c>
      <c r="P771" s="3" t="s">
        <v>1883</v>
      </c>
      <c r="Q771" s="3"/>
      <c r="R771" s="173"/>
      <c r="S771" s="173"/>
      <c r="T771" s="173"/>
      <c r="U771" s="173"/>
      <c r="V771" s="173"/>
      <c r="W771" s="3">
        <f>VLOOKUP(Table1[[#This Row],[Status]],Auxiliar!$B$16:$D$23,3,0)*Table1[[#This Row],[Estimação (horas)]]</f>
        <v>2</v>
      </c>
      <c r="X771" s="3"/>
    </row>
    <row r="772" spans="2:24" ht="17.399999999999999" hidden="1" customHeight="1">
      <c r="B772" s="3" t="s">
        <v>28</v>
      </c>
      <c r="C772" s="3" t="s">
        <v>301</v>
      </c>
      <c r="D772" s="3" t="s">
        <v>313</v>
      </c>
      <c r="E772" s="3" t="s">
        <v>38</v>
      </c>
      <c r="F772" s="3" t="s">
        <v>312</v>
      </c>
      <c r="G772" s="3" t="s">
        <v>276</v>
      </c>
      <c r="H772" s="63" t="str">
        <f>Table1[[#This Row],[Tabela]]&amp;Table1[[#This Row],[Campo]]</f>
        <v>modesg_out_empr_info_nfinscp1_emss</v>
      </c>
      <c r="I772" s="3" t="s">
        <v>177</v>
      </c>
      <c r="J772" s="45">
        <f>VLOOKUP(Table1[[#This Row],[Status]],Auxiliar!$B$16:$C$23,2,0)</f>
        <v>2</v>
      </c>
      <c r="K772" s="3" t="s">
        <v>1141</v>
      </c>
      <c r="L772" s="3" t="s">
        <v>1144</v>
      </c>
      <c r="M772" s="22" t="s">
        <v>1155</v>
      </c>
      <c r="N772" s="53">
        <v>45561</v>
      </c>
      <c r="O772" s="22">
        <f>INDEX(Auxiliar!$D$5:$F$13,MATCH(Table1[[#This Row],[Tipologia_Testes]],Auxiliar!$B$5:$B$13,0),MATCH(Table1[[#This Row],[Complexidade]],Auxiliar!$D$4:$F$4,0))</f>
        <v>0.1</v>
      </c>
      <c r="P772" s="3" t="s">
        <v>1883</v>
      </c>
      <c r="Q772" s="3"/>
      <c r="R772" s="173"/>
      <c r="S772" s="173"/>
      <c r="T772" s="173"/>
      <c r="U772" s="173"/>
      <c r="V772" s="173"/>
      <c r="W772" s="3">
        <f>VLOOKUP(Table1[[#This Row],[Status]],Auxiliar!$B$16:$D$23,3,0)*Table1[[#This Row],[Estimação (horas)]]</f>
        <v>0.05</v>
      </c>
      <c r="X772" s="3"/>
    </row>
    <row r="773" spans="2:24" ht="17.399999999999999" hidden="1" customHeight="1">
      <c r="B773" s="3" t="s">
        <v>28</v>
      </c>
      <c r="C773" s="3" t="s">
        <v>301</v>
      </c>
      <c r="D773" s="3" t="s">
        <v>313</v>
      </c>
      <c r="E773" s="3" t="s">
        <v>38</v>
      </c>
      <c r="F773" s="3" t="s">
        <v>312</v>
      </c>
      <c r="G773" s="3" t="s">
        <v>277</v>
      </c>
      <c r="H773" s="63" t="str">
        <f>Table1[[#This Row],[Tabela]]&amp;Table1[[#This Row],[Campo]]</f>
        <v>modesg_out_empr_info_nfinscp2_emss</v>
      </c>
      <c r="I773" s="3" t="s">
        <v>177</v>
      </c>
      <c r="J773" s="45">
        <f>VLOOKUP(Table1[[#This Row],[Status]],Auxiliar!$B$16:$C$23,2,0)</f>
        <v>2</v>
      </c>
      <c r="K773" s="3" t="s">
        <v>1137</v>
      </c>
      <c r="L773" s="3" t="s">
        <v>1144</v>
      </c>
      <c r="M773" s="22" t="s">
        <v>1155</v>
      </c>
      <c r="N773" s="53">
        <v>45561</v>
      </c>
      <c r="O773" s="22">
        <f>INDEX(Auxiliar!$D$5:$F$13,MATCH(Table1[[#This Row],[Tipologia_Testes]],Auxiliar!$B$5:$B$13,0),MATCH(Table1[[#This Row],[Complexidade]],Auxiliar!$D$4:$F$4,0))</f>
        <v>4</v>
      </c>
      <c r="P773" s="3" t="s">
        <v>1883</v>
      </c>
      <c r="Q773" s="3"/>
      <c r="R773" s="173"/>
      <c r="S773" s="173"/>
      <c r="T773" s="173"/>
      <c r="U773" s="173"/>
      <c r="V773" s="173"/>
      <c r="W773" s="3">
        <f>VLOOKUP(Table1[[#This Row],[Status]],Auxiliar!$B$16:$D$23,3,0)*Table1[[#This Row],[Estimação (horas)]]</f>
        <v>2</v>
      </c>
      <c r="X773" s="3"/>
    </row>
    <row r="774" spans="2:24" ht="17.399999999999999" hidden="1" customHeight="1">
      <c r="B774" s="3" t="s">
        <v>28</v>
      </c>
      <c r="C774" s="3" t="s">
        <v>301</v>
      </c>
      <c r="D774" s="3" t="s">
        <v>313</v>
      </c>
      <c r="E774" s="3" t="s">
        <v>38</v>
      </c>
      <c r="F774" s="3" t="s">
        <v>312</v>
      </c>
      <c r="G774" s="3" t="s">
        <v>277</v>
      </c>
      <c r="H774" s="63" t="str">
        <f>Table1[[#This Row],[Tabela]]&amp;Table1[[#This Row],[Campo]]</f>
        <v>modesg_out_empr_info_nfinscp2_emss</v>
      </c>
      <c r="I774" s="3" t="s">
        <v>177</v>
      </c>
      <c r="J774" s="45">
        <f>VLOOKUP(Table1[[#This Row],[Status]],Auxiliar!$B$16:$C$23,2,0)</f>
        <v>2</v>
      </c>
      <c r="K774" s="3" t="s">
        <v>1138</v>
      </c>
      <c r="L774" s="3" t="s">
        <v>1144</v>
      </c>
      <c r="M774" s="22" t="s">
        <v>1155</v>
      </c>
      <c r="N774" s="53">
        <v>45561</v>
      </c>
      <c r="O774" s="22">
        <f>INDEX(Auxiliar!$D$5:$F$13,MATCH(Table1[[#This Row],[Tipologia_Testes]],Auxiliar!$B$5:$B$13,0),MATCH(Table1[[#This Row],[Complexidade]],Auxiliar!$D$4:$F$4,0))</f>
        <v>4</v>
      </c>
      <c r="P774" s="3" t="s">
        <v>1883</v>
      </c>
      <c r="Q774" s="3"/>
      <c r="R774" s="173"/>
      <c r="S774" s="173"/>
      <c r="T774" s="173"/>
      <c r="U774" s="173"/>
      <c r="V774" s="173"/>
      <c r="W774" s="3">
        <f>VLOOKUP(Table1[[#This Row],[Status]],Auxiliar!$B$16:$D$23,3,0)*Table1[[#This Row],[Estimação (horas)]]</f>
        <v>2</v>
      </c>
      <c r="X774" s="3"/>
    </row>
    <row r="775" spans="2:24" ht="17.399999999999999" hidden="1" customHeight="1">
      <c r="B775" s="3" t="s">
        <v>28</v>
      </c>
      <c r="C775" s="3" t="s">
        <v>301</v>
      </c>
      <c r="D775" s="3" t="s">
        <v>313</v>
      </c>
      <c r="E775" s="3" t="s">
        <v>38</v>
      </c>
      <c r="F775" s="3" t="s">
        <v>312</v>
      </c>
      <c r="G775" s="3" t="s">
        <v>277</v>
      </c>
      <c r="H775" s="63" t="str">
        <f>Table1[[#This Row],[Tabela]]&amp;Table1[[#This Row],[Campo]]</f>
        <v>modesg_out_empr_info_nfinscp2_emss</v>
      </c>
      <c r="I775" s="3" t="s">
        <v>177</v>
      </c>
      <c r="J775" s="45">
        <f>VLOOKUP(Table1[[#This Row],[Status]],Auxiliar!$B$16:$C$23,2,0)</f>
        <v>2</v>
      </c>
      <c r="K775" s="3" t="s">
        <v>1141</v>
      </c>
      <c r="L775" s="3" t="s">
        <v>1144</v>
      </c>
      <c r="M775" s="22" t="s">
        <v>1155</v>
      </c>
      <c r="N775" s="53">
        <v>45561</v>
      </c>
      <c r="O775" s="22">
        <f>INDEX(Auxiliar!$D$5:$F$13,MATCH(Table1[[#This Row],[Tipologia_Testes]],Auxiliar!$B$5:$B$13,0),MATCH(Table1[[#This Row],[Complexidade]],Auxiliar!$D$4:$F$4,0))</f>
        <v>0.1</v>
      </c>
      <c r="P775" s="3" t="s">
        <v>1883</v>
      </c>
      <c r="Q775" s="3"/>
      <c r="R775" s="173"/>
      <c r="S775" s="173"/>
      <c r="T775" s="173"/>
      <c r="U775" s="173"/>
      <c r="V775" s="173"/>
      <c r="W775" s="3">
        <f>VLOOKUP(Table1[[#This Row],[Status]],Auxiliar!$B$16:$D$23,3,0)*Table1[[#This Row],[Estimação (horas)]]</f>
        <v>0.05</v>
      </c>
      <c r="X775" s="3"/>
    </row>
    <row r="776" spans="2:24" ht="17.399999999999999" hidden="1" customHeight="1">
      <c r="B776" s="3" t="s">
        <v>28</v>
      </c>
      <c r="C776" s="3" t="s">
        <v>301</v>
      </c>
      <c r="D776" s="3" t="s">
        <v>313</v>
      </c>
      <c r="E776" s="3" t="s">
        <v>38</v>
      </c>
      <c r="F776" s="3" t="s">
        <v>312</v>
      </c>
      <c r="G776" s="3" t="s">
        <v>278</v>
      </c>
      <c r="H776" s="63" t="str">
        <f>Table1[[#This Row],[Tabela]]&amp;Table1[[#This Row],[Campo]]</f>
        <v>modesg_out_empr_info_nfinscp3_emss</v>
      </c>
      <c r="I776" s="3" t="s">
        <v>177</v>
      </c>
      <c r="J776" s="45">
        <f>VLOOKUP(Table1[[#This Row],[Status]],Auxiliar!$B$16:$C$23,2,0)</f>
        <v>2</v>
      </c>
      <c r="K776" s="3" t="s">
        <v>1137</v>
      </c>
      <c r="L776" s="3" t="s">
        <v>1144</v>
      </c>
      <c r="M776" s="22" t="s">
        <v>1155</v>
      </c>
      <c r="N776" s="53">
        <v>45561</v>
      </c>
      <c r="O776" s="22">
        <f>INDEX(Auxiliar!$D$5:$F$13,MATCH(Table1[[#This Row],[Tipologia_Testes]],Auxiliar!$B$5:$B$13,0),MATCH(Table1[[#This Row],[Complexidade]],Auxiliar!$D$4:$F$4,0))</f>
        <v>4</v>
      </c>
      <c r="P776" s="3" t="s">
        <v>1883</v>
      </c>
      <c r="Q776" s="3"/>
      <c r="R776" s="173"/>
      <c r="S776" s="173"/>
      <c r="T776" s="173"/>
      <c r="U776" s="173"/>
      <c r="V776" s="173"/>
      <c r="W776" s="3">
        <f>VLOOKUP(Table1[[#This Row],[Status]],Auxiliar!$B$16:$D$23,3,0)*Table1[[#This Row],[Estimação (horas)]]</f>
        <v>2</v>
      </c>
      <c r="X776" s="3"/>
    </row>
    <row r="777" spans="2:24" ht="17.399999999999999" hidden="1" customHeight="1">
      <c r="B777" s="3" t="s">
        <v>28</v>
      </c>
      <c r="C777" s="3" t="s">
        <v>301</v>
      </c>
      <c r="D777" s="3" t="s">
        <v>313</v>
      </c>
      <c r="E777" s="3" t="s">
        <v>38</v>
      </c>
      <c r="F777" s="3" t="s">
        <v>312</v>
      </c>
      <c r="G777" s="3" t="s">
        <v>278</v>
      </c>
      <c r="H777" s="63" t="str">
        <f>Table1[[#This Row],[Tabela]]&amp;Table1[[#This Row],[Campo]]</f>
        <v>modesg_out_empr_info_nfinscp3_emss</v>
      </c>
      <c r="I777" s="3" t="s">
        <v>177</v>
      </c>
      <c r="J777" s="45">
        <f>VLOOKUP(Table1[[#This Row],[Status]],Auxiliar!$B$16:$C$23,2,0)</f>
        <v>2</v>
      </c>
      <c r="K777" s="3" t="s">
        <v>1138</v>
      </c>
      <c r="L777" s="3" t="s">
        <v>1144</v>
      </c>
      <c r="M777" s="22" t="s">
        <v>1155</v>
      </c>
      <c r="N777" s="53">
        <v>45561</v>
      </c>
      <c r="O777" s="22">
        <f>INDEX(Auxiliar!$D$5:$F$13,MATCH(Table1[[#This Row],[Tipologia_Testes]],Auxiliar!$B$5:$B$13,0),MATCH(Table1[[#This Row],[Complexidade]],Auxiliar!$D$4:$F$4,0))</f>
        <v>4</v>
      </c>
      <c r="P777" s="3" t="s">
        <v>1883</v>
      </c>
      <c r="Q777" s="3"/>
      <c r="R777" s="173"/>
      <c r="S777" s="173"/>
      <c r="T777" s="173"/>
      <c r="U777" s="173"/>
      <c r="V777" s="173"/>
      <c r="W777" s="3">
        <f>VLOOKUP(Table1[[#This Row],[Status]],Auxiliar!$B$16:$D$23,3,0)*Table1[[#This Row],[Estimação (horas)]]</f>
        <v>2</v>
      </c>
      <c r="X777" s="3"/>
    </row>
    <row r="778" spans="2:24" ht="17.399999999999999" hidden="1" customHeight="1">
      <c r="B778" s="3" t="s">
        <v>28</v>
      </c>
      <c r="C778" s="3" t="s">
        <v>301</v>
      </c>
      <c r="D778" s="3" t="s">
        <v>313</v>
      </c>
      <c r="E778" s="3" t="s">
        <v>38</v>
      </c>
      <c r="F778" s="3" t="s">
        <v>312</v>
      </c>
      <c r="G778" s="3" t="s">
        <v>278</v>
      </c>
      <c r="H778" s="63" t="str">
        <f>Table1[[#This Row],[Tabela]]&amp;Table1[[#This Row],[Campo]]</f>
        <v>modesg_out_empr_info_nfinscp3_emss</v>
      </c>
      <c r="I778" s="3" t="s">
        <v>177</v>
      </c>
      <c r="J778" s="45">
        <f>VLOOKUP(Table1[[#This Row],[Status]],Auxiliar!$B$16:$C$23,2,0)</f>
        <v>2</v>
      </c>
      <c r="K778" s="3" t="s">
        <v>1141</v>
      </c>
      <c r="L778" s="3" t="s">
        <v>1144</v>
      </c>
      <c r="M778" s="22" t="s">
        <v>1155</v>
      </c>
      <c r="N778" s="53">
        <v>45561</v>
      </c>
      <c r="O778" s="22">
        <f>INDEX(Auxiliar!$D$5:$F$13,MATCH(Table1[[#This Row],[Tipologia_Testes]],Auxiliar!$B$5:$B$13,0),MATCH(Table1[[#This Row],[Complexidade]],Auxiliar!$D$4:$F$4,0))</f>
        <v>0.1</v>
      </c>
      <c r="P778" s="3" t="s">
        <v>1883</v>
      </c>
      <c r="Q778" s="3"/>
      <c r="R778" s="173"/>
      <c r="S778" s="173"/>
      <c r="T778" s="173"/>
      <c r="U778" s="173"/>
      <c r="V778" s="173"/>
      <c r="W778" s="3">
        <f>VLOOKUP(Table1[[#This Row],[Status]],Auxiliar!$B$16:$D$23,3,0)*Table1[[#This Row],[Estimação (horas)]]</f>
        <v>0.05</v>
      </c>
      <c r="X778" s="3"/>
    </row>
    <row r="779" spans="2:24" ht="17.399999999999999" hidden="1" customHeight="1">
      <c r="B779" s="3" t="s">
        <v>28</v>
      </c>
      <c r="C779" s="3" t="s">
        <v>301</v>
      </c>
      <c r="D779" s="3" t="s">
        <v>313</v>
      </c>
      <c r="E779" s="3" t="s">
        <v>38</v>
      </c>
      <c r="F779" s="3" t="s">
        <v>312</v>
      </c>
      <c r="G779" s="3" t="s">
        <v>203</v>
      </c>
      <c r="H779" s="63" t="str">
        <f>Table1[[#This Row],[Tabela]]&amp;Table1[[#This Row],[Campo]]</f>
        <v>modesg_out_empr_info_nfinzcliente</v>
      </c>
      <c r="I779" s="3" t="s">
        <v>477</v>
      </c>
      <c r="J779" s="60">
        <f>VLOOKUP(Table1[[#This Row],[Status]],Auxiliar!$B$16:$C$23,2,0)</f>
        <v>1</v>
      </c>
      <c r="K779" s="3" t="s">
        <v>1137</v>
      </c>
      <c r="L779" s="3" t="s">
        <v>1144</v>
      </c>
      <c r="M779" s="22" t="s">
        <v>1145</v>
      </c>
      <c r="N779" s="53">
        <v>45561</v>
      </c>
      <c r="O779" s="22">
        <f>INDEX(Auxiliar!$D$5:$F$13,MATCH(Table1[[#This Row],[Tipologia_Testes]],Auxiliar!$B$5:$B$13,0),MATCH(Table1[[#This Row],[Complexidade]],Auxiliar!$D$4:$F$4,0))</f>
        <v>2</v>
      </c>
      <c r="P779" s="3" t="s">
        <v>1883</v>
      </c>
      <c r="Q779" s="3"/>
      <c r="R779" s="173"/>
      <c r="S779" s="173"/>
      <c r="T779" s="173"/>
      <c r="U779" s="173"/>
      <c r="V779" s="173"/>
      <c r="W779" s="3">
        <f>VLOOKUP(Table1[[#This Row],[Status]],Auxiliar!$B$16:$D$23,3,0)*Table1[[#This Row],[Estimação (horas)]]</f>
        <v>2</v>
      </c>
      <c r="X779" s="3"/>
    </row>
    <row r="780" spans="2:24" ht="17.399999999999999" hidden="1" customHeight="1">
      <c r="B780" s="3" t="s">
        <v>28</v>
      </c>
      <c r="C780" s="3" t="s">
        <v>301</v>
      </c>
      <c r="D780" s="3" t="s">
        <v>313</v>
      </c>
      <c r="E780" s="3" t="s">
        <v>38</v>
      </c>
      <c r="F780" s="3" t="s">
        <v>312</v>
      </c>
      <c r="G780" s="3" t="s">
        <v>203</v>
      </c>
      <c r="H780" s="63" t="str">
        <f>Table1[[#This Row],[Tabela]]&amp;Table1[[#This Row],[Campo]]</f>
        <v>modesg_out_empr_info_nfinzcliente</v>
      </c>
      <c r="I780" s="3" t="s">
        <v>477</v>
      </c>
      <c r="J780" s="60">
        <f>VLOOKUP(Table1[[#This Row],[Status]],Auxiliar!$B$16:$C$23,2,0)</f>
        <v>1</v>
      </c>
      <c r="K780" s="3" t="s">
        <v>1138</v>
      </c>
      <c r="L780" s="3" t="s">
        <v>1144</v>
      </c>
      <c r="M780" s="22" t="s">
        <v>1145</v>
      </c>
      <c r="N780" s="53">
        <v>45561</v>
      </c>
      <c r="O780" s="22">
        <f>INDEX(Auxiliar!$D$5:$F$13,MATCH(Table1[[#This Row],[Tipologia_Testes]],Auxiliar!$B$5:$B$13,0),MATCH(Table1[[#This Row],[Complexidade]],Auxiliar!$D$4:$F$4,0))</f>
        <v>2</v>
      </c>
      <c r="P780" s="3" t="s">
        <v>1883</v>
      </c>
      <c r="Q780" s="3"/>
      <c r="R780" s="173"/>
      <c r="S780" s="173"/>
      <c r="T780" s="173"/>
      <c r="U780" s="173"/>
      <c r="V780" s="173"/>
      <c r="W780" s="3">
        <f>VLOOKUP(Table1[[#This Row],[Status]],Auxiliar!$B$16:$D$23,3,0)*Table1[[#This Row],[Estimação (horas)]]</f>
        <v>2</v>
      </c>
      <c r="X780" s="3"/>
    </row>
    <row r="781" spans="2:24" ht="17.399999999999999" hidden="1" customHeight="1">
      <c r="B781" s="3" t="s">
        <v>28</v>
      </c>
      <c r="C781" s="3" t="s">
        <v>301</v>
      </c>
      <c r="D781" s="3" t="s">
        <v>313</v>
      </c>
      <c r="E781" s="3" t="s">
        <v>38</v>
      </c>
      <c r="F781" s="3" t="s">
        <v>312</v>
      </c>
      <c r="G781" s="3" t="s">
        <v>203</v>
      </c>
      <c r="H781" s="63" t="str">
        <f>Table1[[#This Row],[Tabela]]&amp;Table1[[#This Row],[Campo]]</f>
        <v>modesg_out_empr_info_nfinzcliente</v>
      </c>
      <c r="I781" s="3" t="s">
        <v>477</v>
      </c>
      <c r="J781" s="60">
        <f>VLOOKUP(Table1[[#This Row],[Status]],Auxiliar!$B$16:$C$23,2,0)</f>
        <v>1</v>
      </c>
      <c r="K781" s="3" t="s">
        <v>1141</v>
      </c>
      <c r="L781" s="3" t="s">
        <v>1144</v>
      </c>
      <c r="M781" s="22" t="s">
        <v>1145</v>
      </c>
      <c r="N781" s="53">
        <v>45561</v>
      </c>
      <c r="O781" s="22">
        <f>INDEX(Auxiliar!$D$5:$F$13,MATCH(Table1[[#This Row],[Tipologia_Testes]],Auxiliar!$B$5:$B$13,0),MATCH(Table1[[#This Row],[Complexidade]],Auxiliar!$D$4:$F$4,0))</f>
        <v>0.1</v>
      </c>
      <c r="P781" s="3" t="s">
        <v>1883</v>
      </c>
      <c r="Q781" s="3"/>
      <c r="R781" s="173"/>
      <c r="S781" s="173"/>
      <c r="T781" s="173"/>
      <c r="U781" s="173"/>
      <c r="V781" s="173"/>
      <c r="W781" s="3">
        <f>VLOOKUP(Table1[[#This Row],[Status]],Auxiliar!$B$16:$D$23,3,0)*Table1[[#This Row],[Estimação (horas)]]</f>
        <v>0.1</v>
      </c>
      <c r="X781" s="3"/>
    </row>
    <row r="782" spans="2:24" ht="23.4" hidden="1" customHeight="1">
      <c r="B782" s="3" t="s">
        <v>28</v>
      </c>
      <c r="C782" s="3" t="s">
        <v>301</v>
      </c>
      <c r="D782" s="3" t="s">
        <v>319</v>
      </c>
      <c r="E782" s="3" t="s">
        <v>38</v>
      </c>
      <c r="F782" s="3" t="s">
        <v>318</v>
      </c>
      <c r="G782" s="3" t="s">
        <v>38</v>
      </c>
      <c r="H782" s="63" t="str">
        <f>Table1[[#This Row],[Tabela]]&amp;Table1[[#This Row],[Campo]]</f>
        <v>modesg_out_emss_vclsn.a.</v>
      </c>
      <c r="I782" s="3" t="s">
        <v>482</v>
      </c>
      <c r="J782" s="45">
        <f>VLOOKUP(Table1[[#This Row],[Status]],Auxiliar!$B$16:$C$23,2,0)</f>
        <v>6</v>
      </c>
      <c r="K782" s="3" t="s">
        <v>1134</v>
      </c>
      <c r="L782" s="30" t="s">
        <v>1144</v>
      </c>
      <c r="M782" s="22" t="s">
        <v>1145</v>
      </c>
      <c r="N782" s="53">
        <v>45561</v>
      </c>
      <c r="O782" s="22">
        <f>INDEX(Auxiliar!$D$5:$F$13,MATCH(Table1[[#This Row],[Tipologia_Testes]],Auxiliar!$B$5:$B$13,0),MATCH(Table1[[#This Row],[Complexidade]],Auxiliar!$D$4:$F$4,0))</f>
        <v>8</v>
      </c>
      <c r="P782" s="24" t="s">
        <v>1882</v>
      </c>
      <c r="Q782" s="3"/>
      <c r="R782" s="173">
        <v>45560</v>
      </c>
      <c r="S782" s="173"/>
      <c r="T782" s="173">
        <v>45560</v>
      </c>
      <c r="U782" s="173"/>
      <c r="V782" s="173"/>
      <c r="W782" s="3">
        <f>VLOOKUP(Table1[[#This Row],[Status]],Auxiliar!$B$16:$D$23,3,0)*Table1[[#This Row],[Estimação (horas)]]</f>
        <v>2</v>
      </c>
      <c r="X782" s="3"/>
    </row>
    <row r="783" spans="2:24" ht="17.399999999999999" hidden="1" customHeight="1">
      <c r="B783" s="3" t="s">
        <v>28</v>
      </c>
      <c r="C783" s="3" t="s">
        <v>301</v>
      </c>
      <c r="D783" s="3" t="s">
        <v>319</v>
      </c>
      <c r="E783" s="3" t="s">
        <v>38</v>
      </c>
      <c r="F783" s="3" t="s">
        <v>318</v>
      </c>
      <c r="G783" s="3" t="s">
        <v>41</v>
      </c>
      <c r="H783" s="63" t="str">
        <f>Table1[[#This Row],[Tabela]]&amp;Table1[[#This Row],[Campo]]</f>
        <v>modesg_out_emss_vclscempbem</v>
      </c>
      <c r="I783" s="4" t="s">
        <v>477</v>
      </c>
      <c r="J783" s="60">
        <f>VLOOKUP(Table1[[#This Row],[Status]],Auxiliar!$B$16:$C$23,2,0)</f>
        <v>1</v>
      </c>
      <c r="K783" s="3" t="s">
        <v>1137</v>
      </c>
      <c r="L783" s="30" t="s">
        <v>1144</v>
      </c>
      <c r="M783" s="22" t="s">
        <v>1145</v>
      </c>
      <c r="N783" s="53">
        <v>45485</v>
      </c>
      <c r="O783" s="22">
        <f>INDEX(Auxiliar!$D$5:$F$13,MATCH(Table1[[#This Row],[Tipologia_Testes]],Auxiliar!$B$5:$B$13,0),MATCH(Table1[[#This Row],[Complexidade]],Auxiliar!$D$4:$F$4,0))</f>
        <v>2</v>
      </c>
      <c r="P783" s="3"/>
      <c r="Q783" s="3"/>
      <c r="R783" s="173">
        <v>45261</v>
      </c>
      <c r="S783" s="173"/>
      <c r="T783" s="173"/>
      <c r="U783" s="173"/>
      <c r="V783" s="173"/>
      <c r="W783" s="3">
        <f>VLOOKUP(Table1[[#This Row],[Status]],Auxiliar!$B$16:$D$23,3,0)*Table1[[#This Row],[Estimação (horas)]]</f>
        <v>2</v>
      </c>
      <c r="X783" s="3"/>
    </row>
    <row r="784" spans="2:24" ht="17.399999999999999" hidden="1" customHeight="1">
      <c r="B784" s="3" t="s">
        <v>28</v>
      </c>
      <c r="C784" s="3" t="s">
        <v>301</v>
      </c>
      <c r="D784" s="3" t="s">
        <v>319</v>
      </c>
      <c r="E784" s="3" t="s">
        <v>38</v>
      </c>
      <c r="F784" s="3" t="s">
        <v>318</v>
      </c>
      <c r="G784" s="3" t="s">
        <v>41</v>
      </c>
      <c r="H784" s="63" t="str">
        <f>Table1[[#This Row],[Tabela]]&amp;Table1[[#This Row],[Campo]]</f>
        <v>modesg_out_emss_vclscempbem</v>
      </c>
      <c r="I784" s="4" t="s">
        <v>477</v>
      </c>
      <c r="J784" s="60">
        <f>VLOOKUP(Table1[[#This Row],[Status]],Auxiliar!$B$16:$C$23,2,0)</f>
        <v>1</v>
      </c>
      <c r="K784" s="3" t="s">
        <v>1138</v>
      </c>
      <c r="L784" s="30" t="s">
        <v>1144</v>
      </c>
      <c r="M784" s="22" t="s">
        <v>1145</v>
      </c>
      <c r="N784" s="53">
        <v>45485</v>
      </c>
      <c r="O784" s="22">
        <f>INDEX(Auxiliar!$D$5:$F$13,MATCH(Table1[[#This Row],[Tipologia_Testes]],Auxiliar!$B$5:$B$13,0),MATCH(Table1[[#This Row],[Complexidade]],Auxiliar!$D$4:$F$4,0))</f>
        <v>2</v>
      </c>
      <c r="P784" s="3"/>
      <c r="Q784" s="3"/>
      <c r="R784" s="173">
        <v>45261</v>
      </c>
      <c r="S784" s="173"/>
      <c r="T784" s="173"/>
      <c r="U784" s="173"/>
      <c r="V784" s="173"/>
      <c r="W784" s="3">
        <f>VLOOKUP(Table1[[#This Row],[Status]],Auxiliar!$B$16:$D$23,3,0)*Table1[[#This Row],[Estimação (horas)]]</f>
        <v>2</v>
      </c>
      <c r="X784" s="3"/>
    </row>
    <row r="785" spans="2:24" ht="17.399999999999999" hidden="1" customHeight="1">
      <c r="B785" s="3" t="s">
        <v>28</v>
      </c>
      <c r="C785" s="3" t="s">
        <v>301</v>
      </c>
      <c r="D785" s="3" t="s">
        <v>319</v>
      </c>
      <c r="E785" s="3" t="s">
        <v>38</v>
      </c>
      <c r="F785" s="3" t="s">
        <v>318</v>
      </c>
      <c r="G785" s="3" t="s">
        <v>41</v>
      </c>
      <c r="H785" s="63" t="str">
        <f>Table1[[#This Row],[Tabela]]&amp;Table1[[#This Row],[Campo]]</f>
        <v>modesg_out_emss_vclscempbem</v>
      </c>
      <c r="I785" s="4" t="s">
        <v>477</v>
      </c>
      <c r="J785" s="60">
        <f>VLOOKUP(Table1[[#This Row],[Status]],Auxiliar!$B$16:$C$23,2,0)</f>
        <v>1</v>
      </c>
      <c r="K785" s="3" t="s">
        <v>1141</v>
      </c>
      <c r="L785" s="30" t="s">
        <v>1144</v>
      </c>
      <c r="M785" s="22" t="s">
        <v>1145</v>
      </c>
      <c r="N785" s="53">
        <v>45485</v>
      </c>
      <c r="O785" s="22">
        <f>INDEX(Auxiliar!$D$5:$F$13,MATCH(Table1[[#This Row],[Tipologia_Testes]],Auxiliar!$B$5:$B$13,0),MATCH(Table1[[#This Row],[Complexidade]],Auxiliar!$D$4:$F$4,0))</f>
        <v>0.1</v>
      </c>
      <c r="P785" s="3"/>
      <c r="Q785" s="3"/>
      <c r="R785" s="173">
        <v>45261</v>
      </c>
      <c r="S785" s="173"/>
      <c r="T785" s="173"/>
      <c r="U785" s="173"/>
      <c r="V785" s="173"/>
      <c r="W785" s="3">
        <f>VLOOKUP(Table1[[#This Row],[Status]],Auxiliar!$B$16:$D$23,3,0)*Table1[[#This Row],[Estimação (horas)]]</f>
        <v>0.1</v>
      </c>
      <c r="X785" s="3"/>
    </row>
    <row r="786" spans="2:24" ht="17.399999999999999" hidden="1" customHeight="1">
      <c r="B786" s="3" t="s">
        <v>28</v>
      </c>
      <c r="C786" s="3" t="s">
        <v>301</v>
      </c>
      <c r="D786" s="3" t="s">
        <v>319</v>
      </c>
      <c r="E786" s="3" t="s">
        <v>38</v>
      </c>
      <c r="F786" s="3" t="s">
        <v>318</v>
      </c>
      <c r="G786" s="3" t="s">
        <v>43</v>
      </c>
      <c r="H786" s="63" t="str">
        <f>Table1[[#This Row],[Tabela]]&amp;Table1[[#This Row],[Campo]]</f>
        <v>modesg_out_emss_vclsckbalbem</v>
      </c>
      <c r="I786" s="4" t="s">
        <v>477</v>
      </c>
      <c r="J786" s="60">
        <f>VLOOKUP(Table1[[#This Row],[Status]],Auxiliar!$B$16:$C$23,2,0)</f>
        <v>1</v>
      </c>
      <c r="K786" s="3" t="s">
        <v>1137</v>
      </c>
      <c r="L786" s="30" t="s">
        <v>1144</v>
      </c>
      <c r="M786" s="22" t="s">
        <v>1145</v>
      </c>
      <c r="N786" s="53">
        <v>45485</v>
      </c>
      <c r="O786" s="22">
        <f>INDEX(Auxiliar!$D$5:$F$13,MATCH(Table1[[#This Row],[Tipologia_Testes]],Auxiliar!$B$5:$B$13,0),MATCH(Table1[[#This Row],[Complexidade]],Auxiliar!$D$4:$F$4,0))</f>
        <v>2</v>
      </c>
      <c r="P786" s="3"/>
      <c r="Q786" s="3"/>
      <c r="R786" s="173">
        <v>45261</v>
      </c>
      <c r="S786" s="173"/>
      <c r="T786" s="173"/>
      <c r="U786" s="173"/>
      <c r="V786" s="173"/>
      <c r="W786" s="3">
        <f>VLOOKUP(Table1[[#This Row],[Status]],Auxiliar!$B$16:$D$23,3,0)*Table1[[#This Row],[Estimação (horas)]]</f>
        <v>2</v>
      </c>
      <c r="X786" s="3"/>
    </row>
    <row r="787" spans="2:24" ht="17.399999999999999" hidden="1" customHeight="1">
      <c r="B787" s="3" t="s">
        <v>28</v>
      </c>
      <c r="C787" s="3" t="s">
        <v>301</v>
      </c>
      <c r="D787" s="3" t="s">
        <v>319</v>
      </c>
      <c r="E787" s="3" t="s">
        <v>38</v>
      </c>
      <c r="F787" s="3" t="s">
        <v>318</v>
      </c>
      <c r="G787" s="3" t="s">
        <v>43</v>
      </c>
      <c r="H787" s="63" t="str">
        <f>Table1[[#This Row],[Tabela]]&amp;Table1[[#This Row],[Campo]]</f>
        <v>modesg_out_emss_vclsckbalbem</v>
      </c>
      <c r="I787" s="4" t="s">
        <v>477</v>
      </c>
      <c r="J787" s="60">
        <f>VLOOKUP(Table1[[#This Row],[Status]],Auxiliar!$B$16:$C$23,2,0)</f>
        <v>1</v>
      </c>
      <c r="K787" s="3" t="s">
        <v>1138</v>
      </c>
      <c r="L787" s="30" t="s">
        <v>1144</v>
      </c>
      <c r="M787" s="22" t="s">
        <v>1145</v>
      </c>
      <c r="N787" s="53">
        <v>45485</v>
      </c>
      <c r="O787" s="22">
        <f>INDEX(Auxiliar!$D$5:$F$13,MATCH(Table1[[#This Row],[Tipologia_Testes]],Auxiliar!$B$5:$B$13,0),MATCH(Table1[[#This Row],[Complexidade]],Auxiliar!$D$4:$F$4,0))</f>
        <v>2</v>
      </c>
      <c r="P787" s="3"/>
      <c r="Q787" s="3"/>
      <c r="R787" s="173">
        <v>45261</v>
      </c>
      <c r="S787" s="173"/>
      <c r="T787" s="173"/>
      <c r="U787" s="173"/>
      <c r="V787" s="173"/>
      <c r="W787" s="3">
        <f>VLOOKUP(Table1[[#This Row],[Status]],Auxiliar!$B$16:$D$23,3,0)*Table1[[#This Row],[Estimação (horas)]]</f>
        <v>2</v>
      </c>
      <c r="X787" s="3"/>
    </row>
    <row r="788" spans="2:24" ht="17.399999999999999" hidden="1" customHeight="1">
      <c r="B788" s="3" t="s">
        <v>28</v>
      </c>
      <c r="C788" s="3" t="s">
        <v>301</v>
      </c>
      <c r="D788" s="3" t="s">
        <v>319</v>
      </c>
      <c r="E788" s="3" t="s">
        <v>38</v>
      </c>
      <c r="F788" s="3" t="s">
        <v>318</v>
      </c>
      <c r="G788" s="3" t="s">
        <v>43</v>
      </c>
      <c r="H788" s="63" t="str">
        <f>Table1[[#This Row],[Tabela]]&amp;Table1[[#This Row],[Campo]]</f>
        <v>modesg_out_emss_vclsckbalbem</v>
      </c>
      <c r="I788" s="4" t="s">
        <v>477</v>
      </c>
      <c r="J788" s="60">
        <f>VLOOKUP(Table1[[#This Row],[Status]],Auxiliar!$B$16:$C$23,2,0)</f>
        <v>1</v>
      </c>
      <c r="K788" s="3" t="s">
        <v>1141</v>
      </c>
      <c r="L788" s="30" t="s">
        <v>1144</v>
      </c>
      <c r="M788" s="22" t="s">
        <v>1145</v>
      </c>
      <c r="N788" s="53">
        <v>45485</v>
      </c>
      <c r="O788" s="22">
        <f>INDEX(Auxiliar!$D$5:$F$13,MATCH(Table1[[#This Row],[Tipologia_Testes]],Auxiliar!$B$5:$B$13,0),MATCH(Table1[[#This Row],[Complexidade]],Auxiliar!$D$4:$F$4,0))</f>
        <v>0.1</v>
      </c>
      <c r="P788" s="3"/>
      <c r="Q788" s="3"/>
      <c r="R788" s="173">
        <v>45261</v>
      </c>
      <c r="S788" s="173"/>
      <c r="T788" s="173"/>
      <c r="U788" s="173"/>
      <c r="V788" s="173"/>
      <c r="W788" s="3">
        <f>VLOOKUP(Table1[[#This Row],[Status]],Auxiliar!$B$16:$D$23,3,0)*Table1[[#This Row],[Estimação (horas)]]</f>
        <v>0.1</v>
      </c>
      <c r="X788" s="3"/>
    </row>
    <row r="789" spans="2:24" ht="17.399999999999999" hidden="1" customHeight="1">
      <c r="B789" s="3" t="s">
        <v>28</v>
      </c>
      <c r="C789" s="3" t="s">
        <v>301</v>
      </c>
      <c r="D789" s="3" t="s">
        <v>319</v>
      </c>
      <c r="E789" s="3" t="s">
        <v>38</v>
      </c>
      <c r="F789" s="3" t="s">
        <v>318</v>
      </c>
      <c r="G789" s="3" t="s">
        <v>44</v>
      </c>
      <c r="H789" s="63" t="str">
        <f>Table1[[#This Row],[Tabela]]&amp;Table1[[#This Row],[Campo]]</f>
        <v>modesg_out_emss_vclsckctabem</v>
      </c>
      <c r="I789" s="4" t="s">
        <v>477</v>
      </c>
      <c r="J789" s="60">
        <f>VLOOKUP(Table1[[#This Row],[Status]],Auxiliar!$B$16:$C$23,2,0)</f>
        <v>1</v>
      </c>
      <c r="K789" s="3" t="s">
        <v>1137</v>
      </c>
      <c r="L789" s="30" t="s">
        <v>1144</v>
      </c>
      <c r="M789" s="22" t="s">
        <v>1145</v>
      </c>
      <c r="N789" s="53">
        <v>45485</v>
      </c>
      <c r="O789" s="22">
        <f>INDEX(Auxiliar!$D$5:$F$13,MATCH(Table1[[#This Row],[Tipologia_Testes]],Auxiliar!$B$5:$B$13,0),MATCH(Table1[[#This Row],[Complexidade]],Auxiliar!$D$4:$F$4,0))</f>
        <v>2</v>
      </c>
      <c r="P789" s="3"/>
      <c r="Q789" s="3"/>
      <c r="R789" s="173">
        <v>45261</v>
      </c>
      <c r="S789" s="173"/>
      <c r="T789" s="173"/>
      <c r="U789" s="173"/>
      <c r="V789" s="173"/>
      <c r="W789" s="3">
        <f>VLOOKUP(Table1[[#This Row],[Status]],Auxiliar!$B$16:$D$23,3,0)*Table1[[#This Row],[Estimação (horas)]]</f>
        <v>2</v>
      </c>
      <c r="X789" s="3"/>
    </row>
    <row r="790" spans="2:24" ht="17.399999999999999" hidden="1" customHeight="1">
      <c r="B790" s="3" t="s">
        <v>28</v>
      </c>
      <c r="C790" s="3" t="s">
        <v>301</v>
      </c>
      <c r="D790" s="3" t="s">
        <v>319</v>
      </c>
      <c r="E790" s="3" t="s">
        <v>38</v>
      </c>
      <c r="F790" s="3" t="s">
        <v>318</v>
      </c>
      <c r="G790" s="3" t="s">
        <v>44</v>
      </c>
      <c r="H790" s="63" t="str">
        <f>Table1[[#This Row],[Tabela]]&amp;Table1[[#This Row],[Campo]]</f>
        <v>modesg_out_emss_vclsckctabem</v>
      </c>
      <c r="I790" s="4" t="s">
        <v>477</v>
      </c>
      <c r="J790" s="60">
        <f>VLOOKUP(Table1[[#This Row],[Status]],Auxiliar!$B$16:$C$23,2,0)</f>
        <v>1</v>
      </c>
      <c r="K790" s="3" t="s">
        <v>1138</v>
      </c>
      <c r="L790" s="30" t="s">
        <v>1144</v>
      </c>
      <c r="M790" s="22" t="s">
        <v>1145</v>
      </c>
      <c r="N790" s="53">
        <v>45485</v>
      </c>
      <c r="O790" s="22">
        <f>INDEX(Auxiliar!$D$5:$F$13,MATCH(Table1[[#This Row],[Tipologia_Testes]],Auxiliar!$B$5:$B$13,0),MATCH(Table1[[#This Row],[Complexidade]],Auxiliar!$D$4:$F$4,0))</f>
        <v>2</v>
      </c>
      <c r="P790" s="3"/>
      <c r="Q790" s="3"/>
      <c r="R790" s="173">
        <v>45261</v>
      </c>
      <c r="S790" s="173"/>
      <c r="T790" s="173"/>
      <c r="U790" s="173"/>
      <c r="V790" s="173"/>
      <c r="W790" s="3">
        <f>VLOOKUP(Table1[[#This Row],[Status]],Auxiliar!$B$16:$D$23,3,0)*Table1[[#This Row],[Estimação (horas)]]</f>
        <v>2</v>
      </c>
      <c r="X790" s="3"/>
    </row>
    <row r="791" spans="2:24" ht="17.399999999999999" hidden="1" customHeight="1">
      <c r="B791" s="3" t="s">
        <v>28</v>
      </c>
      <c r="C791" s="3" t="s">
        <v>301</v>
      </c>
      <c r="D791" s="3" t="s">
        <v>319</v>
      </c>
      <c r="E791" s="3" t="s">
        <v>38</v>
      </c>
      <c r="F791" s="3" t="s">
        <v>318</v>
      </c>
      <c r="G791" s="3" t="s">
        <v>44</v>
      </c>
      <c r="H791" s="63" t="str">
        <f>Table1[[#This Row],[Tabela]]&amp;Table1[[#This Row],[Campo]]</f>
        <v>modesg_out_emss_vclsckctabem</v>
      </c>
      <c r="I791" s="4" t="s">
        <v>477</v>
      </c>
      <c r="J791" s="60">
        <f>VLOOKUP(Table1[[#This Row],[Status]],Auxiliar!$B$16:$C$23,2,0)</f>
        <v>1</v>
      </c>
      <c r="K791" s="3" t="s">
        <v>1141</v>
      </c>
      <c r="L791" s="30" t="s">
        <v>1144</v>
      </c>
      <c r="M791" s="22" t="s">
        <v>1145</v>
      </c>
      <c r="N791" s="53">
        <v>45485</v>
      </c>
      <c r="O791" s="22">
        <f>INDEX(Auxiliar!$D$5:$F$13,MATCH(Table1[[#This Row],[Tipologia_Testes]],Auxiliar!$B$5:$B$13,0),MATCH(Table1[[#This Row],[Complexidade]],Auxiliar!$D$4:$F$4,0))</f>
        <v>0.1</v>
      </c>
      <c r="P791" s="3"/>
      <c r="Q791" s="3"/>
      <c r="R791" s="173">
        <v>45261</v>
      </c>
      <c r="S791" s="173"/>
      <c r="T791" s="173"/>
      <c r="U791" s="173"/>
      <c r="V791" s="173"/>
      <c r="W791" s="3">
        <f>VLOOKUP(Table1[[#This Row],[Status]],Auxiliar!$B$16:$D$23,3,0)*Table1[[#This Row],[Estimação (horas)]]</f>
        <v>0.1</v>
      </c>
      <c r="X791" s="3"/>
    </row>
    <row r="792" spans="2:24" ht="17.399999999999999" hidden="1" customHeight="1">
      <c r="B792" s="3" t="s">
        <v>28</v>
      </c>
      <c r="C792" s="3" t="s">
        <v>301</v>
      </c>
      <c r="D792" s="3" t="s">
        <v>319</v>
      </c>
      <c r="E792" s="3" t="s">
        <v>38</v>
      </c>
      <c r="F792" s="3" t="s">
        <v>318</v>
      </c>
      <c r="G792" s="3" t="s">
        <v>45</v>
      </c>
      <c r="H792" s="63" t="str">
        <f>Table1[[#This Row],[Tabela]]&amp;Table1[[#This Row],[Campo]]</f>
        <v>modesg_out_emss_vclsckrefbem</v>
      </c>
      <c r="I792" s="4" t="s">
        <v>477</v>
      </c>
      <c r="J792" s="60">
        <f>VLOOKUP(Table1[[#This Row],[Status]],Auxiliar!$B$16:$C$23,2,0)</f>
        <v>1</v>
      </c>
      <c r="K792" s="3" t="s">
        <v>1137</v>
      </c>
      <c r="L792" s="30" t="s">
        <v>1144</v>
      </c>
      <c r="M792" s="22" t="s">
        <v>1145</v>
      </c>
      <c r="N792" s="53">
        <v>45485</v>
      </c>
      <c r="O792" s="22">
        <f>INDEX(Auxiliar!$D$5:$F$13,MATCH(Table1[[#This Row],[Tipologia_Testes]],Auxiliar!$B$5:$B$13,0),MATCH(Table1[[#This Row],[Complexidade]],Auxiliar!$D$4:$F$4,0))</f>
        <v>2</v>
      </c>
      <c r="P792" s="3"/>
      <c r="Q792" s="3"/>
      <c r="R792" s="173">
        <v>45261</v>
      </c>
      <c r="S792" s="173"/>
      <c r="T792" s="173"/>
      <c r="U792" s="173"/>
      <c r="V792" s="173"/>
      <c r="W792" s="3">
        <f>VLOOKUP(Table1[[#This Row],[Status]],Auxiliar!$B$16:$D$23,3,0)*Table1[[#This Row],[Estimação (horas)]]</f>
        <v>2</v>
      </c>
      <c r="X792" s="3"/>
    </row>
    <row r="793" spans="2:24" ht="17.399999999999999" hidden="1" customHeight="1">
      <c r="B793" s="3" t="s">
        <v>28</v>
      </c>
      <c r="C793" s="3" t="s">
        <v>301</v>
      </c>
      <c r="D793" s="3" t="s">
        <v>319</v>
      </c>
      <c r="E793" s="3" t="s">
        <v>38</v>
      </c>
      <c r="F793" s="3" t="s">
        <v>318</v>
      </c>
      <c r="G793" s="3" t="s">
        <v>45</v>
      </c>
      <c r="H793" s="63" t="str">
        <f>Table1[[#This Row],[Tabela]]&amp;Table1[[#This Row],[Campo]]</f>
        <v>modesg_out_emss_vclsckrefbem</v>
      </c>
      <c r="I793" s="4" t="s">
        <v>477</v>
      </c>
      <c r="J793" s="60">
        <f>VLOOKUP(Table1[[#This Row],[Status]],Auxiliar!$B$16:$C$23,2,0)</f>
        <v>1</v>
      </c>
      <c r="K793" s="3" t="s">
        <v>1138</v>
      </c>
      <c r="L793" s="30" t="s">
        <v>1144</v>
      </c>
      <c r="M793" s="22" t="s">
        <v>1145</v>
      </c>
      <c r="N793" s="53">
        <v>45485</v>
      </c>
      <c r="O793" s="22">
        <f>INDEX(Auxiliar!$D$5:$F$13,MATCH(Table1[[#This Row],[Tipologia_Testes]],Auxiliar!$B$5:$B$13,0),MATCH(Table1[[#This Row],[Complexidade]],Auxiliar!$D$4:$F$4,0))</f>
        <v>2</v>
      </c>
      <c r="P793" s="3"/>
      <c r="Q793" s="3"/>
      <c r="R793" s="173">
        <v>45261</v>
      </c>
      <c r="S793" s="173"/>
      <c r="T793" s="173"/>
      <c r="U793" s="173"/>
      <c r="V793" s="173"/>
      <c r="W793" s="3">
        <f>VLOOKUP(Table1[[#This Row],[Status]],Auxiliar!$B$16:$D$23,3,0)*Table1[[#This Row],[Estimação (horas)]]</f>
        <v>2</v>
      </c>
      <c r="X793" s="3"/>
    </row>
    <row r="794" spans="2:24" ht="17.399999999999999" hidden="1" customHeight="1">
      <c r="B794" s="3" t="s">
        <v>28</v>
      </c>
      <c r="C794" s="3" t="s">
        <v>301</v>
      </c>
      <c r="D794" s="3" t="s">
        <v>319</v>
      </c>
      <c r="E794" s="3" t="s">
        <v>38</v>
      </c>
      <c r="F794" s="3" t="s">
        <v>318</v>
      </c>
      <c r="G794" s="3" t="s">
        <v>45</v>
      </c>
      <c r="H794" s="63" t="str">
        <f>Table1[[#This Row],[Tabela]]&amp;Table1[[#This Row],[Campo]]</f>
        <v>modesg_out_emss_vclsckrefbem</v>
      </c>
      <c r="I794" s="4" t="s">
        <v>477</v>
      </c>
      <c r="J794" s="60">
        <f>VLOOKUP(Table1[[#This Row],[Status]],Auxiliar!$B$16:$C$23,2,0)</f>
        <v>1</v>
      </c>
      <c r="K794" s="3" t="s">
        <v>1141</v>
      </c>
      <c r="L794" s="30" t="s">
        <v>1144</v>
      </c>
      <c r="M794" s="22" t="s">
        <v>1145</v>
      </c>
      <c r="N794" s="53">
        <v>45485</v>
      </c>
      <c r="O794" s="22">
        <f>INDEX(Auxiliar!$D$5:$F$13,MATCH(Table1[[#This Row],[Tipologia_Testes]],Auxiliar!$B$5:$B$13,0),MATCH(Table1[[#This Row],[Complexidade]],Auxiliar!$D$4:$F$4,0))</f>
        <v>0.1</v>
      </c>
      <c r="P794" s="3"/>
      <c r="Q794" s="3"/>
      <c r="R794" s="173">
        <v>45261</v>
      </c>
      <c r="S794" s="173"/>
      <c r="T794" s="173"/>
      <c r="U794" s="173"/>
      <c r="V794" s="173"/>
      <c r="W794" s="3">
        <f>VLOOKUP(Table1[[#This Row],[Status]],Auxiliar!$B$16:$D$23,3,0)*Table1[[#This Row],[Estimação (horas)]]</f>
        <v>0.1</v>
      </c>
      <c r="X794" s="3"/>
    </row>
    <row r="795" spans="2:24" ht="17.399999999999999" hidden="1" customHeight="1">
      <c r="B795" s="3" t="s">
        <v>28</v>
      </c>
      <c r="C795" s="3" t="s">
        <v>301</v>
      </c>
      <c r="D795" s="3" t="s">
        <v>319</v>
      </c>
      <c r="E795" s="3" t="s">
        <v>38</v>
      </c>
      <c r="F795" s="3" t="s">
        <v>318</v>
      </c>
      <c r="G795" s="3" t="s">
        <v>184</v>
      </c>
      <c r="H795" s="63" t="str">
        <f>Table1[[#This Row],[Tabela]]&amp;Table1[[#This Row],[Campo]]</f>
        <v>modesg_out_emss_vclscnsm_co2</v>
      </c>
      <c r="I795" s="3" t="s">
        <v>482</v>
      </c>
      <c r="J795" s="45">
        <f>VLOOKUP(Table1[[#This Row],[Status]],Auxiliar!$B$16:$C$23,2,0)</f>
        <v>6</v>
      </c>
      <c r="K795" s="3" t="s">
        <v>1137</v>
      </c>
      <c r="L795" s="3" t="s">
        <v>1135</v>
      </c>
      <c r="M795" s="22" t="s">
        <v>1155</v>
      </c>
      <c r="N795" s="53">
        <v>45561</v>
      </c>
      <c r="O795" s="22">
        <f>INDEX(Auxiliar!$D$5:$F$13,MATCH(Table1[[#This Row],[Tipologia_Testes]],Auxiliar!$B$5:$B$13,0),MATCH(Table1[[#This Row],[Complexidade]],Auxiliar!$D$4:$F$4,0))</f>
        <v>4</v>
      </c>
      <c r="P795" s="3" t="s">
        <v>1182</v>
      </c>
      <c r="Q795" s="3"/>
      <c r="R795" s="173">
        <v>45559</v>
      </c>
      <c r="S795" s="173"/>
      <c r="T795" s="173">
        <v>45559</v>
      </c>
      <c r="U795" s="173"/>
      <c r="V795" s="173"/>
      <c r="W795" s="3">
        <f>VLOOKUP(Table1[[#This Row],[Status]],Auxiliar!$B$16:$D$23,3,0)*Table1[[#This Row],[Estimação (horas)]]</f>
        <v>1</v>
      </c>
      <c r="X795" s="3"/>
    </row>
    <row r="796" spans="2:24" ht="17.399999999999999" hidden="1" customHeight="1">
      <c r="B796" s="3" t="s">
        <v>28</v>
      </c>
      <c r="C796" s="3" t="s">
        <v>301</v>
      </c>
      <c r="D796" s="3" t="s">
        <v>319</v>
      </c>
      <c r="E796" s="3" t="s">
        <v>38</v>
      </c>
      <c r="F796" s="3" t="s">
        <v>318</v>
      </c>
      <c r="G796" s="3" t="s">
        <v>184</v>
      </c>
      <c r="H796" s="63" t="str">
        <f>Table1[[#This Row],[Tabela]]&amp;Table1[[#This Row],[Campo]]</f>
        <v>modesg_out_emss_vclscnsm_co2</v>
      </c>
      <c r="I796" s="3" t="s">
        <v>482</v>
      </c>
      <c r="J796" s="45">
        <f>VLOOKUP(Table1[[#This Row],[Status]],Auxiliar!$B$16:$C$23,2,0)</f>
        <v>6</v>
      </c>
      <c r="K796" s="3" t="s">
        <v>1138</v>
      </c>
      <c r="L796" s="3" t="s">
        <v>1135</v>
      </c>
      <c r="M796" s="22" t="s">
        <v>1155</v>
      </c>
      <c r="N796" s="53">
        <v>45561</v>
      </c>
      <c r="O796" s="22">
        <f>INDEX(Auxiliar!$D$5:$F$13,MATCH(Table1[[#This Row],[Tipologia_Testes]],Auxiliar!$B$5:$B$13,0),MATCH(Table1[[#This Row],[Complexidade]],Auxiliar!$D$4:$F$4,0))</f>
        <v>4</v>
      </c>
      <c r="P796" s="3" t="s">
        <v>1182</v>
      </c>
      <c r="Q796" s="3"/>
      <c r="R796" s="173">
        <v>45559</v>
      </c>
      <c r="S796" s="173"/>
      <c r="T796" s="173">
        <v>45559</v>
      </c>
      <c r="U796" s="173"/>
      <c r="V796" s="173"/>
      <c r="W796" s="3">
        <f>VLOOKUP(Table1[[#This Row],[Status]],Auxiliar!$B$16:$D$23,3,0)*Table1[[#This Row],[Estimação (horas)]]</f>
        <v>1</v>
      </c>
      <c r="X796" s="3"/>
    </row>
    <row r="797" spans="2:24" ht="17.399999999999999" hidden="1" customHeight="1">
      <c r="B797" s="3" t="s">
        <v>28</v>
      </c>
      <c r="C797" s="3" t="s">
        <v>301</v>
      </c>
      <c r="D797" s="3" t="s">
        <v>319</v>
      </c>
      <c r="E797" s="3" t="s">
        <v>38</v>
      </c>
      <c r="F797" s="3" t="s">
        <v>318</v>
      </c>
      <c r="G797" s="3" t="s">
        <v>184</v>
      </c>
      <c r="H797" s="63" t="str">
        <f>Table1[[#This Row],[Tabela]]&amp;Table1[[#This Row],[Campo]]</f>
        <v>modesg_out_emss_vclscnsm_co2</v>
      </c>
      <c r="I797" s="3" t="s">
        <v>482</v>
      </c>
      <c r="J797" s="45">
        <f>VLOOKUP(Table1[[#This Row],[Status]],Auxiliar!$B$16:$C$23,2,0)</f>
        <v>6</v>
      </c>
      <c r="K797" s="3" t="s">
        <v>1141</v>
      </c>
      <c r="L797" s="3" t="s">
        <v>1135</v>
      </c>
      <c r="M797" s="22" t="s">
        <v>1155</v>
      </c>
      <c r="N797" s="53">
        <v>45561</v>
      </c>
      <c r="O797" s="22">
        <f>INDEX(Auxiliar!$D$5:$F$13,MATCH(Table1[[#This Row],[Tipologia_Testes]],Auxiliar!$B$5:$B$13,0),MATCH(Table1[[#This Row],[Complexidade]],Auxiliar!$D$4:$F$4,0))</f>
        <v>0.1</v>
      </c>
      <c r="P797" s="3" t="s">
        <v>1182</v>
      </c>
      <c r="Q797" s="3"/>
      <c r="R797" s="173">
        <v>45559</v>
      </c>
      <c r="S797" s="173"/>
      <c r="T797" s="173">
        <v>45559</v>
      </c>
      <c r="U797" s="173"/>
      <c r="V797" s="173"/>
      <c r="W797" s="3">
        <f>VLOOKUP(Table1[[#This Row],[Status]],Auxiliar!$B$16:$D$23,3,0)*Table1[[#This Row],[Estimação (horas)]]</f>
        <v>2.5000000000000001E-2</v>
      </c>
      <c r="X797" s="3"/>
    </row>
    <row r="798" spans="2:24" ht="17.399999999999999" hidden="1" customHeight="1">
      <c r="B798" s="3" t="s">
        <v>28</v>
      </c>
      <c r="C798" s="3" t="s">
        <v>301</v>
      </c>
      <c r="D798" s="3" t="s">
        <v>319</v>
      </c>
      <c r="E798" s="3" t="s">
        <v>38</v>
      </c>
      <c r="F798" s="3" t="s">
        <v>318</v>
      </c>
      <c r="G798" s="3" t="s">
        <v>306</v>
      </c>
      <c r="H798" s="63" t="str">
        <f>Table1[[#This Row],[Tabela]]&amp;Table1[[#This Row],[Campo]]</f>
        <v>modesg_out_emss_vclsorigem_scp1_emss</v>
      </c>
      <c r="I798" s="3" t="s">
        <v>177</v>
      </c>
      <c r="J798" s="45">
        <f>VLOOKUP(Table1[[#This Row],[Status]],Auxiliar!$B$16:$C$23,2,0)</f>
        <v>2</v>
      </c>
      <c r="K798" s="3" t="s">
        <v>1137</v>
      </c>
      <c r="L798" s="3" t="s">
        <v>1135</v>
      </c>
      <c r="M798" s="22" t="s">
        <v>1155</v>
      </c>
      <c r="N798" s="53">
        <v>45561</v>
      </c>
      <c r="O798" s="22">
        <f>INDEX(Auxiliar!$D$5:$F$13,MATCH(Table1[[#This Row],[Tipologia_Testes]],Auxiliar!$B$5:$B$13,0),MATCH(Table1[[#This Row],[Complexidade]],Auxiliar!$D$4:$F$4,0))</f>
        <v>4</v>
      </c>
      <c r="P798" s="3" t="s">
        <v>1183</v>
      </c>
      <c r="Q798" s="3"/>
      <c r="R798" s="173">
        <v>45559</v>
      </c>
      <c r="S798" s="173"/>
      <c r="T798" s="173">
        <v>45559</v>
      </c>
      <c r="U798" s="173"/>
      <c r="V798" s="173"/>
      <c r="W798" s="3">
        <f>VLOOKUP(Table1[[#This Row],[Status]],Auxiliar!$B$16:$D$23,3,0)*Table1[[#This Row],[Estimação (horas)]]</f>
        <v>2</v>
      </c>
      <c r="X798" s="3"/>
    </row>
    <row r="799" spans="2:24" ht="17.399999999999999" hidden="1" customHeight="1">
      <c r="B799" s="3" t="s">
        <v>28</v>
      </c>
      <c r="C799" s="3" t="s">
        <v>301</v>
      </c>
      <c r="D799" s="3" t="s">
        <v>319</v>
      </c>
      <c r="E799" s="3" t="s">
        <v>38</v>
      </c>
      <c r="F799" s="3" t="s">
        <v>318</v>
      </c>
      <c r="G799" s="3" t="s">
        <v>306</v>
      </c>
      <c r="H799" s="63" t="str">
        <f>Table1[[#This Row],[Tabela]]&amp;Table1[[#This Row],[Campo]]</f>
        <v>modesg_out_emss_vclsorigem_scp1_emss</v>
      </c>
      <c r="I799" s="3" t="s">
        <v>177</v>
      </c>
      <c r="J799" s="45">
        <f>VLOOKUP(Table1[[#This Row],[Status]],Auxiliar!$B$16:$C$23,2,0)</f>
        <v>2</v>
      </c>
      <c r="K799" s="3" t="s">
        <v>1138</v>
      </c>
      <c r="L799" s="3" t="s">
        <v>1135</v>
      </c>
      <c r="M799" s="22" t="s">
        <v>1155</v>
      </c>
      <c r="N799" s="53">
        <v>45561</v>
      </c>
      <c r="O799" s="22">
        <f>INDEX(Auxiliar!$D$5:$F$13,MATCH(Table1[[#This Row],[Tipologia_Testes]],Auxiliar!$B$5:$B$13,0),MATCH(Table1[[#This Row],[Complexidade]],Auxiliar!$D$4:$F$4,0))</f>
        <v>4</v>
      </c>
      <c r="P799" s="3" t="s">
        <v>1183</v>
      </c>
      <c r="Q799" s="3"/>
      <c r="R799" s="173">
        <v>45559</v>
      </c>
      <c r="S799" s="173"/>
      <c r="T799" s="173">
        <v>45559</v>
      </c>
      <c r="U799" s="173"/>
      <c r="V799" s="173"/>
      <c r="W799" s="3">
        <f>VLOOKUP(Table1[[#This Row],[Status]],Auxiliar!$B$16:$D$23,3,0)*Table1[[#This Row],[Estimação (horas)]]</f>
        <v>2</v>
      </c>
      <c r="X799" s="3"/>
    </row>
    <row r="800" spans="2:24" ht="17.399999999999999" hidden="1" customHeight="1">
      <c r="B800" s="3" t="s">
        <v>28</v>
      </c>
      <c r="C800" s="3" t="s">
        <v>301</v>
      </c>
      <c r="D800" s="3" t="s">
        <v>319</v>
      </c>
      <c r="E800" s="3" t="s">
        <v>38</v>
      </c>
      <c r="F800" s="3" t="s">
        <v>318</v>
      </c>
      <c r="G800" s="3" t="s">
        <v>306</v>
      </c>
      <c r="H800" s="63" t="str">
        <f>Table1[[#This Row],[Tabela]]&amp;Table1[[#This Row],[Campo]]</f>
        <v>modesg_out_emss_vclsorigem_scp1_emss</v>
      </c>
      <c r="I800" s="3" t="s">
        <v>177</v>
      </c>
      <c r="J800" s="45">
        <f>VLOOKUP(Table1[[#This Row],[Status]],Auxiliar!$B$16:$C$23,2,0)</f>
        <v>2</v>
      </c>
      <c r="K800" s="3" t="s">
        <v>1141</v>
      </c>
      <c r="L800" s="3" t="s">
        <v>1135</v>
      </c>
      <c r="M800" s="22" t="s">
        <v>1155</v>
      </c>
      <c r="N800" s="53">
        <v>45561</v>
      </c>
      <c r="O800" s="22">
        <f>INDEX(Auxiliar!$D$5:$F$13,MATCH(Table1[[#This Row],[Tipologia_Testes]],Auxiliar!$B$5:$B$13,0),MATCH(Table1[[#This Row],[Complexidade]],Auxiliar!$D$4:$F$4,0))</f>
        <v>0.1</v>
      </c>
      <c r="P800" s="3" t="s">
        <v>1183</v>
      </c>
      <c r="Q800" s="3"/>
      <c r="R800" s="173">
        <v>45559</v>
      </c>
      <c r="S800" s="173"/>
      <c r="T800" s="173">
        <v>45559</v>
      </c>
      <c r="U800" s="173"/>
      <c r="V800" s="173"/>
      <c r="W800" s="3">
        <f>VLOOKUP(Table1[[#This Row],[Status]],Auxiliar!$B$16:$D$23,3,0)*Table1[[#This Row],[Estimação (horas)]]</f>
        <v>0.05</v>
      </c>
      <c r="X800" s="3"/>
    </row>
    <row r="801" spans="2:24" ht="17.399999999999999" hidden="1" customHeight="1">
      <c r="B801" s="3" t="s">
        <v>28</v>
      </c>
      <c r="C801" s="3" t="s">
        <v>301</v>
      </c>
      <c r="D801" s="3" t="s">
        <v>319</v>
      </c>
      <c r="E801" s="3" t="s">
        <v>38</v>
      </c>
      <c r="F801" s="3" t="s">
        <v>318</v>
      </c>
      <c r="G801" s="3" t="s">
        <v>307</v>
      </c>
      <c r="H801" s="63" t="str">
        <f>Table1[[#This Row],[Tabela]]&amp;Table1[[#This Row],[Campo]]</f>
        <v>modesg_out_emss_vclsorigem_scp2_emss</v>
      </c>
      <c r="I801" s="3" t="s">
        <v>177</v>
      </c>
      <c r="J801" s="45">
        <f>VLOOKUP(Table1[[#This Row],[Status]],Auxiliar!$B$16:$C$23,2,0)</f>
        <v>2</v>
      </c>
      <c r="K801" s="3" t="s">
        <v>1137</v>
      </c>
      <c r="L801" s="3" t="s">
        <v>1135</v>
      </c>
      <c r="M801" s="22" t="s">
        <v>1155</v>
      </c>
      <c r="N801" s="53">
        <v>45561</v>
      </c>
      <c r="O801" s="22">
        <f>INDEX(Auxiliar!$D$5:$F$13,MATCH(Table1[[#This Row],[Tipologia_Testes]],Auxiliar!$B$5:$B$13,0),MATCH(Table1[[#This Row],[Complexidade]],Auxiliar!$D$4:$F$4,0))</f>
        <v>4</v>
      </c>
      <c r="P801" s="3" t="s">
        <v>1184</v>
      </c>
      <c r="Q801" s="3"/>
      <c r="R801" s="173">
        <v>45559</v>
      </c>
      <c r="S801" s="173"/>
      <c r="T801" s="173">
        <v>45559</v>
      </c>
      <c r="U801" s="173"/>
      <c r="V801" s="173"/>
      <c r="W801" s="3">
        <f>VLOOKUP(Table1[[#This Row],[Status]],Auxiliar!$B$16:$D$23,3,0)*Table1[[#This Row],[Estimação (horas)]]</f>
        <v>2</v>
      </c>
      <c r="X801" s="3"/>
    </row>
    <row r="802" spans="2:24" ht="17.399999999999999" hidden="1" customHeight="1">
      <c r="B802" s="3" t="s">
        <v>28</v>
      </c>
      <c r="C802" s="3" t="s">
        <v>301</v>
      </c>
      <c r="D802" s="3" t="s">
        <v>319</v>
      </c>
      <c r="E802" s="3" t="s">
        <v>38</v>
      </c>
      <c r="F802" s="3" t="s">
        <v>318</v>
      </c>
      <c r="G802" s="3" t="s">
        <v>307</v>
      </c>
      <c r="H802" s="63" t="str">
        <f>Table1[[#This Row],[Tabela]]&amp;Table1[[#This Row],[Campo]]</f>
        <v>modesg_out_emss_vclsorigem_scp2_emss</v>
      </c>
      <c r="I802" s="3" t="s">
        <v>177</v>
      </c>
      <c r="J802" s="45">
        <f>VLOOKUP(Table1[[#This Row],[Status]],Auxiliar!$B$16:$C$23,2,0)</f>
        <v>2</v>
      </c>
      <c r="K802" s="3" t="s">
        <v>1138</v>
      </c>
      <c r="L802" s="3" t="s">
        <v>1135</v>
      </c>
      <c r="M802" s="22" t="s">
        <v>1155</v>
      </c>
      <c r="N802" s="53">
        <v>45561</v>
      </c>
      <c r="O802" s="22">
        <f>INDEX(Auxiliar!$D$5:$F$13,MATCH(Table1[[#This Row],[Tipologia_Testes]],Auxiliar!$B$5:$B$13,0),MATCH(Table1[[#This Row],[Complexidade]],Auxiliar!$D$4:$F$4,0))</f>
        <v>4</v>
      </c>
      <c r="P802" s="3" t="s">
        <v>1184</v>
      </c>
      <c r="Q802" s="3"/>
      <c r="R802" s="173">
        <v>45559</v>
      </c>
      <c r="S802" s="173"/>
      <c r="T802" s="173">
        <v>45559</v>
      </c>
      <c r="U802" s="173"/>
      <c r="V802" s="173"/>
      <c r="W802" s="3">
        <f>VLOOKUP(Table1[[#This Row],[Status]],Auxiliar!$B$16:$D$23,3,0)*Table1[[#This Row],[Estimação (horas)]]</f>
        <v>2</v>
      </c>
      <c r="X802" s="3"/>
    </row>
    <row r="803" spans="2:24" ht="17.399999999999999" hidden="1" customHeight="1">
      <c r="B803" s="3" t="s">
        <v>28</v>
      </c>
      <c r="C803" s="3" t="s">
        <v>301</v>
      </c>
      <c r="D803" s="3" t="s">
        <v>319</v>
      </c>
      <c r="E803" s="3" t="s">
        <v>38</v>
      </c>
      <c r="F803" s="3" t="s">
        <v>318</v>
      </c>
      <c r="G803" s="3" t="s">
        <v>307</v>
      </c>
      <c r="H803" s="63" t="str">
        <f>Table1[[#This Row],[Tabela]]&amp;Table1[[#This Row],[Campo]]</f>
        <v>modesg_out_emss_vclsorigem_scp2_emss</v>
      </c>
      <c r="I803" s="3" t="s">
        <v>177</v>
      </c>
      <c r="J803" s="45">
        <f>VLOOKUP(Table1[[#This Row],[Status]],Auxiliar!$B$16:$C$23,2,0)</f>
        <v>2</v>
      </c>
      <c r="K803" s="3" t="s">
        <v>1141</v>
      </c>
      <c r="L803" s="3" t="s">
        <v>1135</v>
      </c>
      <c r="M803" s="22" t="s">
        <v>1155</v>
      </c>
      <c r="N803" s="53">
        <v>45561</v>
      </c>
      <c r="O803" s="22">
        <f>INDEX(Auxiliar!$D$5:$F$13,MATCH(Table1[[#This Row],[Tipologia_Testes]],Auxiliar!$B$5:$B$13,0),MATCH(Table1[[#This Row],[Complexidade]],Auxiliar!$D$4:$F$4,0))</f>
        <v>0.1</v>
      </c>
      <c r="P803" s="3" t="s">
        <v>1184</v>
      </c>
      <c r="Q803" s="3"/>
      <c r="R803" s="173">
        <v>45559</v>
      </c>
      <c r="S803" s="173"/>
      <c r="T803" s="173">
        <v>45559</v>
      </c>
      <c r="U803" s="173"/>
      <c r="V803" s="173"/>
      <c r="W803" s="3">
        <f>VLOOKUP(Table1[[#This Row],[Status]],Auxiliar!$B$16:$D$23,3,0)*Table1[[#This Row],[Estimação (horas)]]</f>
        <v>0.05</v>
      </c>
      <c r="X803" s="3"/>
    </row>
    <row r="804" spans="2:24" ht="17.399999999999999" hidden="1" customHeight="1">
      <c r="B804" s="3" t="s">
        <v>28</v>
      </c>
      <c r="C804" s="3" t="s">
        <v>301</v>
      </c>
      <c r="D804" s="3" t="s">
        <v>319</v>
      </c>
      <c r="E804" s="3" t="s">
        <v>38</v>
      </c>
      <c r="F804" s="3" t="s">
        <v>318</v>
      </c>
      <c r="G804" s="3" t="s">
        <v>308</v>
      </c>
      <c r="H804" s="63" t="str">
        <f>Table1[[#This Row],[Tabela]]&amp;Table1[[#This Row],[Campo]]</f>
        <v>modesg_out_emss_vclsorigem_scp3_emss</v>
      </c>
      <c r="I804" s="3" t="s">
        <v>177</v>
      </c>
      <c r="J804" s="45">
        <f>VLOOKUP(Table1[[#This Row],[Status]],Auxiliar!$B$16:$C$23,2,0)</f>
        <v>2</v>
      </c>
      <c r="K804" s="3" t="s">
        <v>1137</v>
      </c>
      <c r="L804" s="3" t="s">
        <v>1135</v>
      </c>
      <c r="M804" s="22" t="s">
        <v>1155</v>
      </c>
      <c r="N804" s="53">
        <v>45561</v>
      </c>
      <c r="O804" s="22">
        <f>INDEX(Auxiliar!$D$5:$F$13,MATCH(Table1[[#This Row],[Tipologia_Testes]],Auxiliar!$B$5:$B$13,0),MATCH(Table1[[#This Row],[Complexidade]],Auxiliar!$D$4:$F$4,0))</f>
        <v>4</v>
      </c>
      <c r="P804" s="3" t="s">
        <v>1185</v>
      </c>
      <c r="Q804" s="3"/>
      <c r="R804" s="173">
        <v>45559</v>
      </c>
      <c r="S804" s="173"/>
      <c r="T804" s="173">
        <v>45559</v>
      </c>
      <c r="U804" s="173"/>
      <c r="V804" s="173"/>
      <c r="W804" s="3">
        <f>VLOOKUP(Table1[[#This Row],[Status]],Auxiliar!$B$16:$D$23,3,0)*Table1[[#This Row],[Estimação (horas)]]</f>
        <v>2</v>
      </c>
      <c r="X804" s="3"/>
    </row>
    <row r="805" spans="2:24" ht="17.399999999999999" hidden="1" customHeight="1">
      <c r="B805" s="3" t="s">
        <v>28</v>
      </c>
      <c r="C805" s="3" t="s">
        <v>301</v>
      </c>
      <c r="D805" s="3" t="s">
        <v>319</v>
      </c>
      <c r="E805" s="3" t="s">
        <v>38</v>
      </c>
      <c r="F805" s="3" t="s">
        <v>318</v>
      </c>
      <c r="G805" s="3" t="s">
        <v>308</v>
      </c>
      <c r="H805" s="63" t="str">
        <f>Table1[[#This Row],[Tabela]]&amp;Table1[[#This Row],[Campo]]</f>
        <v>modesg_out_emss_vclsorigem_scp3_emss</v>
      </c>
      <c r="I805" s="3" t="s">
        <v>177</v>
      </c>
      <c r="J805" s="45">
        <f>VLOOKUP(Table1[[#This Row],[Status]],Auxiliar!$B$16:$C$23,2,0)</f>
        <v>2</v>
      </c>
      <c r="K805" s="3" t="s">
        <v>1138</v>
      </c>
      <c r="L805" s="3" t="s">
        <v>1135</v>
      </c>
      <c r="M805" s="22" t="s">
        <v>1155</v>
      </c>
      <c r="N805" s="53">
        <v>45561</v>
      </c>
      <c r="O805" s="22">
        <f>INDEX(Auxiliar!$D$5:$F$13,MATCH(Table1[[#This Row],[Tipologia_Testes]],Auxiliar!$B$5:$B$13,0),MATCH(Table1[[#This Row],[Complexidade]],Auxiliar!$D$4:$F$4,0))</f>
        <v>4</v>
      </c>
      <c r="P805" s="3" t="s">
        <v>1185</v>
      </c>
      <c r="Q805" s="3"/>
      <c r="R805" s="173">
        <v>45559</v>
      </c>
      <c r="S805" s="173"/>
      <c r="T805" s="173">
        <v>45559</v>
      </c>
      <c r="U805" s="173"/>
      <c r="V805" s="173"/>
      <c r="W805" s="3">
        <f>VLOOKUP(Table1[[#This Row],[Status]],Auxiliar!$B$16:$D$23,3,0)*Table1[[#This Row],[Estimação (horas)]]</f>
        <v>2</v>
      </c>
      <c r="X805" s="3"/>
    </row>
    <row r="806" spans="2:24" ht="17.399999999999999" hidden="1" customHeight="1">
      <c r="B806" s="3" t="s">
        <v>28</v>
      </c>
      <c r="C806" s="3" t="s">
        <v>301</v>
      </c>
      <c r="D806" s="3" t="s">
        <v>319</v>
      </c>
      <c r="E806" s="3" t="s">
        <v>38</v>
      </c>
      <c r="F806" s="3" t="s">
        <v>318</v>
      </c>
      <c r="G806" s="3" t="s">
        <v>308</v>
      </c>
      <c r="H806" s="63" t="str">
        <f>Table1[[#This Row],[Tabela]]&amp;Table1[[#This Row],[Campo]]</f>
        <v>modesg_out_emss_vclsorigem_scp3_emss</v>
      </c>
      <c r="I806" s="3" t="s">
        <v>177</v>
      </c>
      <c r="J806" s="45">
        <f>VLOOKUP(Table1[[#This Row],[Status]],Auxiliar!$B$16:$C$23,2,0)</f>
        <v>2</v>
      </c>
      <c r="K806" s="3" t="s">
        <v>1141</v>
      </c>
      <c r="L806" s="3" t="s">
        <v>1135</v>
      </c>
      <c r="M806" s="22" t="s">
        <v>1155</v>
      </c>
      <c r="N806" s="53">
        <v>45561</v>
      </c>
      <c r="O806" s="22">
        <f>INDEX(Auxiliar!$D$5:$F$13,MATCH(Table1[[#This Row],[Tipologia_Testes]],Auxiliar!$B$5:$B$13,0),MATCH(Table1[[#This Row],[Complexidade]],Auxiliar!$D$4:$F$4,0))</f>
        <v>0.1</v>
      </c>
      <c r="P806" s="3" t="s">
        <v>1185</v>
      </c>
      <c r="Q806" s="3"/>
      <c r="R806" s="173">
        <v>45559</v>
      </c>
      <c r="S806" s="173"/>
      <c r="T806" s="173">
        <v>45559</v>
      </c>
      <c r="U806" s="173"/>
      <c r="V806" s="173"/>
      <c r="W806" s="3">
        <f>VLOOKUP(Table1[[#This Row],[Status]],Auxiliar!$B$16:$D$23,3,0)*Table1[[#This Row],[Estimação (horas)]]</f>
        <v>0.05</v>
      </c>
      <c r="X806" s="3"/>
    </row>
    <row r="807" spans="2:24" ht="17.399999999999999" hidden="1" customHeight="1">
      <c r="B807" s="3" t="s">
        <v>28</v>
      </c>
      <c r="C807" s="3" t="s">
        <v>301</v>
      </c>
      <c r="D807" s="3" t="s">
        <v>319</v>
      </c>
      <c r="E807" s="3" t="s">
        <v>38</v>
      </c>
      <c r="F807" s="3" t="s">
        <v>318</v>
      </c>
      <c r="G807" s="3" t="s">
        <v>73</v>
      </c>
      <c r="H807" s="63" t="str">
        <f>Table1[[#This Row],[Tabela]]&amp;Table1[[#This Row],[Campo]]</f>
        <v>modesg_out_emss_vclsref_date</v>
      </c>
      <c r="I807" s="4" t="s">
        <v>477</v>
      </c>
      <c r="J807" s="60">
        <f>VLOOKUP(Table1[[#This Row],[Status]],Auxiliar!$B$16:$C$23,2,0)</f>
        <v>1</v>
      </c>
      <c r="K807" s="3" t="s">
        <v>1137</v>
      </c>
      <c r="L807" s="3" t="s">
        <v>1144</v>
      </c>
      <c r="M807" s="22" t="s">
        <v>1145</v>
      </c>
      <c r="N807" s="53">
        <v>45485</v>
      </c>
      <c r="O807" s="22">
        <f>INDEX(Auxiliar!$D$5:$F$13,MATCH(Table1[[#This Row],[Tipologia_Testes]],Auxiliar!$B$5:$B$13,0),MATCH(Table1[[#This Row],[Complexidade]],Auxiliar!$D$4:$F$4,0))</f>
        <v>2</v>
      </c>
      <c r="P807" s="3"/>
      <c r="Q807" s="3"/>
      <c r="R807" s="173">
        <v>45261</v>
      </c>
      <c r="S807" s="173"/>
      <c r="T807" s="173"/>
      <c r="U807" s="173"/>
      <c r="V807" s="173"/>
      <c r="W807" s="3">
        <f>VLOOKUP(Table1[[#This Row],[Status]],Auxiliar!$B$16:$D$23,3,0)*Table1[[#This Row],[Estimação (horas)]]</f>
        <v>2</v>
      </c>
      <c r="X807" s="3"/>
    </row>
    <row r="808" spans="2:24" ht="17.399999999999999" hidden="1" customHeight="1">
      <c r="B808" s="3" t="s">
        <v>28</v>
      </c>
      <c r="C808" s="3" t="s">
        <v>301</v>
      </c>
      <c r="D808" s="3" t="s">
        <v>319</v>
      </c>
      <c r="E808" s="3" t="s">
        <v>38</v>
      </c>
      <c r="F808" s="3" t="s">
        <v>318</v>
      </c>
      <c r="G808" s="3" t="s">
        <v>73</v>
      </c>
      <c r="H808" s="63" t="str">
        <f>Table1[[#This Row],[Tabela]]&amp;Table1[[#This Row],[Campo]]</f>
        <v>modesg_out_emss_vclsref_date</v>
      </c>
      <c r="I808" s="4" t="s">
        <v>477</v>
      </c>
      <c r="J808" s="60">
        <f>VLOOKUP(Table1[[#This Row],[Status]],Auxiliar!$B$16:$C$23,2,0)</f>
        <v>1</v>
      </c>
      <c r="K808" s="3" t="s">
        <v>1138</v>
      </c>
      <c r="L808" s="3" t="s">
        <v>1144</v>
      </c>
      <c r="M808" s="22" t="s">
        <v>1145</v>
      </c>
      <c r="N808" s="53">
        <v>45485</v>
      </c>
      <c r="O808" s="22">
        <f>INDEX(Auxiliar!$D$5:$F$13,MATCH(Table1[[#This Row],[Tipologia_Testes]],Auxiliar!$B$5:$B$13,0),MATCH(Table1[[#This Row],[Complexidade]],Auxiliar!$D$4:$F$4,0))</f>
        <v>2</v>
      </c>
      <c r="P808" s="3"/>
      <c r="Q808" s="3"/>
      <c r="R808" s="173">
        <v>45261</v>
      </c>
      <c r="S808" s="173"/>
      <c r="T808" s="173"/>
      <c r="U808" s="173"/>
      <c r="V808" s="173"/>
      <c r="W808" s="3">
        <f>VLOOKUP(Table1[[#This Row],[Status]],Auxiliar!$B$16:$D$23,3,0)*Table1[[#This Row],[Estimação (horas)]]</f>
        <v>2</v>
      </c>
      <c r="X808" s="3"/>
    </row>
    <row r="809" spans="2:24" ht="17.399999999999999" hidden="1" customHeight="1">
      <c r="B809" s="3" t="s">
        <v>28</v>
      </c>
      <c r="C809" s="3" t="s">
        <v>301</v>
      </c>
      <c r="D809" s="3" t="s">
        <v>319</v>
      </c>
      <c r="E809" s="3" t="s">
        <v>38</v>
      </c>
      <c r="F809" s="3" t="s">
        <v>318</v>
      </c>
      <c r="G809" s="3" t="s">
        <v>73</v>
      </c>
      <c r="H809" s="63" t="str">
        <f>Table1[[#This Row],[Tabela]]&amp;Table1[[#This Row],[Campo]]</f>
        <v>modesg_out_emss_vclsref_date</v>
      </c>
      <c r="I809" s="4" t="s">
        <v>477</v>
      </c>
      <c r="J809" s="60">
        <f>VLOOKUP(Table1[[#This Row],[Status]],Auxiliar!$B$16:$C$23,2,0)</f>
        <v>1</v>
      </c>
      <c r="K809" s="3" t="s">
        <v>1141</v>
      </c>
      <c r="L809" s="3" t="s">
        <v>1144</v>
      </c>
      <c r="M809" s="22" t="s">
        <v>1145</v>
      </c>
      <c r="N809" s="53">
        <v>45485</v>
      </c>
      <c r="O809" s="22">
        <f>INDEX(Auxiliar!$D$5:$F$13,MATCH(Table1[[#This Row],[Tipologia_Testes]],Auxiliar!$B$5:$B$13,0),MATCH(Table1[[#This Row],[Complexidade]],Auxiliar!$D$4:$F$4,0))</f>
        <v>0.1</v>
      </c>
      <c r="P809" s="3"/>
      <c r="Q809" s="3"/>
      <c r="R809" s="173">
        <v>45261</v>
      </c>
      <c r="S809" s="173"/>
      <c r="T809" s="173"/>
      <c r="U809" s="173"/>
      <c r="V809" s="173"/>
      <c r="W809" s="3">
        <f>VLOOKUP(Table1[[#This Row],[Status]],Auxiliar!$B$16:$D$23,3,0)*Table1[[#This Row],[Estimação (horas)]]</f>
        <v>0.1</v>
      </c>
      <c r="X809" s="3"/>
    </row>
    <row r="810" spans="2:24" ht="69.599999999999994" hidden="1" customHeight="1">
      <c r="B810" s="3" t="s">
        <v>28</v>
      </c>
      <c r="C810" s="3" t="s">
        <v>301</v>
      </c>
      <c r="D810" s="3" t="s">
        <v>319</v>
      </c>
      <c r="E810" s="3" t="s">
        <v>38</v>
      </c>
      <c r="F810" s="3" t="s">
        <v>318</v>
      </c>
      <c r="G810" s="3" t="s">
        <v>276</v>
      </c>
      <c r="H810" s="63" t="str">
        <f>Table1[[#This Row],[Tabela]]&amp;Table1[[#This Row],[Campo]]</f>
        <v>modesg_out_emss_vclsscp1_emss</v>
      </c>
      <c r="I810" s="3" t="s">
        <v>177</v>
      </c>
      <c r="J810" s="45">
        <f>VLOOKUP(Table1[[#This Row],[Status]],Auxiliar!$B$16:$C$23,2,0)</f>
        <v>2</v>
      </c>
      <c r="K810" s="3" t="s">
        <v>1137</v>
      </c>
      <c r="L810" s="3" t="s">
        <v>1135</v>
      </c>
      <c r="M810" s="22" t="s">
        <v>1136</v>
      </c>
      <c r="N810" s="53">
        <v>45561</v>
      </c>
      <c r="O810" s="22">
        <f>INDEX(Auxiliar!$D$5:$F$13,MATCH(Table1[[#This Row],[Tipologia_Testes]],Auxiliar!$B$5:$B$13,0),MATCH(Table1[[#This Row],[Complexidade]],Auxiliar!$D$4:$F$4,0))</f>
        <v>8</v>
      </c>
      <c r="P810" s="24" t="s">
        <v>1186</v>
      </c>
      <c r="Q810" s="3"/>
      <c r="R810" s="173">
        <v>45559</v>
      </c>
      <c r="S810" s="173"/>
      <c r="T810" s="173">
        <v>45559</v>
      </c>
      <c r="U810" s="173"/>
      <c r="V810" s="173"/>
      <c r="W810" s="3">
        <f>VLOOKUP(Table1[[#This Row],[Status]],Auxiliar!$B$16:$D$23,3,0)*Table1[[#This Row],[Estimação (horas)]]</f>
        <v>4</v>
      </c>
      <c r="X810" s="3"/>
    </row>
    <row r="811" spans="2:24" ht="69.599999999999994" hidden="1" customHeight="1">
      <c r="B811" s="3" t="s">
        <v>28</v>
      </c>
      <c r="C811" s="3" t="s">
        <v>301</v>
      </c>
      <c r="D811" s="3" t="s">
        <v>319</v>
      </c>
      <c r="E811" s="3" t="s">
        <v>38</v>
      </c>
      <c r="F811" s="3" t="s">
        <v>318</v>
      </c>
      <c r="G811" s="3" t="s">
        <v>276</v>
      </c>
      <c r="H811" s="63" t="str">
        <f>Table1[[#This Row],[Tabela]]&amp;Table1[[#This Row],[Campo]]</f>
        <v>modesg_out_emss_vclsscp1_emss</v>
      </c>
      <c r="I811" s="3" t="s">
        <v>177</v>
      </c>
      <c r="J811" s="45">
        <f>VLOOKUP(Table1[[#This Row],[Status]],Auxiliar!$B$16:$C$23,2,0)</f>
        <v>2</v>
      </c>
      <c r="K811" s="3" t="s">
        <v>1138</v>
      </c>
      <c r="L811" s="3" t="s">
        <v>1135</v>
      </c>
      <c r="M811" s="22" t="s">
        <v>1136</v>
      </c>
      <c r="N811" s="53">
        <v>45561</v>
      </c>
      <c r="O811" s="22">
        <f>INDEX(Auxiliar!$D$5:$F$13,MATCH(Table1[[#This Row],[Tipologia_Testes]],Auxiliar!$B$5:$B$13,0),MATCH(Table1[[#This Row],[Complexidade]],Auxiliar!$D$4:$F$4,0))</f>
        <v>8</v>
      </c>
      <c r="P811" s="24" t="s">
        <v>1186</v>
      </c>
      <c r="Q811" s="3"/>
      <c r="R811" s="173">
        <v>45559</v>
      </c>
      <c r="S811" s="173"/>
      <c r="T811" s="173">
        <v>45559</v>
      </c>
      <c r="U811" s="173"/>
      <c r="V811" s="173"/>
      <c r="W811" s="3">
        <f>VLOOKUP(Table1[[#This Row],[Status]],Auxiliar!$B$16:$D$23,3,0)*Table1[[#This Row],[Estimação (horas)]]</f>
        <v>4</v>
      </c>
      <c r="X811" s="3"/>
    </row>
    <row r="812" spans="2:24" ht="69.599999999999994" hidden="1" customHeight="1">
      <c r="B812" s="3" t="s">
        <v>28</v>
      </c>
      <c r="C812" s="3" t="s">
        <v>301</v>
      </c>
      <c r="D812" s="3" t="s">
        <v>319</v>
      </c>
      <c r="E812" s="3" t="s">
        <v>38</v>
      </c>
      <c r="F812" s="3" t="s">
        <v>318</v>
      </c>
      <c r="G812" s="3" t="s">
        <v>276</v>
      </c>
      <c r="H812" s="63" t="str">
        <f>Table1[[#This Row],[Tabela]]&amp;Table1[[#This Row],[Campo]]</f>
        <v>modesg_out_emss_vclsscp1_emss</v>
      </c>
      <c r="I812" s="3" t="s">
        <v>177</v>
      </c>
      <c r="J812" s="45">
        <f>VLOOKUP(Table1[[#This Row],[Status]],Auxiliar!$B$16:$C$23,2,0)</f>
        <v>2</v>
      </c>
      <c r="K812" s="3" t="s">
        <v>1141</v>
      </c>
      <c r="L812" s="3" t="s">
        <v>1135</v>
      </c>
      <c r="M812" s="22" t="s">
        <v>1136</v>
      </c>
      <c r="N812" s="53">
        <v>45561</v>
      </c>
      <c r="O812" s="22">
        <f>INDEX(Auxiliar!$D$5:$F$13,MATCH(Table1[[#This Row],[Tipologia_Testes]],Auxiliar!$B$5:$B$13,0),MATCH(Table1[[#This Row],[Complexidade]],Auxiliar!$D$4:$F$4,0))</f>
        <v>0.1</v>
      </c>
      <c r="P812" s="24" t="s">
        <v>1186</v>
      </c>
      <c r="Q812" s="3"/>
      <c r="R812" s="173">
        <v>45559</v>
      </c>
      <c r="S812" s="173"/>
      <c r="T812" s="173">
        <v>45559</v>
      </c>
      <c r="U812" s="173"/>
      <c r="V812" s="173"/>
      <c r="W812" s="3">
        <f>VLOOKUP(Table1[[#This Row],[Status]],Auxiliar!$B$16:$D$23,3,0)*Table1[[#This Row],[Estimação (horas)]]</f>
        <v>0.05</v>
      </c>
      <c r="X812" s="3"/>
    </row>
    <row r="813" spans="2:24" ht="69.599999999999994" hidden="1" customHeight="1">
      <c r="B813" s="3" t="s">
        <v>28</v>
      </c>
      <c r="C813" s="3" t="s">
        <v>301</v>
      </c>
      <c r="D813" s="3" t="s">
        <v>319</v>
      </c>
      <c r="E813" s="3" t="s">
        <v>38</v>
      </c>
      <c r="F813" s="3" t="s">
        <v>318</v>
      </c>
      <c r="G813" s="3" t="s">
        <v>277</v>
      </c>
      <c r="H813" s="63" t="str">
        <f>Table1[[#This Row],[Tabela]]&amp;Table1[[#This Row],[Campo]]</f>
        <v>modesg_out_emss_vclsscp2_emss</v>
      </c>
      <c r="I813" s="3" t="s">
        <v>177</v>
      </c>
      <c r="J813" s="45">
        <f>VLOOKUP(Table1[[#This Row],[Status]],Auxiliar!$B$16:$C$23,2,0)</f>
        <v>2</v>
      </c>
      <c r="K813" s="3" t="s">
        <v>1137</v>
      </c>
      <c r="L813" s="3" t="s">
        <v>1135</v>
      </c>
      <c r="M813" s="22" t="s">
        <v>1136</v>
      </c>
      <c r="N813" s="53">
        <v>45561</v>
      </c>
      <c r="O813" s="22">
        <f>INDEX(Auxiliar!$D$5:$F$13,MATCH(Table1[[#This Row],[Tipologia_Testes]],Auxiliar!$B$5:$B$13,0),MATCH(Table1[[#This Row],[Complexidade]],Auxiliar!$D$4:$F$4,0))</f>
        <v>8</v>
      </c>
      <c r="P813" s="24" t="s">
        <v>1186</v>
      </c>
      <c r="Q813" s="3"/>
      <c r="R813" s="173">
        <v>45559</v>
      </c>
      <c r="S813" s="173"/>
      <c r="T813" s="173">
        <v>45559</v>
      </c>
      <c r="U813" s="173"/>
      <c r="V813" s="173"/>
      <c r="W813" s="3">
        <f>VLOOKUP(Table1[[#This Row],[Status]],Auxiliar!$B$16:$D$23,3,0)*Table1[[#This Row],[Estimação (horas)]]</f>
        <v>4</v>
      </c>
      <c r="X813" s="3"/>
    </row>
    <row r="814" spans="2:24" ht="69.599999999999994" hidden="1" customHeight="1">
      <c r="B814" s="3" t="s">
        <v>28</v>
      </c>
      <c r="C814" s="3" t="s">
        <v>301</v>
      </c>
      <c r="D814" s="3" t="s">
        <v>319</v>
      </c>
      <c r="E814" s="3" t="s">
        <v>38</v>
      </c>
      <c r="F814" s="3" t="s">
        <v>318</v>
      </c>
      <c r="G814" s="3" t="s">
        <v>277</v>
      </c>
      <c r="H814" s="63" t="str">
        <f>Table1[[#This Row],[Tabela]]&amp;Table1[[#This Row],[Campo]]</f>
        <v>modesg_out_emss_vclsscp2_emss</v>
      </c>
      <c r="I814" s="3" t="s">
        <v>177</v>
      </c>
      <c r="J814" s="45">
        <f>VLOOKUP(Table1[[#This Row],[Status]],Auxiliar!$B$16:$C$23,2,0)</f>
        <v>2</v>
      </c>
      <c r="K814" s="3" t="s">
        <v>1138</v>
      </c>
      <c r="L814" s="3" t="s">
        <v>1135</v>
      </c>
      <c r="M814" s="22" t="s">
        <v>1136</v>
      </c>
      <c r="N814" s="53">
        <v>45561</v>
      </c>
      <c r="O814" s="22">
        <f>INDEX(Auxiliar!$D$5:$F$13,MATCH(Table1[[#This Row],[Tipologia_Testes]],Auxiliar!$B$5:$B$13,0),MATCH(Table1[[#This Row],[Complexidade]],Auxiliar!$D$4:$F$4,0))</f>
        <v>8</v>
      </c>
      <c r="P814" s="24" t="s">
        <v>1186</v>
      </c>
      <c r="Q814" s="3"/>
      <c r="R814" s="173">
        <v>45559</v>
      </c>
      <c r="S814" s="173"/>
      <c r="T814" s="173">
        <v>45559</v>
      </c>
      <c r="U814" s="173"/>
      <c r="V814" s="173"/>
      <c r="W814" s="3">
        <f>VLOOKUP(Table1[[#This Row],[Status]],Auxiliar!$B$16:$D$23,3,0)*Table1[[#This Row],[Estimação (horas)]]</f>
        <v>4</v>
      </c>
      <c r="X814" s="3"/>
    </row>
    <row r="815" spans="2:24" ht="69.599999999999994" hidden="1" customHeight="1">
      <c r="B815" s="3" t="s">
        <v>28</v>
      </c>
      <c r="C815" s="3" t="s">
        <v>301</v>
      </c>
      <c r="D815" s="3" t="s">
        <v>319</v>
      </c>
      <c r="E815" s="3" t="s">
        <v>38</v>
      </c>
      <c r="F815" s="3" t="s">
        <v>318</v>
      </c>
      <c r="G815" s="3" t="s">
        <v>277</v>
      </c>
      <c r="H815" s="63" t="str">
        <f>Table1[[#This Row],[Tabela]]&amp;Table1[[#This Row],[Campo]]</f>
        <v>modesg_out_emss_vclsscp2_emss</v>
      </c>
      <c r="I815" s="3" t="s">
        <v>177</v>
      </c>
      <c r="J815" s="45">
        <f>VLOOKUP(Table1[[#This Row],[Status]],Auxiliar!$B$16:$C$23,2,0)</f>
        <v>2</v>
      </c>
      <c r="K815" s="3" t="s">
        <v>1141</v>
      </c>
      <c r="L815" s="3" t="s">
        <v>1135</v>
      </c>
      <c r="M815" s="22" t="s">
        <v>1136</v>
      </c>
      <c r="N815" s="53">
        <v>45561</v>
      </c>
      <c r="O815" s="22">
        <f>INDEX(Auxiliar!$D$5:$F$13,MATCH(Table1[[#This Row],[Tipologia_Testes]],Auxiliar!$B$5:$B$13,0),MATCH(Table1[[#This Row],[Complexidade]],Auxiliar!$D$4:$F$4,0))</f>
        <v>0.1</v>
      </c>
      <c r="P815" s="24" t="s">
        <v>1186</v>
      </c>
      <c r="Q815" s="3"/>
      <c r="R815" s="173">
        <v>45559</v>
      </c>
      <c r="S815" s="173"/>
      <c r="T815" s="173">
        <v>45559</v>
      </c>
      <c r="U815" s="173"/>
      <c r="V815" s="173"/>
      <c r="W815" s="3">
        <f>VLOOKUP(Table1[[#This Row],[Status]],Auxiliar!$B$16:$D$23,3,0)*Table1[[#This Row],[Estimação (horas)]]</f>
        <v>0.05</v>
      </c>
      <c r="X815" s="3"/>
    </row>
    <row r="816" spans="2:24" ht="69.599999999999994" hidden="1" customHeight="1">
      <c r="B816" s="3" t="s">
        <v>28</v>
      </c>
      <c r="C816" s="3" t="s">
        <v>301</v>
      </c>
      <c r="D816" s="3" t="s">
        <v>319</v>
      </c>
      <c r="E816" s="3" t="s">
        <v>38</v>
      </c>
      <c r="F816" s="3" t="s">
        <v>318</v>
      </c>
      <c r="G816" s="3" t="s">
        <v>278</v>
      </c>
      <c r="H816" s="63" t="str">
        <f>Table1[[#This Row],[Tabela]]&amp;Table1[[#This Row],[Campo]]</f>
        <v>modesg_out_emss_vclsscp3_emss</v>
      </c>
      <c r="I816" s="3" t="s">
        <v>177</v>
      </c>
      <c r="J816" s="45">
        <f>VLOOKUP(Table1[[#This Row],[Status]],Auxiliar!$B$16:$C$23,2,0)</f>
        <v>2</v>
      </c>
      <c r="K816" s="3" t="s">
        <v>1137</v>
      </c>
      <c r="L816" s="3" t="s">
        <v>1135</v>
      </c>
      <c r="M816" s="22" t="s">
        <v>1136</v>
      </c>
      <c r="N816" s="53">
        <v>45561</v>
      </c>
      <c r="O816" s="22">
        <f>INDEX(Auxiliar!$D$5:$F$13,MATCH(Table1[[#This Row],[Tipologia_Testes]],Auxiliar!$B$5:$B$13,0),MATCH(Table1[[#This Row],[Complexidade]],Auxiliar!$D$4:$F$4,0))</f>
        <v>8</v>
      </c>
      <c r="P816" s="24" t="s">
        <v>1186</v>
      </c>
      <c r="Q816" s="3"/>
      <c r="R816" s="173">
        <v>45559</v>
      </c>
      <c r="S816" s="173"/>
      <c r="T816" s="173">
        <v>45559</v>
      </c>
      <c r="U816" s="173"/>
      <c r="V816" s="173"/>
      <c r="W816" s="3">
        <f>VLOOKUP(Table1[[#This Row],[Status]],Auxiliar!$B$16:$D$23,3,0)*Table1[[#This Row],[Estimação (horas)]]</f>
        <v>4</v>
      </c>
      <c r="X816" s="3"/>
    </row>
    <row r="817" spans="2:24" ht="69.599999999999994" hidden="1" customHeight="1">
      <c r="B817" s="3" t="s">
        <v>28</v>
      </c>
      <c r="C817" s="3" t="s">
        <v>301</v>
      </c>
      <c r="D817" s="3" t="s">
        <v>319</v>
      </c>
      <c r="E817" s="3" t="s">
        <v>38</v>
      </c>
      <c r="F817" s="3" t="s">
        <v>318</v>
      </c>
      <c r="G817" s="3" t="s">
        <v>278</v>
      </c>
      <c r="H817" s="63" t="str">
        <f>Table1[[#This Row],[Tabela]]&amp;Table1[[#This Row],[Campo]]</f>
        <v>modesg_out_emss_vclsscp3_emss</v>
      </c>
      <c r="I817" s="3" t="s">
        <v>177</v>
      </c>
      <c r="J817" s="45">
        <f>VLOOKUP(Table1[[#This Row],[Status]],Auxiliar!$B$16:$C$23,2,0)</f>
        <v>2</v>
      </c>
      <c r="K817" s="3" t="s">
        <v>1138</v>
      </c>
      <c r="L817" s="3" t="s">
        <v>1135</v>
      </c>
      <c r="M817" s="22" t="s">
        <v>1136</v>
      </c>
      <c r="N817" s="53">
        <v>45561</v>
      </c>
      <c r="O817" s="22">
        <f>INDEX(Auxiliar!$D$5:$F$13,MATCH(Table1[[#This Row],[Tipologia_Testes]],Auxiliar!$B$5:$B$13,0),MATCH(Table1[[#This Row],[Complexidade]],Auxiliar!$D$4:$F$4,0))</f>
        <v>8</v>
      </c>
      <c r="P817" s="24" t="s">
        <v>1186</v>
      </c>
      <c r="Q817" s="3"/>
      <c r="R817" s="173">
        <v>45559</v>
      </c>
      <c r="S817" s="173"/>
      <c r="T817" s="173">
        <v>45559</v>
      </c>
      <c r="U817" s="173"/>
      <c r="V817" s="173"/>
      <c r="W817" s="3">
        <f>VLOOKUP(Table1[[#This Row],[Status]],Auxiliar!$B$16:$D$23,3,0)*Table1[[#This Row],[Estimação (horas)]]</f>
        <v>4</v>
      </c>
      <c r="X817" s="3"/>
    </row>
    <row r="818" spans="2:24" ht="69.599999999999994" hidden="1" customHeight="1">
      <c r="B818" s="3" t="s">
        <v>28</v>
      </c>
      <c r="C818" s="3" t="s">
        <v>301</v>
      </c>
      <c r="D818" s="3" t="s">
        <v>319</v>
      </c>
      <c r="E818" s="3" t="s">
        <v>38</v>
      </c>
      <c r="F818" s="3" t="s">
        <v>318</v>
      </c>
      <c r="G818" s="3" t="s">
        <v>278</v>
      </c>
      <c r="H818" s="63" t="str">
        <f>Table1[[#This Row],[Tabela]]&amp;Table1[[#This Row],[Campo]]</f>
        <v>modesg_out_emss_vclsscp3_emss</v>
      </c>
      <c r="I818" s="3" t="s">
        <v>177</v>
      </c>
      <c r="J818" s="45">
        <f>VLOOKUP(Table1[[#This Row],[Status]],Auxiliar!$B$16:$C$23,2,0)</f>
        <v>2</v>
      </c>
      <c r="K818" s="3" t="s">
        <v>1141</v>
      </c>
      <c r="L818" s="3" t="s">
        <v>1135</v>
      </c>
      <c r="M818" s="22" t="s">
        <v>1136</v>
      </c>
      <c r="N818" s="53">
        <v>45561</v>
      </c>
      <c r="O818" s="22">
        <f>INDEX(Auxiliar!$D$5:$F$13,MATCH(Table1[[#This Row],[Tipologia_Testes]],Auxiliar!$B$5:$B$13,0),MATCH(Table1[[#This Row],[Complexidade]],Auxiliar!$D$4:$F$4,0))</f>
        <v>0.1</v>
      </c>
      <c r="P818" s="24" t="s">
        <v>1186</v>
      </c>
      <c r="Q818" s="3"/>
      <c r="R818" s="173">
        <v>45559</v>
      </c>
      <c r="S818" s="173"/>
      <c r="T818" s="173">
        <v>45559</v>
      </c>
      <c r="U818" s="173"/>
      <c r="V818" s="173"/>
      <c r="W818" s="3">
        <f>VLOOKUP(Table1[[#This Row],[Status]],Auxiliar!$B$16:$D$23,3,0)*Table1[[#This Row],[Estimação (horas)]]</f>
        <v>0.05</v>
      </c>
      <c r="X818" s="3"/>
    </row>
    <row r="819" spans="2:24" ht="17.399999999999999" hidden="1" customHeight="1">
      <c r="B819" s="3" t="s">
        <v>28</v>
      </c>
      <c r="C819" s="3" t="s">
        <v>301</v>
      </c>
      <c r="D819" s="3" t="s">
        <v>319</v>
      </c>
      <c r="E819" s="3" t="s">
        <v>38</v>
      </c>
      <c r="F819" s="3" t="s">
        <v>318</v>
      </c>
      <c r="G819" s="3" t="s">
        <v>309</v>
      </c>
      <c r="H819" s="63" t="str">
        <f>Table1[[#This Row],[Tabela]]&amp;Table1[[#This Row],[Campo]]</f>
        <v>modesg_out_emss_vclsunidade_funcional_scp1_emss</v>
      </c>
      <c r="I819" s="4" t="s">
        <v>477</v>
      </c>
      <c r="J819" s="60">
        <f>VLOOKUP(Table1[[#This Row],[Status]],Auxiliar!$B$16:$C$23,2,0)</f>
        <v>1</v>
      </c>
      <c r="K819" s="3" t="s">
        <v>1137</v>
      </c>
      <c r="L819" s="3" t="s">
        <v>1144</v>
      </c>
      <c r="M819" s="22" t="s">
        <v>1145</v>
      </c>
      <c r="N819" s="53">
        <v>45485</v>
      </c>
      <c r="O819" s="22">
        <f>INDEX(Auxiliar!$D$5:$F$13,MATCH(Table1[[#This Row],[Tipologia_Testes]],Auxiliar!$B$5:$B$13,0),MATCH(Table1[[#This Row],[Complexidade]],Auxiliar!$D$4:$F$4,0))</f>
        <v>2</v>
      </c>
      <c r="P819" s="3"/>
      <c r="Q819" s="3"/>
      <c r="R819" s="173">
        <v>45261</v>
      </c>
      <c r="S819" s="173"/>
      <c r="T819" s="173"/>
      <c r="U819" s="173"/>
      <c r="V819" s="173"/>
      <c r="W819" s="3">
        <f>VLOOKUP(Table1[[#This Row],[Status]],Auxiliar!$B$16:$D$23,3,0)*Table1[[#This Row],[Estimação (horas)]]</f>
        <v>2</v>
      </c>
      <c r="X819" s="3"/>
    </row>
    <row r="820" spans="2:24" ht="17.399999999999999" hidden="1" customHeight="1">
      <c r="B820" s="3" t="s">
        <v>28</v>
      </c>
      <c r="C820" s="3" t="s">
        <v>301</v>
      </c>
      <c r="D820" s="3" t="s">
        <v>319</v>
      </c>
      <c r="E820" s="3" t="s">
        <v>38</v>
      </c>
      <c r="F820" s="3" t="s">
        <v>318</v>
      </c>
      <c r="G820" s="3" t="s">
        <v>309</v>
      </c>
      <c r="H820" s="63" t="str">
        <f>Table1[[#This Row],[Tabela]]&amp;Table1[[#This Row],[Campo]]</f>
        <v>modesg_out_emss_vclsunidade_funcional_scp1_emss</v>
      </c>
      <c r="I820" s="4" t="s">
        <v>477</v>
      </c>
      <c r="J820" s="60">
        <f>VLOOKUP(Table1[[#This Row],[Status]],Auxiliar!$B$16:$C$23,2,0)</f>
        <v>1</v>
      </c>
      <c r="K820" s="3" t="s">
        <v>1138</v>
      </c>
      <c r="L820" s="3" t="s">
        <v>1144</v>
      </c>
      <c r="M820" s="22" t="s">
        <v>1145</v>
      </c>
      <c r="N820" s="53">
        <v>45485</v>
      </c>
      <c r="O820" s="22">
        <f>INDEX(Auxiliar!$D$5:$F$13,MATCH(Table1[[#This Row],[Tipologia_Testes]],Auxiliar!$B$5:$B$13,0),MATCH(Table1[[#This Row],[Complexidade]],Auxiliar!$D$4:$F$4,0))</f>
        <v>2</v>
      </c>
      <c r="P820" s="3"/>
      <c r="Q820" s="3"/>
      <c r="R820" s="173">
        <v>45261</v>
      </c>
      <c r="S820" s="173"/>
      <c r="T820" s="173"/>
      <c r="U820" s="173"/>
      <c r="V820" s="173"/>
      <c r="W820" s="3">
        <f>VLOOKUP(Table1[[#This Row],[Status]],Auxiliar!$B$16:$D$23,3,0)*Table1[[#This Row],[Estimação (horas)]]</f>
        <v>2</v>
      </c>
      <c r="X820" s="3"/>
    </row>
    <row r="821" spans="2:24" ht="17.399999999999999" hidden="1" customHeight="1">
      <c r="B821" s="3" t="s">
        <v>28</v>
      </c>
      <c r="C821" s="3" t="s">
        <v>301</v>
      </c>
      <c r="D821" s="3" t="s">
        <v>319</v>
      </c>
      <c r="E821" s="3" t="s">
        <v>38</v>
      </c>
      <c r="F821" s="3" t="s">
        <v>318</v>
      </c>
      <c r="G821" s="3" t="s">
        <v>309</v>
      </c>
      <c r="H821" s="63" t="str">
        <f>Table1[[#This Row],[Tabela]]&amp;Table1[[#This Row],[Campo]]</f>
        <v>modesg_out_emss_vclsunidade_funcional_scp1_emss</v>
      </c>
      <c r="I821" s="4" t="s">
        <v>477</v>
      </c>
      <c r="J821" s="60">
        <f>VLOOKUP(Table1[[#This Row],[Status]],Auxiliar!$B$16:$C$23,2,0)</f>
        <v>1</v>
      </c>
      <c r="K821" s="3" t="s">
        <v>1141</v>
      </c>
      <c r="L821" s="3" t="s">
        <v>1144</v>
      </c>
      <c r="M821" s="22" t="s">
        <v>1145</v>
      </c>
      <c r="N821" s="53">
        <v>45485</v>
      </c>
      <c r="O821" s="22">
        <f>INDEX(Auxiliar!$D$5:$F$13,MATCH(Table1[[#This Row],[Tipologia_Testes]],Auxiliar!$B$5:$B$13,0),MATCH(Table1[[#This Row],[Complexidade]],Auxiliar!$D$4:$F$4,0))</f>
        <v>0.1</v>
      </c>
      <c r="P821" s="3"/>
      <c r="Q821" s="3"/>
      <c r="R821" s="173">
        <v>45261</v>
      </c>
      <c r="S821" s="173"/>
      <c r="T821" s="173"/>
      <c r="U821" s="173"/>
      <c r="V821" s="173"/>
      <c r="W821" s="3">
        <f>VLOOKUP(Table1[[#This Row],[Status]],Auxiliar!$B$16:$D$23,3,0)*Table1[[#This Row],[Estimação (horas)]]</f>
        <v>0.1</v>
      </c>
      <c r="X821" s="3"/>
    </row>
    <row r="822" spans="2:24" ht="17.399999999999999" hidden="1" customHeight="1">
      <c r="B822" s="3" t="s">
        <v>28</v>
      </c>
      <c r="C822" s="3" t="s">
        <v>301</v>
      </c>
      <c r="D822" s="3" t="s">
        <v>319</v>
      </c>
      <c r="E822" s="3" t="s">
        <v>38</v>
      </c>
      <c r="F822" s="3" t="s">
        <v>318</v>
      </c>
      <c r="G822" s="3" t="s">
        <v>310</v>
      </c>
      <c r="H822" s="63" t="str">
        <f>Table1[[#This Row],[Tabela]]&amp;Table1[[#This Row],[Campo]]</f>
        <v>modesg_out_emss_vclsunidade_funcional_scp2_emss</v>
      </c>
      <c r="I822" s="4" t="s">
        <v>477</v>
      </c>
      <c r="J822" s="60">
        <f>VLOOKUP(Table1[[#This Row],[Status]],Auxiliar!$B$16:$C$23,2,0)</f>
        <v>1</v>
      </c>
      <c r="K822" s="3" t="s">
        <v>1137</v>
      </c>
      <c r="L822" s="3" t="s">
        <v>1144</v>
      </c>
      <c r="M822" s="22" t="s">
        <v>1145</v>
      </c>
      <c r="N822" s="53">
        <v>45485</v>
      </c>
      <c r="O822" s="22">
        <f>INDEX(Auxiliar!$D$5:$F$13,MATCH(Table1[[#This Row],[Tipologia_Testes]],Auxiliar!$B$5:$B$13,0),MATCH(Table1[[#This Row],[Complexidade]],Auxiliar!$D$4:$F$4,0))</f>
        <v>2</v>
      </c>
      <c r="P822" s="3"/>
      <c r="Q822" s="3"/>
      <c r="R822" s="173">
        <v>45261</v>
      </c>
      <c r="S822" s="173"/>
      <c r="T822" s="173"/>
      <c r="U822" s="173"/>
      <c r="V822" s="173"/>
      <c r="W822" s="3">
        <f>VLOOKUP(Table1[[#This Row],[Status]],Auxiliar!$B$16:$D$23,3,0)*Table1[[#This Row],[Estimação (horas)]]</f>
        <v>2</v>
      </c>
      <c r="X822" s="3"/>
    </row>
    <row r="823" spans="2:24" ht="17.399999999999999" hidden="1" customHeight="1">
      <c r="B823" s="3" t="s">
        <v>28</v>
      </c>
      <c r="C823" s="3" t="s">
        <v>301</v>
      </c>
      <c r="D823" s="3" t="s">
        <v>319</v>
      </c>
      <c r="E823" s="3" t="s">
        <v>38</v>
      </c>
      <c r="F823" s="3" t="s">
        <v>318</v>
      </c>
      <c r="G823" s="3" t="s">
        <v>310</v>
      </c>
      <c r="H823" s="63" t="str">
        <f>Table1[[#This Row],[Tabela]]&amp;Table1[[#This Row],[Campo]]</f>
        <v>modesg_out_emss_vclsunidade_funcional_scp2_emss</v>
      </c>
      <c r="I823" s="4" t="s">
        <v>477</v>
      </c>
      <c r="J823" s="60">
        <f>VLOOKUP(Table1[[#This Row],[Status]],Auxiliar!$B$16:$C$23,2,0)</f>
        <v>1</v>
      </c>
      <c r="K823" s="3" t="s">
        <v>1138</v>
      </c>
      <c r="L823" s="3" t="s">
        <v>1144</v>
      </c>
      <c r="M823" s="22" t="s">
        <v>1145</v>
      </c>
      <c r="N823" s="53">
        <v>45485</v>
      </c>
      <c r="O823" s="22">
        <f>INDEX(Auxiliar!$D$5:$F$13,MATCH(Table1[[#This Row],[Tipologia_Testes]],Auxiliar!$B$5:$B$13,0),MATCH(Table1[[#This Row],[Complexidade]],Auxiliar!$D$4:$F$4,0))</f>
        <v>2</v>
      </c>
      <c r="P823" s="3"/>
      <c r="Q823" s="3"/>
      <c r="R823" s="173">
        <v>45261</v>
      </c>
      <c r="S823" s="173"/>
      <c r="T823" s="173"/>
      <c r="U823" s="173"/>
      <c r="V823" s="173"/>
      <c r="W823" s="3">
        <f>VLOOKUP(Table1[[#This Row],[Status]],Auxiliar!$B$16:$D$23,3,0)*Table1[[#This Row],[Estimação (horas)]]</f>
        <v>2</v>
      </c>
      <c r="X823" s="3"/>
    </row>
    <row r="824" spans="2:24" ht="17.399999999999999" hidden="1" customHeight="1">
      <c r="B824" s="3" t="s">
        <v>28</v>
      </c>
      <c r="C824" s="3" t="s">
        <v>301</v>
      </c>
      <c r="D824" s="3" t="s">
        <v>319</v>
      </c>
      <c r="E824" s="3" t="s">
        <v>38</v>
      </c>
      <c r="F824" s="3" t="s">
        <v>318</v>
      </c>
      <c r="G824" s="3" t="s">
        <v>310</v>
      </c>
      <c r="H824" s="63" t="str">
        <f>Table1[[#This Row],[Tabela]]&amp;Table1[[#This Row],[Campo]]</f>
        <v>modesg_out_emss_vclsunidade_funcional_scp2_emss</v>
      </c>
      <c r="I824" s="4" t="s">
        <v>477</v>
      </c>
      <c r="J824" s="60">
        <f>VLOOKUP(Table1[[#This Row],[Status]],Auxiliar!$B$16:$C$23,2,0)</f>
        <v>1</v>
      </c>
      <c r="K824" s="3" t="s">
        <v>1141</v>
      </c>
      <c r="L824" s="3" t="s">
        <v>1144</v>
      </c>
      <c r="M824" s="22" t="s">
        <v>1145</v>
      </c>
      <c r="N824" s="53">
        <v>45485</v>
      </c>
      <c r="O824" s="22">
        <f>INDEX(Auxiliar!$D$5:$F$13,MATCH(Table1[[#This Row],[Tipologia_Testes]],Auxiliar!$B$5:$B$13,0),MATCH(Table1[[#This Row],[Complexidade]],Auxiliar!$D$4:$F$4,0))</f>
        <v>0.1</v>
      </c>
      <c r="P824" s="3"/>
      <c r="Q824" s="3"/>
      <c r="R824" s="173">
        <v>45261</v>
      </c>
      <c r="S824" s="173"/>
      <c r="T824" s="173"/>
      <c r="U824" s="173"/>
      <c r="V824" s="173"/>
      <c r="W824" s="3">
        <f>VLOOKUP(Table1[[#This Row],[Status]],Auxiliar!$B$16:$D$23,3,0)*Table1[[#This Row],[Estimação (horas)]]</f>
        <v>0.1</v>
      </c>
      <c r="X824" s="3"/>
    </row>
    <row r="825" spans="2:24" ht="17.399999999999999" hidden="1" customHeight="1">
      <c r="B825" s="3" t="s">
        <v>28</v>
      </c>
      <c r="C825" s="3" t="s">
        <v>301</v>
      </c>
      <c r="D825" s="3" t="s">
        <v>319</v>
      </c>
      <c r="E825" s="3" t="s">
        <v>38</v>
      </c>
      <c r="F825" s="3" t="s">
        <v>318</v>
      </c>
      <c r="G825" s="3" t="s">
        <v>311</v>
      </c>
      <c r="H825" s="63" t="str">
        <f>Table1[[#This Row],[Tabela]]&amp;Table1[[#This Row],[Campo]]</f>
        <v>modesg_out_emss_vclsunidade_funcional_scp3_emss</v>
      </c>
      <c r="I825" s="4" t="s">
        <v>477</v>
      </c>
      <c r="J825" s="60">
        <f>VLOOKUP(Table1[[#This Row],[Status]],Auxiliar!$B$16:$C$23,2,0)</f>
        <v>1</v>
      </c>
      <c r="K825" s="3" t="s">
        <v>1137</v>
      </c>
      <c r="L825" s="3" t="s">
        <v>1144</v>
      </c>
      <c r="M825" s="22" t="s">
        <v>1145</v>
      </c>
      <c r="N825" s="53">
        <v>45485</v>
      </c>
      <c r="O825" s="22">
        <f>INDEX(Auxiliar!$D$5:$F$13,MATCH(Table1[[#This Row],[Tipologia_Testes]],Auxiliar!$B$5:$B$13,0),MATCH(Table1[[#This Row],[Complexidade]],Auxiliar!$D$4:$F$4,0))</f>
        <v>2</v>
      </c>
      <c r="P825" s="3"/>
      <c r="Q825" s="3"/>
      <c r="R825" s="173">
        <v>45261</v>
      </c>
      <c r="S825" s="173"/>
      <c r="T825" s="173"/>
      <c r="U825" s="173"/>
      <c r="V825" s="173"/>
      <c r="W825" s="3">
        <f>VLOOKUP(Table1[[#This Row],[Status]],Auxiliar!$B$16:$D$23,3,0)*Table1[[#This Row],[Estimação (horas)]]</f>
        <v>2</v>
      </c>
      <c r="X825" s="3"/>
    </row>
    <row r="826" spans="2:24" ht="17.399999999999999" hidden="1" customHeight="1">
      <c r="B826" s="3" t="s">
        <v>28</v>
      </c>
      <c r="C826" s="3" t="s">
        <v>301</v>
      </c>
      <c r="D826" s="3" t="s">
        <v>319</v>
      </c>
      <c r="E826" s="3" t="s">
        <v>38</v>
      </c>
      <c r="F826" s="3" t="s">
        <v>318</v>
      </c>
      <c r="G826" s="3" t="s">
        <v>311</v>
      </c>
      <c r="H826" s="63" t="str">
        <f>Table1[[#This Row],[Tabela]]&amp;Table1[[#This Row],[Campo]]</f>
        <v>modesg_out_emss_vclsunidade_funcional_scp3_emss</v>
      </c>
      <c r="I826" s="4" t="s">
        <v>477</v>
      </c>
      <c r="J826" s="60">
        <f>VLOOKUP(Table1[[#This Row],[Status]],Auxiliar!$B$16:$C$23,2,0)</f>
        <v>1</v>
      </c>
      <c r="K826" s="3" t="s">
        <v>1138</v>
      </c>
      <c r="L826" s="3" t="s">
        <v>1144</v>
      </c>
      <c r="M826" s="22" t="s">
        <v>1145</v>
      </c>
      <c r="N826" s="53">
        <v>45485</v>
      </c>
      <c r="O826" s="22">
        <f>INDEX(Auxiliar!$D$5:$F$13,MATCH(Table1[[#This Row],[Tipologia_Testes]],Auxiliar!$B$5:$B$13,0),MATCH(Table1[[#This Row],[Complexidade]],Auxiliar!$D$4:$F$4,0))</f>
        <v>2</v>
      </c>
      <c r="P826" s="3"/>
      <c r="Q826" s="3"/>
      <c r="R826" s="173">
        <v>45261</v>
      </c>
      <c r="S826" s="173"/>
      <c r="T826" s="173"/>
      <c r="U826" s="173"/>
      <c r="V826" s="173"/>
      <c r="W826" s="3">
        <f>VLOOKUP(Table1[[#This Row],[Status]],Auxiliar!$B$16:$D$23,3,0)*Table1[[#This Row],[Estimação (horas)]]</f>
        <v>2</v>
      </c>
      <c r="X826" s="3"/>
    </row>
    <row r="827" spans="2:24" ht="17.399999999999999" hidden="1" customHeight="1">
      <c r="B827" s="3" t="s">
        <v>28</v>
      </c>
      <c r="C827" s="3" t="s">
        <v>301</v>
      </c>
      <c r="D827" s="3" t="s">
        <v>319</v>
      </c>
      <c r="E827" s="3" t="s">
        <v>38</v>
      </c>
      <c r="F827" s="3" t="s">
        <v>318</v>
      </c>
      <c r="G827" s="3" t="s">
        <v>311</v>
      </c>
      <c r="H827" s="63" t="str">
        <f>Table1[[#This Row],[Tabela]]&amp;Table1[[#This Row],[Campo]]</f>
        <v>modesg_out_emss_vclsunidade_funcional_scp3_emss</v>
      </c>
      <c r="I827" s="4" t="s">
        <v>477</v>
      </c>
      <c r="J827" s="60">
        <f>VLOOKUP(Table1[[#This Row],[Status]],Auxiliar!$B$16:$C$23,2,0)</f>
        <v>1</v>
      </c>
      <c r="K827" s="3" t="s">
        <v>1141</v>
      </c>
      <c r="L827" s="3" t="s">
        <v>1144</v>
      </c>
      <c r="M827" s="22" t="s">
        <v>1145</v>
      </c>
      <c r="N827" s="53">
        <v>45485</v>
      </c>
      <c r="O827" s="22">
        <f>INDEX(Auxiliar!$D$5:$F$13,MATCH(Table1[[#This Row],[Tipologia_Testes]],Auxiliar!$B$5:$B$13,0),MATCH(Table1[[#This Row],[Complexidade]],Auxiliar!$D$4:$F$4,0))</f>
        <v>0.1</v>
      </c>
      <c r="P827" s="3"/>
      <c r="Q827" s="3"/>
      <c r="R827" s="173">
        <v>45261</v>
      </c>
      <c r="S827" s="173"/>
      <c r="T827" s="173"/>
      <c r="U827" s="173"/>
      <c r="V827" s="173"/>
      <c r="W827" s="3">
        <f>VLOOKUP(Table1[[#This Row],[Status]],Auxiliar!$B$16:$D$23,3,0)*Table1[[#This Row],[Estimação (horas)]]</f>
        <v>0.1</v>
      </c>
      <c r="X827" s="3"/>
    </row>
    <row r="828" spans="2:24" ht="18" hidden="1" customHeight="1">
      <c r="B828" s="3" t="s">
        <v>28</v>
      </c>
      <c r="C828" s="3" t="s">
        <v>301</v>
      </c>
      <c r="D828" s="3" t="s">
        <v>321</v>
      </c>
      <c r="E828" s="3" t="s">
        <v>38</v>
      </c>
      <c r="F828" s="3" t="s">
        <v>320</v>
      </c>
      <c r="G828" s="3" t="s">
        <v>38</v>
      </c>
      <c r="H828" s="63" t="str">
        <f>Table1[[#This Row],[Tabela]]&amp;Table1[[#This Row],[Campo]]</f>
        <v>modesg_out_sfcs_taxon_europeian.a.</v>
      </c>
      <c r="I828" s="3" t="s">
        <v>482</v>
      </c>
      <c r="J828" s="45">
        <f>VLOOKUP(Table1[[#This Row],[Status]],Auxiliar!$B$16:$C$23,2,0)</f>
        <v>6</v>
      </c>
      <c r="K828" s="3" t="s">
        <v>1134</v>
      </c>
      <c r="L828" s="3" t="s">
        <v>1135</v>
      </c>
      <c r="M828" s="22" t="s">
        <v>1136</v>
      </c>
      <c r="N828" s="53">
        <v>45546</v>
      </c>
      <c r="O828" s="22">
        <f>INDEX(Auxiliar!$D$5:$F$13,MATCH(Table1[[#This Row],[Tipologia_Testes]],Auxiliar!$B$5:$B$13,0),MATCH(Table1[[#This Row],[Complexidade]],Auxiliar!$D$4:$F$4,0))</f>
        <v>8</v>
      </c>
      <c r="P828" s="24" t="s">
        <v>1187</v>
      </c>
      <c r="Q828" s="3"/>
      <c r="R828" s="173">
        <v>45563</v>
      </c>
      <c r="S828" s="173"/>
      <c r="T828" s="173">
        <v>45563</v>
      </c>
      <c r="U828" s="173"/>
      <c r="V828" s="173"/>
      <c r="W828" s="3">
        <f>VLOOKUP(Table1[[#This Row],[Status]],Auxiliar!$B$16:$D$23,3,0)*Table1[[#This Row],[Estimação (horas)]]</f>
        <v>2</v>
      </c>
      <c r="X828" s="3"/>
    </row>
    <row r="829" spans="2:24" ht="17.399999999999999" hidden="1" customHeight="1">
      <c r="B829" s="3" t="s">
        <v>28</v>
      </c>
      <c r="C829" s="3" t="s">
        <v>301</v>
      </c>
      <c r="D829" s="3" t="s">
        <v>321</v>
      </c>
      <c r="E829" s="3" t="s">
        <v>38</v>
      </c>
      <c r="F829" s="3" t="s">
        <v>320</v>
      </c>
      <c r="G829" s="3" t="s">
        <v>180</v>
      </c>
      <c r="H829" s="63" t="str">
        <f>Table1[[#This Row],[Tabela]]&amp;Table1[[#This Row],[Campo]]</f>
        <v>modesg_out_sfcs_taxon_europeiacbalcao</v>
      </c>
      <c r="I829" s="3" t="s">
        <v>482</v>
      </c>
      <c r="J829" s="45">
        <f>VLOOKUP(Table1[[#This Row],[Status]],Auxiliar!$B$16:$C$23,2,0)</f>
        <v>6</v>
      </c>
      <c r="K829" s="3" t="s">
        <v>1137</v>
      </c>
      <c r="L829" s="3" t="s">
        <v>1144</v>
      </c>
      <c r="M829" s="22" t="s">
        <v>1145</v>
      </c>
      <c r="N829" s="53">
        <v>45546</v>
      </c>
      <c r="O829" s="22">
        <f>INDEX(Auxiliar!$D$5:$F$13,MATCH(Table1[[#This Row],[Tipologia_Testes]],Auxiliar!$B$5:$B$13,0),MATCH(Table1[[#This Row],[Complexidade]],Auxiliar!$D$4:$F$4,0))</f>
        <v>2</v>
      </c>
      <c r="P829" s="3"/>
      <c r="Q829" s="3"/>
      <c r="R829" s="173">
        <v>45563</v>
      </c>
      <c r="S829" s="173"/>
      <c r="T829" s="173">
        <v>45563</v>
      </c>
      <c r="U829" s="173"/>
      <c r="V829" s="173"/>
      <c r="W829" s="3">
        <f>VLOOKUP(Table1[[#This Row],[Status]],Auxiliar!$B$16:$D$23,3,0)*Table1[[#This Row],[Estimação (horas)]]</f>
        <v>0.5</v>
      </c>
      <c r="X829" s="3"/>
    </row>
    <row r="830" spans="2:24" ht="17.399999999999999" hidden="1" customHeight="1">
      <c r="B830" s="3" t="s">
        <v>28</v>
      </c>
      <c r="C830" s="3" t="s">
        <v>301</v>
      </c>
      <c r="D830" s="3" t="s">
        <v>321</v>
      </c>
      <c r="E830" s="3" t="s">
        <v>38</v>
      </c>
      <c r="F830" s="3" t="s">
        <v>320</v>
      </c>
      <c r="G830" s="3" t="s">
        <v>180</v>
      </c>
      <c r="H830" s="63" t="str">
        <f>Table1[[#This Row],[Tabela]]&amp;Table1[[#This Row],[Campo]]</f>
        <v>modesg_out_sfcs_taxon_europeiacbalcao</v>
      </c>
      <c r="I830" s="3" t="s">
        <v>482</v>
      </c>
      <c r="J830" s="45">
        <f>VLOOKUP(Table1[[#This Row],[Status]],Auxiliar!$B$16:$C$23,2,0)</f>
        <v>6</v>
      </c>
      <c r="K830" s="3" t="s">
        <v>1138</v>
      </c>
      <c r="L830" s="3" t="s">
        <v>1144</v>
      </c>
      <c r="M830" s="22" t="s">
        <v>1145</v>
      </c>
      <c r="N830" s="53">
        <v>45546</v>
      </c>
      <c r="O830" s="22">
        <f>INDEX(Auxiliar!$D$5:$F$13,MATCH(Table1[[#This Row],[Tipologia_Testes]],Auxiliar!$B$5:$B$13,0),MATCH(Table1[[#This Row],[Complexidade]],Auxiliar!$D$4:$F$4,0))</f>
        <v>2</v>
      </c>
      <c r="P830" s="3"/>
      <c r="Q830" s="3"/>
      <c r="R830" s="173">
        <v>45563</v>
      </c>
      <c r="S830" s="173"/>
      <c r="T830" s="173">
        <v>45563</v>
      </c>
      <c r="U830" s="173"/>
      <c r="V830" s="173"/>
      <c r="W830" s="3">
        <f>VLOOKUP(Table1[[#This Row],[Status]],Auxiliar!$B$16:$D$23,3,0)*Table1[[#This Row],[Estimação (horas)]]</f>
        <v>0.5</v>
      </c>
      <c r="X830" s="3"/>
    </row>
    <row r="831" spans="2:24" ht="17.399999999999999" hidden="1" customHeight="1">
      <c r="B831" s="3" t="s">
        <v>28</v>
      </c>
      <c r="C831" s="3" t="s">
        <v>301</v>
      </c>
      <c r="D831" s="3" t="s">
        <v>321</v>
      </c>
      <c r="E831" s="3" t="s">
        <v>38</v>
      </c>
      <c r="F831" s="3" t="s">
        <v>320</v>
      </c>
      <c r="G831" s="3" t="s">
        <v>180</v>
      </c>
      <c r="H831" s="63" t="str">
        <f>Table1[[#This Row],[Tabela]]&amp;Table1[[#This Row],[Campo]]</f>
        <v>modesg_out_sfcs_taxon_europeiacbalcao</v>
      </c>
      <c r="I831" s="3" t="s">
        <v>482</v>
      </c>
      <c r="J831" s="45">
        <f>VLOOKUP(Table1[[#This Row],[Status]],Auxiliar!$B$16:$C$23,2,0)</f>
        <v>6</v>
      </c>
      <c r="K831" s="3" t="s">
        <v>1141</v>
      </c>
      <c r="L831" s="3" t="s">
        <v>1144</v>
      </c>
      <c r="M831" s="22" t="s">
        <v>1145</v>
      </c>
      <c r="N831" s="53">
        <v>45546</v>
      </c>
      <c r="O831" s="22">
        <f>INDEX(Auxiliar!$D$5:$F$13,MATCH(Table1[[#This Row],[Tipologia_Testes]],Auxiliar!$B$5:$B$13,0),MATCH(Table1[[#This Row],[Complexidade]],Auxiliar!$D$4:$F$4,0))</f>
        <v>0.1</v>
      </c>
      <c r="P831" s="3"/>
      <c r="Q831" s="3"/>
      <c r="R831" s="173">
        <v>45563</v>
      </c>
      <c r="S831" s="173"/>
      <c r="T831" s="173">
        <v>45563</v>
      </c>
      <c r="U831" s="173"/>
      <c r="V831" s="173"/>
      <c r="W831" s="3">
        <f>VLOOKUP(Table1[[#This Row],[Status]],Auxiliar!$B$16:$D$23,3,0)*Table1[[#This Row],[Estimação (horas)]]</f>
        <v>2.5000000000000001E-2</v>
      </c>
      <c r="X831" s="3"/>
    </row>
    <row r="832" spans="2:24" ht="17.399999999999999" hidden="1" customHeight="1">
      <c r="B832" s="3" t="s">
        <v>28</v>
      </c>
      <c r="C832" s="3" t="s">
        <v>301</v>
      </c>
      <c r="D832" s="3" t="s">
        <v>321</v>
      </c>
      <c r="E832" s="3" t="s">
        <v>38</v>
      </c>
      <c r="F832" s="3" t="s">
        <v>320</v>
      </c>
      <c r="G832" s="3" t="s">
        <v>57</v>
      </c>
      <c r="H832" s="63" t="str">
        <f>Table1[[#This Row],[Tabela]]&amp;Table1[[#This Row],[Campo]]</f>
        <v>modesg_out_sfcs_taxon_europeiacempresa</v>
      </c>
      <c r="I832" s="3" t="s">
        <v>482</v>
      </c>
      <c r="J832" s="45">
        <f>VLOOKUP(Table1[[#This Row],[Status]],Auxiliar!$B$16:$C$23,2,0)</f>
        <v>6</v>
      </c>
      <c r="K832" s="3" t="s">
        <v>1137</v>
      </c>
      <c r="L832" s="3" t="s">
        <v>1144</v>
      </c>
      <c r="M832" s="22" t="s">
        <v>1145</v>
      </c>
      <c r="N832" s="53">
        <v>45546</v>
      </c>
      <c r="O832" s="22">
        <f>INDEX(Auxiliar!$D$5:$F$13,MATCH(Table1[[#This Row],[Tipologia_Testes]],Auxiliar!$B$5:$B$13,0),MATCH(Table1[[#This Row],[Complexidade]],Auxiliar!$D$4:$F$4,0))</f>
        <v>2</v>
      </c>
      <c r="P832" s="3"/>
      <c r="Q832" s="3"/>
      <c r="R832" s="173">
        <v>45563</v>
      </c>
      <c r="S832" s="173"/>
      <c r="T832" s="173">
        <v>45563</v>
      </c>
      <c r="U832" s="173"/>
      <c r="V832" s="173"/>
      <c r="W832" s="3">
        <f>VLOOKUP(Table1[[#This Row],[Status]],Auxiliar!$B$16:$D$23,3,0)*Table1[[#This Row],[Estimação (horas)]]</f>
        <v>0.5</v>
      </c>
      <c r="X832" s="3"/>
    </row>
    <row r="833" spans="2:24" ht="17.399999999999999" hidden="1" customHeight="1">
      <c r="B833" s="3" t="s">
        <v>28</v>
      </c>
      <c r="C833" s="3" t="s">
        <v>301</v>
      </c>
      <c r="D833" s="3" t="s">
        <v>321</v>
      </c>
      <c r="E833" s="3" t="s">
        <v>38</v>
      </c>
      <c r="F833" s="3" t="s">
        <v>320</v>
      </c>
      <c r="G833" s="3" t="s">
        <v>57</v>
      </c>
      <c r="H833" s="63" t="str">
        <f>Table1[[#This Row],[Tabela]]&amp;Table1[[#This Row],[Campo]]</f>
        <v>modesg_out_sfcs_taxon_europeiacempresa</v>
      </c>
      <c r="I833" s="3" t="s">
        <v>482</v>
      </c>
      <c r="J833" s="45">
        <f>VLOOKUP(Table1[[#This Row],[Status]],Auxiliar!$B$16:$C$23,2,0)</f>
        <v>6</v>
      </c>
      <c r="K833" s="3" t="s">
        <v>1138</v>
      </c>
      <c r="L833" s="3" t="s">
        <v>1144</v>
      </c>
      <c r="M833" s="22" t="s">
        <v>1145</v>
      </c>
      <c r="N833" s="53">
        <v>45546</v>
      </c>
      <c r="O833" s="22">
        <f>INDEX(Auxiliar!$D$5:$F$13,MATCH(Table1[[#This Row],[Tipologia_Testes]],Auxiliar!$B$5:$B$13,0),MATCH(Table1[[#This Row],[Complexidade]],Auxiliar!$D$4:$F$4,0))</f>
        <v>2</v>
      </c>
      <c r="P833" s="3"/>
      <c r="Q833" s="3"/>
      <c r="R833" s="173">
        <v>45563</v>
      </c>
      <c r="S833" s="173"/>
      <c r="T833" s="173">
        <v>45563</v>
      </c>
      <c r="U833" s="173"/>
      <c r="V833" s="173"/>
      <c r="W833" s="3">
        <f>VLOOKUP(Table1[[#This Row],[Status]],Auxiliar!$B$16:$D$23,3,0)*Table1[[#This Row],[Estimação (horas)]]</f>
        <v>0.5</v>
      </c>
      <c r="X833" s="3"/>
    </row>
    <row r="834" spans="2:24" ht="17.399999999999999" hidden="1" customHeight="1">
      <c r="B834" s="3" t="s">
        <v>28</v>
      </c>
      <c r="C834" s="3" t="s">
        <v>301</v>
      </c>
      <c r="D834" s="3" t="s">
        <v>321</v>
      </c>
      <c r="E834" s="3" t="s">
        <v>38</v>
      </c>
      <c r="F834" s="3" t="s">
        <v>320</v>
      </c>
      <c r="G834" s="3" t="s">
        <v>57</v>
      </c>
      <c r="H834" s="63" t="str">
        <f>Table1[[#This Row],[Tabela]]&amp;Table1[[#This Row],[Campo]]</f>
        <v>modesg_out_sfcs_taxon_europeiacempresa</v>
      </c>
      <c r="I834" s="3" t="s">
        <v>482</v>
      </c>
      <c r="J834" s="45">
        <f>VLOOKUP(Table1[[#This Row],[Status]],Auxiliar!$B$16:$C$23,2,0)</f>
        <v>6</v>
      </c>
      <c r="K834" s="3" t="s">
        <v>1141</v>
      </c>
      <c r="L834" s="3" t="s">
        <v>1144</v>
      </c>
      <c r="M834" s="22" t="s">
        <v>1145</v>
      </c>
      <c r="N834" s="53">
        <v>45546</v>
      </c>
      <c r="O834" s="22">
        <f>INDEX(Auxiliar!$D$5:$F$13,MATCH(Table1[[#This Row],[Tipologia_Testes]],Auxiliar!$B$5:$B$13,0),MATCH(Table1[[#This Row],[Complexidade]],Auxiliar!$D$4:$F$4,0))</f>
        <v>0.1</v>
      </c>
      <c r="P834" s="3"/>
      <c r="Q834" s="3"/>
      <c r="R834" s="173">
        <v>45563</v>
      </c>
      <c r="S834" s="173"/>
      <c r="T834" s="173">
        <v>45563</v>
      </c>
      <c r="U834" s="173"/>
      <c r="V834" s="173"/>
      <c r="W834" s="3">
        <f>VLOOKUP(Table1[[#This Row],[Status]],Auxiliar!$B$16:$D$23,3,0)*Table1[[#This Row],[Estimação (horas)]]</f>
        <v>2.5000000000000001E-2</v>
      </c>
      <c r="X834" s="3"/>
    </row>
    <row r="835" spans="2:24" ht="17.399999999999999" hidden="1" customHeight="1">
      <c r="B835" s="3" t="s">
        <v>28</v>
      </c>
      <c r="C835" s="3" t="s">
        <v>301</v>
      </c>
      <c r="D835" s="3" t="s">
        <v>321</v>
      </c>
      <c r="E835" s="3" t="s">
        <v>38</v>
      </c>
      <c r="F835" s="3" t="s">
        <v>320</v>
      </c>
      <c r="G835" s="3" t="s">
        <v>185</v>
      </c>
      <c r="H835" s="63" t="str">
        <f>Table1[[#This Row],[Tabela]]&amp;Table1[[#This Row],[Campo]]</f>
        <v>modesg_out_sfcs_taxon_europeiacnumecta</v>
      </c>
      <c r="I835" s="3" t="s">
        <v>482</v>
      </c>
      <c r="J835" s="45">
        <f>VLOOKUP(Table1[[#This Row],[Status]],Auxiliar!$B$16:$C$23,2,0)</f>
        <v>6</v>
      </c>
      <c r="K835" s="3" t="s">
        <v>1137</v>
      </c>
      <c r="L835" s="3" t="s">
        <v>1144</v>
      </c>
      <c r="M835" s="22" t="s">
        <v>1145</v>
      </c>
      <c r="N835" s="53">
        <v>45546</v>
      </c>
      <c r="O835" s="22">
        <f>INDEX(Auxiliar!$D$5:$F$13,MATCH(Table1[[#This Row],[Tipologia_Testes]],Auxiliar!$B$5:$B$13,0),MATCH(Table1[[#This Row],[Complexidade]],Auxiliar!$D$4:$F$4,0))</f>
        <v>2</v>
      </c>
      <c r="P835" s="3"/>
      <c r="Q835" s="3"/>
      <c r="R835" s="173">
        <v>45563</v>
      </c>
      <c r="S835" s="173"/>
      <c r="T835" s="173">
        <v>45563</v>
      </c>
      <c r="U835" s="173"/>
      <c r="V835" s="173"/>
      <c r="W835" s="3">
        <f>VLOOKUP(Table1[[#This Row],[Status]],Auxiliar!$B$16:$D$23,3,0)*Table1[[#This Row],[Estimação (horas)]]</f>
        <v>0.5</v>
      </c>
      <c r="X835" s="3"/>
    </row>
    <row r="836" spans="2:24" ht="17.399999999999999" hidden="1" customHeight="1">
      <c r="B836" s="3" t="s">
        <v>28</v>
      </c>
      <c r="C836" s="3" t="s">
        <v>301</v>
      </c>
      <c r="D836" s="3" t="s">
        <v>321</v>
      </c>
      <c r="E836" s="3" t="s">
        <v>38</v>
      </c>
      <c r="F836" s="3" t="s">
        <v>320</v>
      </c>
      <c r="G836" s="3" t="s">
        <v>185</v>
      </c>
      <c r="H836" s="63" t="str">
        <f>Table1[[#This Row],[Tabela]]&amp;Table1[[#This Row],[Campo]]</f>
        <v>modesg_out_sfcs_taxon_europeiacnumecta</v>
      </c>
      <c r="I836" s="3" t="s">
        <v>482</v>
      </c>
      <c r="J836" s="45">
        <f>VLOOKUP(Table1[[#This Row],[Status]],Auxiliar!$B$16:$C$23,2,0)</f>
        <v>6</v>
      </c>
      <c r="K836" s="3" t="s">
        <v>1138</v>
      </c>
      <c r="L836" s="3" t="s">
        <v>1144</v>
      </c>
      <c r="M836" s="22" t="s">
        <v>1145</v>
      </c>
      <c r="N836" s="53">
        <v>45546</v>
      </c>
      <c r="O836" s="22">
        <f>INDEX(Auxiliar!$D$5:$F$13,MATCH(Table1[[#This Row],[Tipologia_Testes]],Auxiliar!$B$5:$B$13,0),MATCH(Table1[[#This Row],[Complexidade]],Auxiliar!$D$4:$F$4,0))</f>
        <v>2</v>
      </c>
      <c r="P836" s="3"/>
      <c r="Q836" s="3"/>
      <c r="R836" s="173">
        <v>45563</v>
      </c>
      <c r="S836" s="173"/>
      <c r="T836" s="173">
        <v>45563</v>
      </c>
      <c r="U836" s="173"/>
      <c r="V836" s="173"/>
      <c r="W836" s="3">
        <f>VLOOKUP(Table1[[#This Row],[Status]],Auxiliar!$B$16:$D$23,3,0)*Table1[[#This Row],[Estimação (horas)]]</f>
        <v>0.5</v>
      </c>
      <c r="X836" s="3"/>
    </row>
    <row r="837" spans="2:24" ht="17.399999999999999" hidden="1" customHeight="1">
      <c r="B837" s="3" t="s">
        <v>28</v>
      </c>
      <c r="C837" s="3" t="s">
        <v>301</v>
      </c>
      <c r="D837" s="3" t="s">
        <v>321</v>
      </c>
      <c r="E837" s="3" t="s">
        <v>38</v>
      </c>
      <c r="F837" s="3" t="s">
        <v>320</v>
      </c>
      <c r="G837" s="3" t="s">
        <v>185</v>
      </c>
      <c r="H837" s="63" t="str">
        <f>Table1[[#This Row],[Tabela]]&amp;Table1[[#This Row],[Campo]]</f>
        <v>modesg_out_sfcs_taxon_europeiacnumecta</v>
      </c>
      <c r="I837" s="3" t="s">
        <v>482</v>
      </c>
      <c r="J837" s="45">
        <f>VLOOKUP(Table1[[#This Row],[Status]],Auxiliar!$B$16:$C$23,2,0)</f>
        <v>6</v>
      </c>
      <c r="K837" s="3" t="s">
        <v>1141</v>
      </c>
      <c r="L837" s="3" t="s">
        <v>1144</v>
      </c>
      <c r="M837" s="22" t="s">
        <v>1145</v>
      </c>
      <c r="N837" s="53">
        <v>45546</v>
      </c>
      <c r="O837" s="22">
        <f>INDEX(Auxiliar!$D$5:$F$13,MATCH(Table1[[#This Row],[Tipologia_Testes]],Auxiliar!$B$5:$B$13,0),MATCH(Table1[[#This Row],[Complexidade]],Auxiliar!$D$4:$F$4,0))</f>
        <v>0.1</v>
      </c>
      <c r="P837" s="3"/>
      <c r="Q837" s="3"/>
      <c r="R837" s="173">
        <v>45563</v>
      </c>
      <c r="S837" s="173"/>
      <c r="T837" s="173">
        <v>45563</v>
      </c>
      <c r="U837" s="173"/>
      <c r="V837" s="173"/>
      <c r="W837" s="3">
        <f>VLOOKUP(Table1[[#This Row],[Status]],Auxiliar!$B$16:$D$23,3,0)*Table1[[#This Row],[Estimação (horas)]]</f>
        <v>2.5000000000000001E-2</v>
      </c>
      <c r="X837" s="3"/>
    </row>
    <row r="838" spans="2:24" ht="17.399999999999999" hidden="1" customHeight="1">
      <c r="B838" s="3" t="s">
        <v>28</v>
      </c>
      <c r="C838" s="3" t="s">
        <v>301</v>
      </c>
      <c r="D838" s="3" t="s">
        <v>321</v>
      </c>
      <c r="E838" s="3" t="s">
        <v>38</v>
      </c>
      <c r="F838" s="3" t="s">
        <v>320</v>
      </c>
      <c r="G838" s="3" t="s">
        <v>187</v>
      </c>
      <c r="H838" s="63" t="str">
        <f>Table1[[#This Row],[Tabela]]&amp;Table1[[#This Row],[Campo]]</f>
        <v>modesg_out_sfcs_taxon_europeiacod_regra</v>
      </c>
      <c r="I838" s="3" t="s">
        <v>482</v>
      </c>
      <c r="J838" s="45">
        <f>VLOOKUP(Table1[[#This Row],[Status]],Auxiliar!$B$16:$C$23,2,0)</f>
        <v>6</v>
      </c>
      <c r="K838" s="3" t="s">
        <v>1137</v>
      </c>
      <c r="L838" s="3" t="s">
        <v>1135</v>
      </c>
      <c r="M838" s="22" t="s">
        <v>1145</v>
      </c>
      <c r="N838" s="53">
        <v>45546</v>
      </c>
      <c r="O838" s="22">
        <f>INDEX(Auxiliar!$D$5:$F$13,MATCH(Table1[[#This Row],[Tipologia_Testes]],Auxiliar!$B$5:$B$13,0),MATCH(Table1[[#This Row],[Complexidade]],Auxiliar!$D$4:$F$4,0))</f>
        <v>2</v>
      </c>
      <c r="P838" s="3" t="s">
        <v>1188</v>
      </c>
      <c r="Q838" s="3"/>
      <c r="R838" s="173">
        <v>45563</v>
      </c>
      <c r="S838" s="173"/>
      <c r="T838" s="173">
        <v>45563</v>
      </c>
      <c r="U838" s="173"/>
      <c r="V838" s="173"/>
      <c r="W838" s="3">
        <f>VLOOKUP(Table1[[#This Row],[Status]],Auxiliar!$B$16:$D$23,3,0)*Table1[[#This Row],[Estimação (horas)]]</f>
        <v>0.5</v>
      </c>
      <c r="X838" s="3"/>
    </row>
    <row r="839" spans="2:24" ht="17.399999999999999" hidden="1" customHeight="1">
      <c r="B839" s="3" t="s">
        <v>28</v>
      </c>
      <c r="C839" s="3" t="s">
        <v>301</v>
      </c>
      <c r="D839" s="3" t="s">
        <v>321</v>
      </c>
      <c r="E839" s="3" t="s">
        <v>38</v>
      </c>
      <c r="F839" s="3" t="s">
        <v>320</v>
      </c>
      <c r="G839" s="3" t="s">
        <v>187</v>
      </c>
      <c r="H839" s="63" t="str">
        <f>Table1[[#This Row],[Tabela]]&amp;Table1[[#This Row],[Campo]]</f>
        <v>modesg_out_sfcs_taxon_europeiacod_regra</v>
      </c>
      <c r="I839" s="3" t="s">
        <v>482</v>
      </c>
      <c r="J839" s="45">
        <f>VLOOKUP(Table1[[#This Row],[Status]],Auxiliar!$B$16:$C$23,2,0)</f>
        <v>6</v>
      </c>
      <c r="K839" s="3" t="s">
        <v>1138</v>
      </c>
      <c r="L839" s="3" t="s">
        <v>1135</v>
      </c>
      <c r="M839" s="22" t="s">
        <v>1145</v>
      </c>
      <c r="N839" s="53">
        <v>45546</v>
      </c>
      <c r="O839" s="22">
        <f>INDEX(Auxiliar!$D$5:$F$13,MATCH(Table1[[#This Row],[Tipologia_Testes]],Auxiliar!$B$5:$B$13,0),MATCH(Table1[[#This Row],[Complexidade]],Auxiliar!$D$4:$F$4,0))</f>
        <v>2</v>
      </c>
      <c r="P839" s="3" t="s">
        <v>1188</v>
      </c>
      <c r="Q839" s="3"/>
      <c r="R839" s="173">
        <v>45563</v>
      </c>
      <c r="S839" s="173"/>
      <c r="T839" s="173">
        <v>45563</v>
      </c>
      <c r="U839" s="173"/>
      <c r="V839" s="173"/>
      <c r="W839" s="3">
        <f>VLOOKUP(Table1[[#This Row],[Status]],Auxiliar!$B$16:$D$23,3,0)*Table1[[#This Row],[Estimação (horas)]]</f>
        <v>0.5</v>
      </c>
      <c r="X839" s="3"/>
    </row>
    <row r="840" spans="2:24" ht="17.399999999999999" hidden="1" customHeight="1">
      <c r="B840" s="3" t="s">
        <v>28</v>
      </c>
      <c r="C840" s="3" t="s">
        <v>301</v>
      </c>
      <c r="D840" s="3" t="s">
        <v>321</v>
      </c>
      <c r="E840" s="3" t="s">
        <v>38</v>
      </c>
      <c r="F840" s="3" t="s">
        <v>320</v>
      </c>
      <c r="G840" s="3" t="s">
        <v>187</v>
      </c>
      <c r="H840" s="63" t="str">
        <f>Table1[[#This Row],[Tabela]]&amp;Table1[[#This Row],[Campo]]</f>
        <v>modesg_out_sfcs_taxon_europeiacod_regra</v>
      </c>
      <c r="I840" s="3" t="s">
        <v>482</v>
      </c>
      <c r="J840" s="45">
        <f>VLOOKUP(Table1[[#This Row],[Status]],Auxiliar!$B$16:$C$23,2,0)</f>
        <v>6</v>
      </c>
      <c r="K840" s="3" t="s">
        <v>1141</v>
      </c>
      <c r="L840" s="3" t="s">
        <v>1135</v>
      </c>
      <c r="M840" s="22" t="s">
        <v>1145</v>
      </c>
      <c r="N840" s="53">
        <v>45546</v>
      </c>
      <c r="O840" s="22">
        <f>INDEX(Auxiliar!$D$5:$F$13,MATCH(Table1[[#This Row],[Tipologia_Testes]],Auxiliar!$B$5:$B$13,0),MATCH(Table1[[#This Row],[Complexidade]],Auxiliar!$D$4:$F$4,0))</f>
        <v>0.1</v>
      </c>
      <c r="P840" s="3" t="s">
        <v>1188</v>
      </c>
      <c r="Q840" s="3"/>
      <c r="R840" s="173">
        <v>45563</v>
      </c>
      <c r="S840" s="173"/>
      <c r="T840" s="173">
        <v>45563</v>
      </c>
      <c r="U840" s="173"/>
      <c r="V840" s="173"/>
      <c r="W840" s="3">
        <f>VLOOKUP(Table1[[#This Row],[Status]],Auxiliar!$B$16:$D$23,3,0)*Table1[[#This Row],[Estimação (horas)]]</f>
        <v>2.5000000000000001E-2</v>
      </c>
      <c r="X840" s="3"/>
    </row>
    <row r="841" spans="2:24" ht="17.399999999999999" hidden="1" customHeight="1">
      <c r="B841" s="3" t="s">
        <v>28</v>
      </c>
      <c r="C841" s="3" t="s">
        <v>301</v>
      </c>
      <c r="D841" s="3" t="s">
        <v>321</v>
      </c>
      <c r="E841" s="3" t="s">
        <v>38</v>
      </c>
      <c r="F841" s="3" t="s">
        <v>320</v>
      </c>
      <c r="G841" s="3" t="s">
        <v>322</v>
      </c>
      <c r="H841" s="63" t="str">
        <f>Table1[[#This Row],[Tabela]]&amp;Table1[[#This Row],[Campo]]</f>
        <v>modesg_out_sfcs_taxon_europeiaordem</v>
      </c>
      <c r="I841" s="3" t="s">
        <v>476</v>
      </c>
      <c r="J841" s="45">
        <f>VLOOKUP(Table1[[#This Row],[Status]],Auxiliar!$B$16:$C$23,2,0)</f>
        <v>0</v>
      </c>
      <c r="K841" s="3" t="s">
        <v>1137</v>
      </c>
      <c r="L841" s="3" t="s">
        <v>1887</v>
      </c>
      <c r="M841" s="22" t="s">
        <v>1145</v>
      </c>
      <c r="N841" s="53">
        <v>45546</v>
      </c>
      <c r="O841" s="22">
        <f>INDEX(Auxiliar!$D$5:$F$13,MATCH(Table1[[#This Row],[Tipologia_Testes]],Auxiliar!$B$5:$B$13,0),MATCH(Table1[[#This Row],[Complexidade]],Auxiliar!$D$4:$F$4,0))</f>
        <v>2</v>
      </c>
      <c r="P841" s="3"/>
      <c r="Q841" s="3"/>
      <c r="R841" s="173">
        <v>45562</v>
      </c>
      <c r="S841" s="173"/>
      <c r="T841" s="173">
        <v>45562</v>
      </c>
      <c r="U841" s="173"/>
      <c r="V841" s="173"/>
      <c r="W841" s="3">
        <f>VLOOKUP(Table1[[#This Row],[Status]],Auxiliar!$B$16:$D$23,3,0)*Table1[[#This Row],[Estimação (horas)]]</f>
        <v>0</v>
      </c>
      <c r="X841" s="3"/>
    </row>
    <row r="842" spans="2:24" ht="17.399999999999999" hidden="1" customHeight="1">
      <c r="B842" s="3" t="s">
        <v>28</v>
      </c>
      <c r="C842" s="3" t="s">
        <v>301</v>
      </c>
      <c r="D842" s="3" t="s">
        <v>321</v>
      </c>
      <c r="E842" s="3" t="s">
        <v>38</v>
      </c>
      <c r="F842" s="3" t="s">
        <v>320</v>
      </c>
      <c r="G842" s="3" t="s">
        <v>322</v>
      </c>
      <c r="H842" s="63" t="str">
        <f>Table1[[#This Row],[Tabela]]&amp;Table1[[#This Row],[Campo]]</f>
        <v>modesg_out_sfcs_taxon_europeiaordem</v>
      </c>
      <c r="I842" s="3" t="s">
        <v>476</v>
      </c>
      <c r="J842" s="45">
        <f>VLOOKUP(Table1[[#This Row],[Status]],Auxiliar!$B$16:$C$23,2,0)</f>
        <v>0</v>
      </c>
      <c r="K842" s="3" t="s">
        <v>1138</v>
      </c>
      <c r="L842" s="3" t="s">
        <v>1887</v>
      </c>
      <c r="M842" s="22" t="s">
        <v>1145</v>
      </c>
      <c r="N842" s="53">
        <v>45546</v>
      </c>
      <c r="O842" s="22">
        <f>INDEX(Auxiliar!$D$5:$F$13,MATCH(Table1[[#This Row],[Tipologia_Testes]],Auxiliar!$B$5:$B$13,0),MATCH(Table1[[#This Row],[Complexidade]],Auxiliar!$D$4:$F$4,0))</f>
        <v>2</v>
      </c>
      <c r="P842" s="3"/>
      <c r="Q842" s="3"/>
      <c r="R842" s="173">
        <v>45562</v>
      </c>
      <c r="S842" s="173"/>
      <c r="T842" s="173">
        <v>45562</v>
      </c>
      <c r="U842" s="173"/>
      <c r="V842" s="173"/>
      <c r="W842" s="3">
        <f>VLOOKUP(Table1[[#This Row],[Status]],Auxiliar!$B$16:$D$23,3,0)*Table1[[#This Row],[Estimação (horas)]]</f>
        <v>0</v>
      </c>
      <c r="X842" s="3"/>
    </row>
    <row r="843" spans="2:24" ht="17.399999999999999" hidden="1" customHeight="1">
      <c r="B843" s="3" t="s">
        <v>28</v>
      </c>
      <c r="C843" s="3" t="s">
        <v>301</v>
      </c>
      <c r="D843" s="3" t="s">
        <v>321</v>
      </c>
      <c r="E843" s="3" t="s">
        <v>38</v>
      </c>
      <c r="F843" s="3" t="s">
        <v>320</v>
      </c>
      <c r="G843" s="3" t="s">
        <v>322</v>
      </c>
      <c r="H843" s="63" t="str">
        <f>Table1[[#This Row],[Tabela]]&amp;Table1[[#This Row],[Campo]]</f>
        <v>modesg_out_sfcs_taxon_europeiaordem</v>
      </c>
      <c r="I843" s="3" t="s">
        <v>476</v>
      </c>
      <c r="J843" s="45">
        <f>VLOOKUP(Table1[[#This Row],[Status]],Auxiliar!$B$16:$C$23,2,0)</f>
        <v>0</v>
      </c>
      <c r="K843" s="3" t="s">
        <v>1141</v>
      </c>
      <c r="L843" s="3" t="s">
        <v>1887</v>
      </c>
      <c r="M843" s="22" t="s">
        <v>1145</v>
      </c>
      <c r="N843" s="53">
        <v>45546</v>
      </c>
      <c r="O843" s="22">
        <f>INDEX(Auxiliar!$D$5:$F$13,MATCH(Table1[[#This Row],[Tipologia_Testes]],Auxiliar!$B$5:$B$13,0),MATCH(Table1[[#This Row],[Complexidade]],Auxiliar!$D$4:$F$4,0))</f>
        <v>0.1</v>
      </c>
      <c r="P843" s="3"/>
      <c r="Q843" s="3"/>
      <c r="R843" s="173">
        <v>45562</v>
      </c>
      <c r="S843" s="173"/>
      <c r="T843" s="173">
        <v>45562</v>
      </c>
      <c r="U843" s="173"/>
      <c r="V843" s="173"/>
      <c r="W843" s="3">
        <f>VLOOKUP(Table1[[#This Row],[Status]],Auxiliar!$B$16:$D$23,3,0)*Table1[[#This Row],[Estimação (horas)]]</f>
        <v>0</v>
      </c>
      <c r="X843" s="3"/>
    </row>
    <row r="844" spans="2:24" ht="139.19999999999999" hidden="1" customHeight="1">
      <c r="B844" s="3" t="s">
        <v>28</v>
      </c>
      <c r="C844" s="3" t="s">
        <v>301</v>
      </c>
      <c r="D844" s="3" t="s">
        <v>321</v>
      </c>
      <c r="E844" s="3" t="s">
        <v>38</v>
      </c>
      <c r="F844" s="3" t="s">
        <v>320</v>
      </c>
      <c r="G844" s="3" t="s">
        <v>197</v>
      </c>
      <c r="H844" s="63" t="str">
        <f>Table1[[#This Row],[Tabela]]&amp;Table1[[#This Row],[Campo]]</f>
        <v>modesg_out_sfcs_taxon_europeiamontante_pndrc</v>
      </c>
      <c r="I844" s="3" t="s">
        <v>482</v>
      </c>
      <c r="J844" s="45">
        <f>VLOOKUP(Table1[[#This Row],[Status]],Auxiliar!$B$16:$C$23,2,0)</f>
        <v>6</v>
      </c>
      <c r="K844" s="3" t="s">
        <v>1137</v>
      </c>
      <c r="L844" s="29" t="s">
        <v>1135</v>
      </c>
      <c r="M844" s="22" t="s">
        <v>1136</v>
      </c>
      <c r="N844" s="53">
        <v>45546</v>
      </c>
      <c r="O844" s="22">
        <f>INDEX(Auxiliar!$D$5:$F$13,MATCH(Table1[[#This Row],[Tipologia_Testes]],Auxiliar!$B$5:$B$13,0),MATCH(Table1[[#This Row],[Complexidade]],Auxiliar!$D$4:$F$4,0))</f>
        <v>8</v>
      </c>
      <c r="P844" s="24" t="s">
        <v>1189</v>
      </c>
      <c r="Q844" s="3"/>
      <c r="R844" s="173">
        <v>45563</v>
      </c>
      <c r="S844" s="173"/>
      <c r="T844" s="173">
        <v>45563</v>
      </c>
      <c r="U844" s="173"/>
      <c r="V844" s="173"/>
      <c r="W844" s="3">
        <f>VLOOKUP(Table1[[#This Row],[Status]],Auxiliar!$B$16:$D$23,3,0)*Table1[[#This Row],[Estimação (horas)]]</f>
        <v>2</v>
      </c>
      <c r="X844" s="3"/>
    </row>
    <row r="845" spans="2:24" ht="139.19999999999999" hidden="1" customHeight="1">
      <c r="B845" s="3" t="s">
        <v>28</v>
      </c>
      <c r="C845" s="3" t="s">
        <v>301</v>
      </c>
      <c r="D845" s="3" t="s">
        <v>321</v>
      </c>
      <c r="E845" s="3" t="s">
        <v>38</v>
      </c>
      <c r="F845" s="3" t="s">
        <v>320</v>
      </c>
      <c r="G845" s="3" t="s">
        <v>197</v>
      </c>
      <c r="H845" s="63" t="str">
        <f>Table1[[#This Row],[Tabela]]&amp;Table1[[#This Row],[Campo]]</f>
        <v>modesg_out_sfcs_taxon_europeiamontante_pndrc</v>
      </c>
      <c r="I845" s="3" t="s">
        <v>482</v>
      </c>
      <c r="J845" s="45">
        <f>VLOOKUP(Table1[[#This Row],[Status]],Auxiliar!$B$16:$C$23,2,0)</f>
        <v>6</v>
      </c>
      <c r="K845" s="3" t="s">
        <v>1138</v>
      </c>
      <c r="L845" s="30" t="s">
        <v>1135</v>
      </c>
      <c r="M845" s="22" t="s">
        <v>1136</v>
      </c>
      <c r="N845" s="53">
        <v>45546</v>
      </c>
      <c r="O845" s="22">
        <f>INDEX(Auxiliar!$D$5:$F$13,MATCH(Table1[[#This Row],[Tipologia_Testes]],Auxiliar!$B$5:$B$13,0),MATCH(Table1[[#This Row],[Complexidade]],Auxiliar!$D$4:$F$4,0))</f>
        <v>8</v>
      </c>
      <c r="P845" s="24" t="s">
        <v>1189</v>
      </c>
      <c r="Q845" s="3"/>
      <c r="R845" s="173">
        <v>45563</v>
      </c>
      <c r="S845" s="173"/>
      <c r="T845" s="173">
        <v>45563</v>
      </c>
      <c r="U845" s="173"/>
      <c r="V845" s="173"/>
      <c r="W845" s="3">
        <f>VLOOKUP(Table1[[#This Row],[Status]],Auxiliar!$B$16:$D$23,3,0)*Table1[[#This Row],[Estimação (horas)]]</f>
        <v>2</v>
      </c>
      <c r="X845" s="3"/>
    </row>
    <row r="846" spans="2:24" ht="139.19999999999999" hidden="1" customHeight="1">
      <c r="B846" s="3" t="s">
        <v>28</v>
      </c>
      <c r="C846" s="3" t="s">
        <v>301</v>
      </c>
      <c r="D846" s="3" t="s">
        <v>321</v>
      </c>
      <c r="E846" s="3" t="s">
        <v>38</v>
      </c>
      <c r="F846" s="3" t="s">
        <v>320</v>
      </c>
      <c r="G846" s="3" t="s">
        <v>197</v>
      </c>
      <c r="H846" s="63" t="str">
        <f>Table1[[#This Row],[Tabela]]&amp;Table1[[#This Row],[Campo]]</f>
        <v>modesg_out_sfcs_taxon_europeiamontante_pndrc</v>
      </c>
      <c r="I846" s="3" t="s">
        <v>482</v>
      </c>
      <c r="J846" s="45">
        <f>VLOOKUP(Table1[[#This Row],[Status]],Auxiliar!$B$16:$C$23,2,0)</f>
        <v>6</v>
      </c>
      <c r="K846" s="3" t="s">
        <v>1141</v>
      </c>
      <c r="L846" s="30" t="s">
        <v>1135</v>
      </c>
      <c r="M846" s="22" t="s">
        <v>1136</v>
      </c>
      <c r="N846" s="53">
        <v>45546</v>
      </c>
      <c r="O846" s="22">
        <f>INDEX(Auxiliar!$D$5:$F$13,MATCH(Table1[[#This Row],[Tipologia_Testes]],Auxiliar!$B$5:$B$13,0),MATCH(Table1[[#This Row],[Complexidade]],Auxiliar!$D$4:$F$4,0))</f>
        <v>0.1</v>
      </c>
      <c r="P846" s="24" t="s">
        <v>1189</v>
      </c>
      <c r="Q846" s="3"/>
      <c r="R846" s="173">
        <v>45563</v>
      </c>
      <c r="S846" s="173"/>
      <c r="T846" s="173">
        <v>45563</v>
      </c>
      <c r="U846" s="173"/>
      <c r="V846" s="173"/>
      <c r="W846" s="3">
        <f>VLOOKUP(Table1[[#This Row],[Status]],Auxiliar!$B$16:$D$23,3,0)*Table1[[#This Row],[Estimação (horas)]]</f>
        <v>2.5000000000000001E-2</v>
      </c>
      <c r="X846" s="3"/>
    </row>
    <row r="847" spans="2:24" ht="52.2" hidden="1" customHeight="1">
      <c r="B847" s="3" t="s">
        <v>28</v>
      </c>
      <c r="C847" s="3" t="s">
        <v>301</v>
      </c>
      <c r="D847" s="3" t="s">
        <v>321</v>
      </c>
      <c r="E847" s="3" t="s">
        <v>38</v>
      </c>
      <c r="F847" s="3" t="s">
        <v>320</v>
      </c>
      <c r="G847" s="3" t="s">
        <v>198</v>
      </c>
      <c r="H847" s="63" t="str">
        <f>Table1[[#This Row],[Tabela]]&amp;Table1[[#This Row],[Campo]]</f>
        <v>modesg_out_sfcs_taxon_europeianome_ctgr_sfcs</v>
      </c>
      <c r="I847" s="3" t="s">
        <v>479</v>
      </c>
      <c r="J847" s="45">
        <f>VLOOKUP(Table1[[#This Row],[Status]],Auxiliar!$B$16:$C$23,2,0)</f>
        <v>4</v>
      </c>
      <c r="K847" s="3" t="s">
        <v>1137</v>
      </c>
      <c r="L847" s="3" t="s">
        <v>1135</v>
      </c>
      <c r="M847" s="22" t="s">
        <v>1136</v>
      </c>
      <c r="N847" s="53">
        <v>45546</v>
      </c>
      <c r="O847" s="22">
        <f>INDEX(Auxiliar!$D$5:$F$13,MATCH(Table1[[#This Row],[Tipologia_Testes]],Auxiliar!$B$5:$B$13,0),MATCH(Table1[[#This Row],[Complexidade]],Auxiliar!$D$4:$F$4,0))</f>
        <v>8</v>
      </c>
      <c r="P847" s="24" t="s">
        <v>1825</v>
      </c>
      <c r="Q847" s="3"/>
      <c r="R847" s="173">
        <v>45562</v>
      </c>
      <c r="S847" s="173"/>
      <c r="T847" s="173">
        <v>45562</v>
      </c>
      <c r="U847" s="173">
        <v>45565</v>
      </c>
      <c r="V847" s="173"/>
      <c r="W847" s="3">
        <f>VLOOKUP(Table1[[#This Row],[Status]],Auxiliar!$B$16:$D$23,3,0)*Table1[[#This Row],[Estimação (horas)]]</f>
        <v>2</v>
      </c>
      <c r="X847" s="3"/>
    </row>
    <row r="848" spans="2:24" ht="52.2" hidden="1" customHeight="1">
      <c r="B848" s="3" t="s">
        <v>28</v>
      </c>
      <c r="C848" s="3" t="s">
        <v>301</v>
      </c>
      <c r="D848" s="3" t="s">
        <v>321</v>
      </c>
      <c r="E848" s="3" t="s">
        <v>38</v>
      </c>
      <c r="F848" s="3" t="s">
        <v>320</v>
      </c>
      <c r="G848" s="3" t="s">
        <v>198</v>
      </c>
      <c r="H848" s="63" t="str">
        <f>Table1[[#This Row],[Tabela]]&amp;Table1[[#This Row],[Campo]]</f>
        <v>modesg_out_sfcs_taxon_europeianome_ctgr_sfcs</v>
      </c>
      <c r="I848" s="3" t="s">
        <v>479</v>
      </c>
      <c r="J848" s="45">
        <f>VLOOKUP(Table1[[#This Row],[Status]],Auxiliar!$B$16:$C$23,2,0)</f>
        <v>4</v>
      </c>
      <c r="K848" s="3" t="s">
        <v>1138</v>
      </c>
      <c r="L848" s="3" t="s">
        <v>1135</v>
      </c>
      <c r="M848" s="22" t="s">
        <v>1136</v>
      </c>
      <c r="N848" s="53">
        <v>45546</v>
      </c>
      <c r="O848" s="22">
        <f>INDEX(Auxiliar!$D$5:$F$13,MATCH(Table1[[#This Row],[Tipologia_Testes]],Auxiliar!$B$5:$B$13,0),MATCH(Table1[[#This Row],[Complexidade]],Auxiliar!$D$4:$F$4,0))</f>
        <v>8</v>
      </c>
      <c r="P848" s="24" t="s">
        <v>1825</v>
      </c>
      <c r="Q848" s="3"/>
      <c r="R848" s="173">
        <v>45562</v>
      </c>
      <c r="S848" s="173"/>
      <c r="T848" s="173">
        <v>45562</v>
      </c>
      <c r="U848" s="173">
        <v>45565</v>
      </c>
      <c r="V848" s="173"/>
      <c r="W848" s="3">
        <f>VLOOKUP(Table1[[#This Row],[Status]],Auxiliar!$B$16:$D$23,3,0)*Table1[[#This Row],[Estimação (horas)]]</f>
        <v>2</v>
      </c>
      <c r="X848" s="3"/>
    </row>
    <row r="849" spans="2:24" ht="52.2" hidden="1" customHeight="1">
      <c r="B849" s="3" t="s">
        <v>28</v>
      </c>
      <c r="C849" s="3" t="s">
        <v>301</v>
      </c>
      <c r="D849" s="3" t="s">
        <v>321</v>
      </c>
      <c r="E849" s="3" t="s">
        <v>38</v>
      </c>
      <c r="F849" s="3" t="s">
        <v>320</v>
      </c>
      <c r="G849" s="3" t="s">
        <v>198</v>
      </c>
      <c r="H849" s="63" t="str">
        <f>Table1[[#This Row],[Tabela]]&amp;Table1[[#This Row],[Campo]]</f>
        <v>modesg_out_sfcs_taxon_europeianome_ctgr_sfcs</v>
      </c>
      <c r="I849" s="3" t="s">
        <v>479</v>
      </c>
      <c r="J849" s="45">
        <f>VLOOKUP(Table1[[#This Row],[Status]],Auxiliar!$B$16:$C$23,2,0)</f>
        <v>4</v>
      </c>
      <c r="K849" s="3" t="s">
        <v>1141</v>
      </c>
      <c r="L849" s="3" t="s">
        <v>1135</v>
      </c>
      <c r="M849" s="22" t="s">
        <v>1136</v>
      </c>
      <c r="N849" s="53">
        <v>45546</v>
      </c>
      <c r="O849" s="22">
        <f>INDEX(Auxiliar!$D$5:$F$13,MATCH(Table1[[#This Row],[Tipologia_Testes]],Auxiliar!$B$5:$B$13,0),MATCH(Table1[[#This Row],[Complexidade]],Auxiliar!$D$4:$F$4,0))</f>
        <v>0.1</v>
      </c>
      <c r="P849" s="24" t="s">
        <v>1825</v>
      </c>
      <c r="Q849" s="3"/>
      <c r="R849" s="173">
        <v>45562</v>
      </c>
      <c r="S849" s="173"/>
      <c r="T849" s="173">
        <v>45562</v>
      </c>
      <c r="U849" s="173">
        <v>45565</v>
      </c>
      <c r="V849" s="173"/>
      <c r="W849" s="3">
        <f>VLOOKUP(Table1[[#This Row],[Status]],Auxiliar!$B$16:$D$23,3,0)*Table1[[#This Row],[Estimação (horas)]]</f>
        <v>2.5000000000000001E-2</v>
      </c>
      <c r="X849" s="3"/>
    </row>
    <row r="850" spans="2:24" ht="17.399999999999999" hidden="1" customHeight="1">
      <c r="B850" s="3" t="s">
        <v>28</v>
      </c>
      <c r="C850" s="3" t="s">
        <v>301</v>
      </c>
      <c r="D850" s="3" t="s">
        <v>321</v>
      </c>
      <c r="E850" s="3" t="s">
        <v>38</v>
      </c>
      <c r="F850" s="3" t="s">
        <v>320</v>
      </c>
      <c r="G850" s="3" t="s">
        <v>199</v>
      </c>
      <c r="H850" s="63" t="str">
        <f>Table1[[#This Row],[Tabela]]&amp;Table1[[#This Row],[Campo]]</f>
        <v>modesg_out_sfcs_taxon_europeianome_general_specific_purpose</v>
      </c>
      <c r="I850" s="3" t="s">
        <v>482</v>
      </c>
      <c r="J850" s="45">
        <f>VLOOKUP(Table1[[#This Row],[Status]],Auxiliar!$B$16:$C$23,2,0)</f>
        <v>6</v>
      </c>
      <c r="K850" s="3" t="s">
        <v>1137</v>
      </c>
      <c r="L850" s="29" t="s">
        <v>1135</v>
      </c>
      <c r="M850" s="22" t="s">
        <v>1155</v>
      </c>
      <c r="N850" s="53">
        <v>45546</v>
      </c>
      <c r="O850" s="22">
        <f>INDEX(Auxiliar!$D$5:$F$13,MATCH(Table1[[#This Row],[Tipologia_Testes]],Auxiliar!$B$5:$B$13,0),MATCH(Table1[[#This Row],[Complexidade]],Auxiliar!$D$4:$F$4,0))</f>
        <v>4</v>
      </c>
      <c r="P850" s="3" t="s">
        <v>1190</v>
      </c>
      <c r="Q850" s="3"/>
      <c r="R850" s="173">
        <v>45563</v>
      </c>
      <c r="S850" s="173"/>
      <c r="T850" s="173">
        <v>45563</v>
      </c>
      <c r="U850" s="173"/>
      <c r="V850" s="173"/>
      <c r="W850" s="3">
        <f>VLOOKUP(Table1[[#This Row],[Status]],Auxiliar!$B$16:$D$23,3,0)*Table1[[#This Row],[Estimação (horas)]]</f>
        <v>1</v>
      </c>
      <c r="X850" s="3"/>
    </row>
    <row r="851" spans="2:24" ht="17.399999999999999" hidden="1" customHeight="1">
      <c r="B851" s="3" t="s">
        <v>28</v>
      </c>
      <c r="C851" s="3" t="s">
        <v>301</v>
      </c>
      <c r="D851" s="3" t="s">
        <v>321</v>
      </c>
      <c r="E851" s="3" t="s">
        <v>38</v>
      </c>
      <c r="F851" s="3" t="s">
        <v>320</v>
      </c>
      <c r="G851" s="3" t="s">
        <v>199</v>
      </c>
      <c r="H851" s="63" t="str">
        <f>Table1[[#This Row],[Tabela]]&amp;Table1[[#This Row],[Campo]]</f>
        <v>modesg_out_sfcs_taxon_europeianome_general_specific_purpose</v>
      </c>
      <c r="I851" s="3" t="s">
        <v>482</v>
      </c>
      <c r="J851" s="45">
        <f>VLOOKUP(Table1[[#This Row],[Status]],Auxiliar!$B$16:$C$23,2,0)</f>
        <v>6</v>
      </c>
      <c r="K851" s="3" t="s">
        <v>1138</v>
      </c>
      <c r="L851" s="30" t="s">
        <v>1135</v>
      </c>
      <c r="M851" s="22" t="s">
        <v>1155</v>
      </c>
      <c r="N851" s="53">
        <v>45546</v>
      </c>
      <c r="O851" s="22">
        <f>INDEX(Auxiliar!$D$5:$F$13,MATCH(Table1[[#This Row],[Tipologia_Testes]],Auxiliar!$B$5:$B$13,0),MATCH(Table1[[#This Row],[Complexidade]],Auxiliar!$D$4:$F$4,0))</f>
        <v>4</v>
      </c>
      <c r="P851" s="3" t="s">
        <v>1190</v>
      </c>
      <c r="Q851" s="3"/>
      <c r="R851" s="173">
        <v>45563</v>
      </c>
      <c r="S851" s="173"/>
      <c r="T851" s="173">
        <v>45563</v>
      </c>
      <c r="U851" s="173"/>
      <c r="V851" s="173"/>
      <c r="W851" s="3">
        <f>VLOOKUP(Table1[[#This Row],[Status]],Auxiliar!$B$16:$D$23,3,0)*Table1[[#This Row],[Estimação (horas)]]</f>
        <v>1</v>
      </c>
      <c r="X851" s="3"/>
    </row>
    <row r="852" spans="2:24" ht="17.399999999999999" hidden="1" customHeight="1">
      <c r="B852" s="3" t="s">
        <v>28</v>
      </c>
      <c r="C852" s="3" t="s">
        <v>301</v>
      </c>
      <c r="D852" s="3" t="s">
        <v>321</v>
      </c>
      <c r="E852" s="3" t="s">
        <v>38</v>
      </c>
      <c r="F852" s="3" t="s">
        <v>320</v>
      </c>
      <c r="G852" s="3" t="s">
        <v>199</v>
      </c>
      <c r="H852" s="63" t="str">
        <f>Table1[[#This Row],[Tabela]]&amp;Table1[[#This Row],[Campo]]</f>
        <v>modesg_out_sfcs_taxon_europeianome_general_specific_purpose</v>
      </c>
      <c r="I852" s="3" t="s">
        <v>482</v>
      </c>
      <c r="J852" s="45">
        <f>VLOOKUP(Table1[[#This Row],[Status]],Auxiliar!$B$16:$C$23,2,0)</f>
        <v>6</v>
      </c>
      <c r="K852" s="3" t="s">
        <v>1141</v>
      </c>
      <c r="L852" s="30" t="s">
        <v>1135</v>
      </c>
      <c r="M852" s="22" t="s">
        <v>1155</v>
      </c>
      <c r="N852" s="53">
        <v>45546</v>
      </c>
      <c r="O852" s="22">
        <f>INDEX(Auxiliar!$D$5:$F$13,MATCH(Table1[[#This Row],[Tipologia_Testes]],Auxiliar!$B$5:$B$13,0),MATCH(Table1[[#This Row],[Complexidade]],Auxiliar!$D$4:$F$4,0))</f>
        <v>0.1</v>
      </c>
      <c r="P852" s="3" t="s">
        <v>1190</v>
      </c>
      <c r="Q852" s="3"/>
      <c r="R852" s="173">
        <v>45563</v>
      </c>
      <c r="S852" s="173"/>
      <c r="T852" s="173">
        <v>45563</v>
      </c>
      <c r="U852" s="173"/>
      <c r="V852" s="173"/>
      <c r="W852" s="3">
        <f>VLOOKUP(Table1[[#This Row],[Status]],Auxiliar!$B$16:$D$23,3,0)*Table1[[#This Row],[Estimação (horas)]]</f>
        <v>2.5000000000000001E-2</v>
      </c>
      <c r="X852" s="3"/>
    </row>
    <row r="853" spans="2:24" ht="17.399999999999999" hidden="1" customHeight="1">
      <c r="B853" s="3" t="s">
        <v>28</v>
      </c>
      <c r="C853" s="3" t="s">
        <v>301</v>
      </c>
      <c r="D853" s="3" t="s">
        <v>321</v>
      </c>
      <c r="E853" s="3" t="s">
        <v>38</v>
      </c>
      <c r="F853" s="3" t="s">
        <v>320</v>
      </c>
      <c r="G853" s="3" t="s">
        <v>200</v>
      </c>
      <c r="H853" s="63" t="str">
        <f>Table1[[#This Row],[Tabela]]&amp;Table1[[#This Row],[Campo]]</f>
        <v>modesg_out_sfcs_taxon_europeianome_purpose_esg</v>
      </c>
      <c r="I853" s="3" t="s">
        <v>482</v>
      </c>
      <c r="J853" s="45">
        <f>VLOOKUP(Table1[[#This Row],[Status]],Auxiliar!$B$16:$C$23,2,0)</f>
        <v>6</v>
      </c>
      <c r="K853" s="3" t="s">
        <v>1137</v>
      </c>
      <c r="L853" s="3" t="s">
        <v>1144</v>
      </c>
      <c r="M853" s="22" t="s">
        <v>1155</v>
      </c>
      <c r="N853" s="53">
        <v>45546</v>
      </c>
      <c r="O853" s="22">
        <f>INDEX(Auxiliar!$D$5:$F$13,MATCH(Table1[[#This Row],[Tipologia_Testes]],Auxiliar!$B$5:$B$13,0),MATCH(Table1[[#This Row],[Complexidade]],Auxiliar!$D$4:$F$4,0))</f>
        <v>4</v>
      </c>
      <c r="P853" s="3"/>
      <c r="Q853" s="3"/>
      <c r="R853" s="173">
        <v>45563</v>
      </c>
      <c r="S853" s="173"/>
      <c r="T853" s="173">
        <v>45563</v>
      </c>
      <c r="U853" s="173"/>
      <c r="V853" s="173"/>
      <c r="W853" s="3">
        <f>VLOOKUP(Table1[[#This Row],[Status]],Auxiliar!$B$16:$D$23,3,0)*Table1[[#This Row],[Estimação (horas)]]</f>
        <v>1</v>
      </c>
      <c r="X853" s="3"/>
    </row>
    <row r="854" spans="2:24" ht="17.399999999999999" hidden="1" customHeight="1">
      <c r="B854" s="3" t="s">
        <v>28</v>
      </c>
      <c r="C854" s="3" t="s">
        <v>301</v>
      </c>
      <c r="D854" s="3" t="s">
        <v>321</v>
      </c>
      <c r="E854" s="3" t="s">
        <v>38</v>
      </c>
      <c r="F854" s="3" t="s">
        <v>320</v>
      </c>
      <c r="G854" s="3" t="s">
        <v>200</v>
      </c>
      <c r="H854" s="63" t="str">
        <f>Table1[[#This Row],[Tabela]]&amp;Table1[[#This Row],[Campo]]</f>
        <v>modesg_out_sfcs_taxon_europeianome_purpose_esg</v>
      </c>
      <c r="I854" s="3" t="s">
        <v>482</v>
      </c>
      <c r="J854" s="45">
        <f>VLOOKUP(Table1[[#This Row],[Status]],Auxiliar!$B$16:$C$23,2,0)</f>
        <v>6</v>
      </c>
      <c r="K854" s="3" t="s">
        <v>1138</v>
      </c>
      <c r="L854" s="3" t="s">
        <v>1144</v>
      </c>
      <c r="M854" s="22" t="s">
        <v>1155</v>
      </c>
      <c r="N854" s="53">
        <v>45546</v>
      </c>
      <c r="O854" s="22">
        <f>INDEX(Auxiliar!$D$5:$F$13,MATCH(Table1[[#This Row],[Tipologia_Testes]],Auxiliar!$B$5:$B$13,0),MATCH(Table1[[#This Row],[Complexidade]],Auxiliar!$D$4:$F$4,0))</f>
        <v>4</v>
      </c>
      <c r="P854" s="3"/>
      <c r="Q854" s="3"/>
      <c r="R854" s="173">
        <v>45563</v>
      </c>
      <c r="S854" s="173"/>
      <c r="T854" s="173">
        <v>45563</v>
      </c>
      <c r="U854" s="173"/>
      <c r="V854" s="173"/>
      <c r="W854" s="3">
        <f>VLOOKUP(Table1[[#This Row],[Status]],Auxiliar!$B$16:$D$23,3,0)*Table1[[#This Row],[Estimação (horas)]]</f>
        <v>1</v>
      </c>
      <c r="X854" s="3"/>
    </row>
    <row r="855" spans="2:24" ht="17.399999999999999" hidden="1" customHeight="1">
      <c r="B855" s="3" t="s">
        <v>28</v>
      </c>
      <c r="C855" s="3" t="s">
        <v>301</v>
      </c>
      <c r="D855" s="3" t="s">
        <v>321</v>
      </c>
      <c r="E855" s="3" t="s">
        <v>38</v>
      </c>
      <c r="F855" s="3" t="s">
        <v>320</v>
      </c>
      <c r="G855" s="3" t="s">
        <v>200</v>
      </c>
      <c r="H855" s="63" t="str">
        <f>Table1[[#This Row],[Tabela]]&amp;Table1[[#This Row],[Campo]]</f>
        <v>modesg_out_sfcs_taxon_europeianome_purpose_esg</v>
      </c>
      <c r="I855" s="3" t="s">
        <v>482</v>
      </c>
      <c r="J855" s="45">
        <f>VLOOKUP(Table1[[#This Row],[Status]],Auxiliar!$B$16:$C$23,2,0)</f>
        <v>6</v>
      </c>
      <c r="K855" s="3" t="s">
        <v>1141</v>
      </c>
      <c r="L855" s="3" t="s">
        <v>1144</v>
      </c>
      <c r="M855" s="22" t="s">
        <v>1155</v>
      </c>
      <c r="N855" s="53">
        <v>45546</v>
      </c>
      <c r="O855" s="22">
        <f>INDEX(Auxiliar!$D$5:$F$13,MATCH(Table1[[#This Row],[Tipologia_Testes]],Auxiliar!$B$5:$B$13,0),MATCH(Table1[[#This Row],[Complexidade]],Auxiliar!$D$4:$F$4,0))</f>
        <v>0.1</v>
      </c>
      <c r="P855" s="3"/>
      <c r="Q855" s="3"/>
      <c r="R855" s="173">
        <v>45563</v>
      </c>
      <c r="S855" s="173"/>
      <c r="T855" s="173">
        <v>45563</v>
      </c>
      <c r="U855" s="173"/>
      <c r="V855" s="173"/>
      <c r="W855" s="3">
        <f>VLOOKUP(Table1[[#This Row],[Status]],Auxiliar!$B$16:$D$23,3,0)*Table1[[#This Row],[Estimação (horas)]]</f>
        <v>2.5000000000000001E-2</v>
      </c>
      <c r="X855" s="3"/>
    </row>
    <row r="856" spans="2:24" ht="17.399999999999999" hidden="1" customHeight="1">
      <c r="B856" s="3" t="s">
        <v>28</v>
      </c>
      <c r="C856" s="3" t="s">
        <v>301</v>
      </c>
      <c r="D856" s="3" t="s">
        <v>321</v>
      </c>
      <c r="E856" s="3" t="s">
        <v>38</v>
      </c>
      <c r="F856" s="3" t="s">
        <v>320</v>
      </c>
      <c r="G856" s="3" t="s">
        <v>201</v>
      </c>
      <c r="H856" s="63" t="str">
        <f>Table1[[#This Row],[Tabela]]&amp;Table1[[#This Row],[Campo]]</f>
        <v>modesg_out_sfcs_taxon_europeianome_specific_eligible</v>
      </c>
      <c r="I856" s="3" t="s">
        <v>482</v>
      </c>
      <c r="J856" s="45">
        <f>VLOOKUP(Table1[[#This Row],[Status]],Auxiliar!$B$16:$C$23,2,0)</f>
        <v>6</v>
      </c>
      <c r="K856" s="3" t="s">
        <v>1137</v>
      </c>
      <c r="L856" s="29" t="s">
        <v>1135</v>
      </c>
      <c r="M856" s="22" t="s">
        <v>1155</v>
      </c>
      <c r="N856" s="53">
        <v>45546</v>
      </c>
      <c r="O856" s="22">
        <f>INDEX(Auxiliar!$D$5:$F$13,MATCH(Table1[[#This Row],[Tipologia_Testes]],Auxiliar!$B$5:$B$13,0),MATCH(Table1[[#This Row],[Complexidade]],Auxiliar!$D$4:$F$4,0))</f>
        <v>4</v>
      </c>
      <c r="P856" s="3" t="s">
        <v>1190</v>
      </c>
      <c r="Q856" s="3"/>
      <c r="R856" s="173">
        <v>45563</v>
      </c>
      <c r="S856" s="173"/>
      <c r="T856" s="173">
        <v>45563</v>
      </c>
      <c r="U856" s="173"/>
      <c r="V856" s="173"/>
      <c r="W856" s="3">
        <f>VLOOKUP(Table1[[#This Row],[Status]],Auxiliar!$B$16:$D$23,3,0)*Table1[[#This Row],[Estimação (horas)]]</f>
        <v>1</v>
      </c>
      <c r="X856" s="3"/>
    </row>
    <row r="857" spans="2:24" ht="17.399999999999999" hidden="1" customHeight="1">
      <c r="B857" s="3" t="s">
        <v>28</v>
      </c>
      <c r="C857" s="3" t="s">
        <v>301</v>
      </c>
      <c r="D857" s="3" t="s">
        <v>321</v>
      </c>
      <c r="E857" s="3" t="s">
        <v>38</v>
      </c>
      <c r="F857" s="3" t="s">
        <v>320</v>
      </c>
      <c r="G857" s="3" t="s">
        <v>201</v>
      </c>
      <c r="H857" s="63" t="str">
        <f>Table1[[#This Row],[Tabela]]&amp;Table1[[#This Row],[Campo]]</f>
        <v>modesg_out_sfcs_taxon_europeianome_specific_eligible</v>
      </c>
      <c r="I857" s="3" t="s">
        <v>482</v>
      </c>
      <c r="J857" s="45">
        <f>VLOOKUP(Table1[[#This Row],[Status]],Auxiliar!$B$16:$C$23,2,0)</f>
        <v>6</v>
      </c>
      <c r="K857" s="3" t="s">
        <v>1138</v>
      </c>
      <c r="L857" s="30" t="s">
        <v>1135</v>
      </c>
      <c r="M857" s="22" t="s">
        <v>1155</v>
      </c>
      <c r="N857" s="53">
        <v>45546</v>
      </c>
      <c r="O857" s="22">
        <f>INDEX(Auxiliar!$D$5:$F$13,MATCH(Table1[[#This Row],[Tipologia_Testes]],Auxiliar!$B$5:$B$13,0),MATCH(Table1[[#This Row],[Complexidade]],Auxiliar!$D$4:$F$4,0))</f>
        <v>4</v>
      </c>
      <c r="P857" s="3" t="s">
        <v>1190</v>
      </c>
      <c r="Q857" s="3"/>
      <c r="R857" s="173">
        <v>45563</v>
      </c>
      <c r="S857" s="173"/>
      <c r="T857" s="173">
        <v>45563</v>
      </c>
      <c r="U857" s="173"/>
      <c r="V857" s="173"/>
      <c r="W857" s="3">
        <f>VLOOKUP(Table1[[#This Row],[Status]],Auxiliar!$B$16:$D$23,3,0)*Table1[[#This Row],[Estimação (horas)]]</f>
        <v>1</v>
      </c>
      <c r="X857" s="3"/>
    </row>
    <row r="858" spans="2:24" ht="17.399999999999999" hidden="1" customHeight="1">
      <c r="B858" s="3" t="s">
        <v>28</v>
      </c>
      <c r="C858" s="3" t="s">
        <v>301</v>
      </c>
      <c r="D858" s="3" t="s">
        <v>321</v>
      </c>
      <c r="E858" s="3" t="s">
        <v>38</v>
      </c>
      <c r="F858" s="3" t="s">
        <v>320</v>
      </c>
      <c r="G858" s="3" t="s">
        <v>201</v>
      </c>
      <c r="H858" s="63" t="str">
        <f>Table1[[#This Row],[Tabela]]&amp;Table1[[#This Row],[Campo]]</f>
        <v>modesg_out_sfcs_taxon_europeianome_specific_eligible</v>
      </c>
      <c r="I858" s="3" t="s">
        <v>482</v>
      </c>
      <c r="J858" s="45">
        <f>VLOOKUP(Table1[[#This Row],[Status]],Auxiliar!$B$16:$C$23,2,0)</f>
        <v>6</v>
      </c>
      <c r="K858" s="3" t="s">
        <v>1141</v>
      </c>
      <c r="L858" s="30" t="s">
        <v>1135</v>
      </c>
      <c r="M858" s="22" t="s">
        <v>1155</v>
      </c>
      <c r="N858" s="53">
        <v>45546</v>
      </c>
      <c r="O858" s="22">
        <f>INDEX(Auxiliar!$D$5:$F$13,MATCH(Table1[[#This Row],[Tipologia_Testes]],Auxiliar!$B$5:$B$13,0),MATCH(Table1[[#This Row],[Complexidade]],Auxiliar!$D$4:$F$4,0))</f>
        <v>0.1</v>
      </c>
      <c r="P858" s="3" t="s">
        <v>1190</v>
      </c>
      <c r="Q858" s="3"/>
      <c r="R858" s="173">
        <v>45563</v>
      </c>
      <c r="S858" s="173"/>
      <c r="T858" s="173">
        <v>45563</v>
      </c>
      <c r="U858" s="173"/>
      <c r="V858" s="173"/>
      <c r="W858" s="3">
        <f>VLOOKUP(Table1[[#This Row],[Status]],Auxiliar!$B$16:$D$23,3,0)*Table1[[#This Row],[Estimação (horas)]]</f>
        <v>2.5000000000000001E-2</v>
      </c>
      <c r="X858" s="3"/>
    </row>
    <row r="859" spans="2:24" ht="17.399999999999999" hidden="1" customHeight="1">
      <c r="B859" s="3" t="s">
        <v>28</v>
      </c>
      <c r="C859" s="3" t="s">
        <v>301</v>
      </c>
      <c r="D859" s="3" t="s">
        <v>321</v>
      </c>
      <c r="E859" s="3" t="s">
        <v>38</v>
      </c>
      <c r="F859" s="3" t="s">
        <v>320</v>
      </c>
      <c r="G859" s="3" t="s">
        <v>202</v>
      </c>
      <c r="H859" s="63" t="str">
        <f>Table1[[#This Row],[Tabela]]&amp;Table1[[#This Row],[Campo]]</f>
        <v>modesg_out_sfcs_taxon_europeianome_specific_sustainable</v>
      </c>
      <c r="I859" s="3" t="s">
        <v>482</v>
      </c>
      <c r="J859" s="45">
        <f>VLOOKUP(Table1[[#This Row],[Status]],Auxiliar!$B$16:$C$23,2,0)</f>
        <v>6</v>
      </c>
      <c r="K859" s="3" t="s">
        <v>1137</v>
      </c>
      <c r="L859" s="30" t="s">
        <v>1135</v>
      </c>
      <c r="M859" s="22" t="s">
        <v>1155</v>
      </c>
      <c r="N859" s="53">
        <v>45546</v>
      </c>
      <c r="O859" s="22">
        <f>INDEX(Auxiliar!$D$5:$F$13,MATCH(Table1[[#This Row],[Tipologia_Testes]],Auxiliar!$B$5:$B$13,0),MATCH(Table1[[#This Row],[Complexidade]],Auxiliar!$D$4:$F$4,0))</f>
        <v>4</v>
      </c>
      <c r="P859" s="3" t="s">
        <v>1190</v>
      </c>
      <c r="Q859" s="3"/>
      <c r="R859" s="173">
        <v>45563</v>
      </c>
      <c r="S859" s="173"/>
      <c r="T859" s="173">
        <v>45563</v>
      </c>
      <c r="U859" s="173"/>
      <c r="V859" s="173"/>
      <c r="W859" s="3">
        <f>VLOOKUP(Table1[[#This Row],[Status]],Auxiliar!$B$16:$D$23,3,0)*Table1[[#This Row],[Estimação (horas)]]</f>
        <v>1</v>
      </c>
      <c r="X859" s="3"/>
    </row>
    <row r="860" spans="2:24" ht="17.399999999999999" hidden="1" customHeight="1">
      <c r="B860" s="3" t="s">
        <v>28</v>
      </c>
      <c r="C860" s="3" t="s">
        <v>301</v>
      </c>
      <c r="D860" s="3" t="s">
        <v>321</v>
      </c>
      <c r="E860" s="3" t="s">
        <v>38</v>
      </c>
      <c r="F860" s="3" t="s">
        <v>320</v>
      </c>
      <c r="G860" s="3" t="s">
        <v>202</v>
      </c>
      <c r="H860" s="63" t="str">
        <f>Table1[[#This Row],[Tabela]]&amp;Table1[[#This Row],[Campo]]</f>
        <v>modesg_out_sfcs_taxon_europeianome_specific_sustainable</v>
      </c>
      <c r="I860" s="3" t="s">
        <v>482</v>
      </c>
      <c r="J860" s="45">
        <f>VLOOKUP(Table1[[#This Row],[Status]],Auxiliar!$B$16:$C$23,2,0)</f>
        <v>6</v>
      </c>
      <c r="K860" s="3" t="s">
        <v>1138</v>
      </c>
      <c r="L860" s="30" t="s">
        <v>1135</v>
      </c>
      <c r="M860" s="22" t="s">
        <v>1155</v>
      </c>
      <c r="N860" s="53">
        <v>45546</v>
      </c>
      <c r="O860" s="22">
        <f>INDEX(Auxiliar!$D$5:$F$13,MATCH(Table1[[#This Row],[Tipologia_Testes]],Auxiliar!$B$5:$B$13,0),MATCH(Table1[[#This Row],[Complexidade]],Auxiliar!$D$4:$F$4,0))</f>
        <v>4</v>
      </c>
      <c r="P860" s="3" t="s">
        <v>1190</v>
      </c>
      <c r="Q860" s="3"/>
      <c r="R860" s="173">
        <v>45563</v>
      </c>
      <c r="S860" s="173"/>
      <c r="T860" s="173">
        <v>45563</v>
      </c>
      <c r="U860" s="173"/>
      <c r="V860" s="173"/>
      <c r="W860" s="3">
        <f>VLOOKUP(Table1[[#This Row],[Status]],Auxiliar!$B$16:$D$23,3,0)*Table1[[#This Row],[Estimação (horas)]]</f>
        <v>1</v>
      </c>
      <c r="X860" s="3"/>
    </row>
    <row r="861" spans="2:24" ht="17.399999999999999" hidden="1" customHeight="1">
      <c r="B861" s="3" t="s">
        <v>28</v>
      </c>
      <c r="C861" s="3" t="s">
        <v>301</v>
      </c>
      <c r="D861" s="3" t="s">
        <v>321</v>
      </c>
      <c r="E861" s="3" t="s">
        <v>38</v>
      </c>
      <c r="F861" s="3" t="s">
        <v>320</v>
      </c>
      <c r="G861" s="3" t="s">
        <v>202</v>
      </c>
      <c r="H861" s="63" t="str">
        <f>Table1[[#This Row],[Tabela]]&amp;Table1[[#This Row],[Campo]]</f>
        <v>modesg_out_sfcs_taxon_europeianome_specific_sustainable</v>
      </c>
      <c r="I861" s="3" t="s">
        <v>482</v>
      </c>
      <c r="J861" s="45">
        <f>VLOOKUP(Table1[[#This Row],[Status]],Auxiliar!$B$16:$C$23,2,0)</f>
        <v>6</v>
      </c>
      <c r="K861" s="3" t="s">
        <v>1141</v>
      </c>
      <c r="L861" s="30" t="s">
        <v>1135</v>
      </c>
      <c r="M861" s="22" t="s">
        <v>1155</v>
      </c>
      <c r="N861" s="53">
        <v>45546</v>
      </c>
      <c r="O861" s="22">
        <f>INDEX(Auxiliar!$D$5:$F$13,MATCH(Table1[[#This Row],[Tipologia_Testes]],Auxiliar!$B$5:$B$13,0),MATCH(Table1[[#This Row],[Complexidade]],Auxiliar!$D$4:$F$4,0))</f>
        <v>0.1</v>
      </c>
      <c r="P861" s="3" t="s">
        <v>1190</v>
      </c>
      <c r="Q861" s="3"/>
      <c r="R861" s="173">
        <v>45563</v>
      </c>
      <c r="S861" s="173"/>
      <c r="T861" s="173">
        <v>45563</v>
      </c>
      <c r="U861" s="173"/>
      <c r="V861" s="173"/>
      <c r="W861" s="3">
        <f>VLOOKUP(Table1[[#This Row],[Status]],Auxiliar!$B$16:$D$23,3,0)*Table1[[#This Row],[Estimação (horas)]]</f>
        <v>2.5000000000000001E-2</v>
      </c>
      <c r="X861" s="3"/>
    </row>
    <row r="862" spans="2:24" ht="17.399999999999999" hidden="1" customHeight="1">
      <c r="B862" s="3" t="s">
        <v>28</v>
      </c>
      <c r="C862" s="3" t="s">
        <v>301</v>
      </c>
      <c r="D862" s="3" t="s">
        <v>321</v>
      </c>
      <c r="E862" s="3" t="s">
        <v>38</v>
      </c>
      <c r="F862" s="3" t="s">
        <v>320</v>
      </c>
      <c r="G862" s="3" t="s">
        <v>72</v>
      </c>
      <c r="H862" s="63" t="str">
        <f>Table1[[#This Row],[Tabela]]&amp;Table1[[#This Row],[Campo]]</f>
        <v>modesg_out_sfcs_taxon_europeiaorigem</v>
      </c>
      <c r="I862" s="4" t="s">
        <v>477</v>
      </c>
      <c r="J862" s="60">
        <f>VLOOKUP(Table1[[#This Row],[Status]],Auxiliar!$B$16:$C$23,2,0)</f>
        <v>1</v>
      </c>
      <c r="K862" s="3" t="s">
        <v>1137</v>
      </c>
      <c r="L862" s="3" t="s">
        <v>1144</v>
      </c>
      <c r="M862" s="22" t="s">
        <v>1145</v>
      </c>
      <c r="N862" s="53">
        <v>45546</v>
      </c>
      <c r="O862" s="22">
        <f>INDEX(Auxiliar!$D$5:$F$13,MATCH(Table1[[#This Row],[Tipologia_Testes]],Auxiliar!$B$5:$B$13,0),MATCH(Table1[[#This Row],[Complexidade]],Auxiliar!$D$4:$F$4,0))</f>
        <v>2</v>
      </c>
      <c r="P862" s="3"/>
      <c r="Q862" s="3"/>
      <c r="R862" s="173">
        <v>45562</v>
      </c>
      <c r="S862" s="173"/>
      <c r="T862" s="173"/>
      <c r="U862" s="173"/>
      <c r="V862" s="173"/>
      <c r="W862" s="3">
        <f>VLOOKUP(Table1[[#This Row],[Status]],Auxiliar!$B$16:$D$23,3,0)*Table1[[#This Row],[Estimação (horas)]]</f>
        <v>2</v>
      </c>
      <c r="X862" s="3"/>
    </row>
    <row r="863" spans="2:24" ht="17.399999999999999" hidden="1" customHeight="1">
      <c r="B863" s="3" t="s">
        <v>28</v>
      </c>
      <c r="C863" s="3" t="s">
        <v>301</v>
      </c>
      <c r="D863" s="3" t="s">
        <v>321</v>
      </c>
      <c r="E863" s="3" t="s">
        <v>38</v>
      </c>
      <c r="F863" s="3" t="s">
        <v>320</v>
      </c>
      <c r="G863" s="3" t="s">
        <v>72</v>
      </c>
      <c r="H863" s="63" t="str">
        <f>Table1[[#This Row],[Tabela]]&amp;Table1[[#This Row],[Campo]]</f>
        <v>modesg_out_sfcs_taxon_europeiaorigem</v>
      </c>
      <c r="I863" s="4" t="s">
        <v>477</v>
      </c>
      <c r="J863" s="60">
        <f>VLOOKUP(Table1[[#This Row],[Status]],Auxiliar!$B$16:$C$23,2,0)</f>
        <v>1</v>
      </c>
      <c r="K863" s="3" t="s">
        <v>1138</v>
      </c>
      <c r="L863" s="3" t="s">
        <v>1144</v>
      </c>
      <c r="M863" s="22" t="s">
        <v>1145</v>
      </c>
      <c r="N863" s="53">
        <v>45546</v>
      </c>
      <c r="O863" s="22">
        <f>INDEX(Auxiliar!$D$5:$F$13,MATCH(Table1[[#This Row],[Tipologia_Testes]],Auxiliar!$B$5:$B$13,0),MATCH(Table1[[#This Row],[Complexidade]],Auxiliar!$D$4:$F$4,0))</f>
        <v>2</v>
      </c>
      <c r="P863" s="3"/>
      <c r="Q863" s="3"/>
      <c r="R863" s="173">
        <v>45562</v>
      </c>
      <c r="S863" s="173"/>
      <c r="T863" s="173"/>
      <c r="U863" s="173"/>
      <c r="V863" s="173"/>
      <c r="W863" s="3">
        <f>VLOOKUP(Table1[[#This Row],[Status]],Auxiliar!$B$16:$D$23,3,0)*Table1[[#This Row],[Estimação (horas)]]</f>
        <v>2</v>
      </c>
      <c r="X863" s="3"/>
    </row>
    <row r="864" spans="2:24" ht="17.399999999999999" hidden="1" customHeight="1">
      <c r="B864" s="3" t="s">
        <v>28</v>
      </c>
      <c r="C864" s="3" t="s">
        <v>301</v>
      </c>
      <c r="D864" s="3" t="s">
        <v>321</v>
      </c>
      <c r="E864" s="3" t="s">
        <v>38</v>
      </c>
      <c r="F864" s="3" t="s">
        <v>320</v>
      </c>
      <c r="G864" s="3" t="s">
        <v>72</v>
      </c>
      <c r="H864" s="63" t="str">
        <f>Table1[[#This Row],[Tabela]]&amp;Table1[[#This Row],[Campo]]</f>
        <v>modesg_out_sfcs_taxon_europeiaorigem</v>
      </c>
      <c r="I864" s="4" t="s">
        <v>477</v>
      </c>
      <c r="J864" s="60">
        <f>VLOOKUP(Table1[[#This Row],[Status]],Auxiliar!$B$16:$C$23,2,0)</f>
        <v>1</v>
      </c>
      <c r="K864" s="3" t="s">
        <v>1141</v>
      </c>
      <c r="L864" s="3" t="s">
        <v>1144</v>
      </c>
      <c r="M864" s="22" t="s">
        <v>1145</v>
      </c>
      <c r="N864" s="53">
        <v>45546</v>
      </c>
      <c r="O864" s="22">
        <f>INDEX(Auxiliar!$D$5:$F$13,MATCH(Table1[[#This Row],[Tipologia_Testes]],Auxiliar!$B$5:$B$13,0),MATCH(Table1[[#This Row],[Complexidade]],Auxiliar!$D$4:$F$4,0))</f>
        <v>0.1</v>
      </c>
      <c r="P864" s="3"/>
      <c r="Q864" s="3"/>
      <c r="R864" s="173">
        <v>45562</v>
      </c>
      <c r="S864" s="173"/>
      <c r="T864" s="173"/>
      <c r="U864" s="173"/>
      <c r="V864" s="173"/>
      <c r="W864" s="3">
        <f>VLOOKUP(Table1[[#This Row],[Status]],Auxiliar!$B$16:$D$23,3,0)*Table1[[#This Row],[Estimação (horas)]]</f>
        <v>0.1</v>
      </c>
      <c r="X864" s="3"/>
    </row>
    <row r="865" spans="2:24" ht="17.399999999999999" hidden="1" customHeight="1">
      <c r="B865" s="3" t="s">
        <v>28</v>
      </c>
      <c r="C865" s="3" t="s">
        <v>301</v>
      </c>
      <c r="D865" s="3" t="s">
        <v>321</v>
      </c>
      <c r="E865" s="3" t="s">
        <v>38</v>
      </c>
      <c r="F865" s="3" t="s">
        <v>320</v>
      </c>
      <c r="G865" s="3" t="s">
        <v>73</v>
      </c>
      <c r="H865" s="63" t="str">
        <f>Table1[[#This Row],[Tabela]]&amp;Table1[[#This Row],[Campo]]</f>
        <v>modesg_out_sfcs_taxon_europeiaref_date</v>
      </c>
      <c r="I865" s="3" t="s">
        <v>482</v>
      </c>
      <c r="J865" s="45">
        <f>VLOOKUP(Table1[[#This Row],[Status]],Auxiliar!$B$16:$C$23,2,0)</f>
        <v>6</v>
      </c>
      <c r="K865" s="3" t="s">
        <v>1137</v>
      </c>
      <c r="L865" s="3" t="s">
        <v>1144</v>
      </c>
      <c r="M865" s="22" t="s">
        <v>1145</v>
      </c>
      <c r="N865" s="53">
        <v>45546</v>
      </c>
      <c r="O865" s="22">
        <f>INDEX(Auxiliar!$D$5:$F$13,MATCH(Table1[[#This Row],[Tipologia_Testes]],Auxiliar!$B$5:$B$13,0),MATCH(Table1[[#This Row],[Complexidade]],Auxiliar!$D$4:$F$4,0))</f>
        <v>2</v>
      </c>
      <c r="P865" s="3"/>
      <c r="Q865" s="3"/>
      <c r="R865" s="173">
        <v>45563</v>
      </c>
      <c r="S865" s="173"/>
      <c r="T865" s="173">
        <v>45561</v>
      </c>
      <c r="U865" s="173"/>
      <c r="V865" s="173"/>
      <c r="W865" s="3">
        <f>VLOOKUP(Table1[[#This Row],[Status]],Auxiliar!$B$16:$D$23,3,0)*Table1[[#This Row],[Estimação (horas)]]</f>
        <v>0.5</v>
      </c>
      <c r="X865" s="3"/>
    </row>
    <row r="866" spans="2:24" ht="17.399999999999999" hidden="1" customHeight="1">
      <c r="B866" s="3" t="s">
        <v>28</v>
      </c>
      <c r="C866" s="3" t="s">
        <v>301</v>
      </c>
      <c r="D866" s="3" t="s">
        <v>321</v>
      </c>
      <c r="E866" s="3" t="s">
        <v>38</v>
      </c>
      <c r="F866" s="3" t="s">
        <v>320</v>
      </c>
      <c r="G866" s="3" t="s">
        <v>73</v>
      </c>
      <c r="H866" s="63" t="str">
        <f>Table1[[#This Row],[Tabela]]&amp;Table1[[#This Row],[Campo]]</f>
        <v>modesg_out_sfcs_taxon_europeiaref_date</v>
      </c>
      <c r="I866" s="3" t="s">
        <v>482</v>
      </c>
      <c r="J866" s="45">
        <f>VLOOKUP(Table1[[#This Row],[Status]],Auxiliar!$B$16:$C$23,2,0)</f>
        <v>6</v>
      </c>
      <c r="K866" s="3" t="s">
        <v>1138</v>
      </c>
      <c r="L866" s="3" t="s">
        <v>1144</v>
      </c>
      <c r="M866" s="22" t="s">
        <v>1145</v>
      </c>
      <c r="N866" s="53">
        <v>45546</v>
      </c>
      <c r="O866" s="22">
        <f>INDEX(Auxiliar!$D$5:$F$13,MATCH(Table1[[#This Row],[Tipologia_Testes]],Auxiliar!$B$5:$B$13,0),MATCH(Table1[[#This Row],[Complexidade]],Auxiliar!$D$4:$F$4,0))</f>
        <v>2</v>
      </c>
      <c r="P866" s="3"/>
      <c r="Q866" s="3"/>
      <c r="R866" s="173">
        <v>45563</v>
      </c>
      <c r="S866" s="173"/>
      <c r="T866" s="173">
        <v>45561</v>
      </c>
      <c r="U866" s="173"/>
      <c r="V866" s="173"/>
      <c r="W866" s="3">
        <f>VLOOKUP(Table1[[#This Row],[Status]],Auxiliar!$B$16:$D$23,3,0)*Table1[[#This Row],[Estimação (horas)]]</f>
        <v>0.5</v>
      </c>
      <c r="X866" s="3"/>
    </row>
    <row r="867" spans="2:24" ht="17.399999999999999" hidden="1" customHeight="1">
      <c r="B867" s="3" t="s">
        <v>28</v>
      </c>
      <c r="C867" s="3" t="s">
        <v>301</v>
      </c>
      <c r="D867" s="3" t="s">
        <v>321</v>
      </c>
      <c r="E867" s="3" t="s">
        <v>38</v>
      </c>
      <c r="F867" s="3" t="s">
        <v>320</v>
      </c>
      <c r="G867" s="3" t="s">
        <v>73</v>
      </c>
      <c r="H867" s="63" t="str">
        <f>Table1[[#This Row],[Tabela]]&amp;Table1[[#This Row],[Campo]]</f>
        <v>modesg_out_sfcs_taxon_europeiaref_date</v>
      </c>
      <c r="I867" s="3" t="s">
        <v>482</v>
      </c>
      <c r="J867" s="45">
        <f>VLOOKUP(Table1[[#This Row],[Status]],Auxiliar!$B$16:$C$23,2,0)</f>
        <v>6</v>
      </c>
      <c r="K867" s="3" t="s">
        <v>1141</v>
      </c>
      <c r="L867" s="3" t="s">
        <v>1144</v>
      </c>
      <c r="M867" s="22" t="s">
        <v>1145</v>
      </c>
      <c r="N867" s="53">
        <v>45546</v>
      </c>
      <c r="O867" s="22">
        <f>INDEX(Auxiliar!$D$5:$F$13,MATCH(Table1[[#This Row],[Tipologia_Testes]],Auxiliar!$B$5:$B$13,0),MATCH(Table1[[#This Row],[Complexidade]],Auxiliar!$D$4:$F$4,0))</f>
        <v>0.1</v>
      </c>
      <c r="P867" s="3"/>
      <c r="Q867" s="3"/>
      <c r="R867" s="173">
        <v>45563</v>
      </c>
      <c r="S867" s="173"/>
      <c r="T867" s="173">
        <v>45561</v>
      </c>
      <c r="U867" s="173"/>
      <c r="V867" s="173"/>
      <c r="W867" s="3">
        <f>VLOOKUP(Table1[[#This Row],[Status]],Auxiliar!$B$16:$D$23,3,0)*Table1[[#This Row],[Estimação (horas)]]</f>
        <v>2.5000000000000001E-2</v>
      </c>
      <c r="X867" s="3"/>
    </row>
    <row r="868" spans="2:24" ht="17.399999999999999" hidden="1" customHeight="1">
      <c r="B868" s="3" t="s">
        <v>28</v>
      </c>
      <c r="C868" s="3" t="s">
        <v>301</v>
      </c>
      <c r="D868" s="3" t="s">
        <v>321</v>
      </c>
      <c r="E868" s="3" t="s">
        <v>38</v>
      </c>
      <c r="F868" s="3" t="s">
        <v>320</v>
      </c>
      <c r="G868" s="3" t="s">
        <v>204</v>
      </c>
      <c r="H868" s="63" t="str">
        <f>Table1[[#This Row],[Tabela]]&amp;Table1[[#This Row],[Campo]]</f>
        <v>modesg_out_sfcs_taxon_europeiazdeposit</v>
      </c>
      <c r="I868" s="3" t="s">
        <v>482</v>
      </c>
      <c r="J868" s="45">
        <f>VLOOKUP(Table1[[#This Row],[Status]],Auxiliar!$B$16:$C$23,2,0)</f>
        <v>6</v>
      </c>
      <c r="K868" s="3" t="s">
        <v>1137</v>
      </c>
      <c r="L868" s="3" t="s">
        <v>1144</v>
      </c>
      <c r="M868" s="22" t="s">
        <v>1155</v>
      </c>
      <c r="N868" s="53">
        <v>45546</v>
      </c>
      <c r="O868" s="22">
        <f>INDEX(Auxiliar!$D$5:$F$13,MATCH(Table1[[#This Row],[Tipologia_Testes]],Auxiliar!$B$5:$B$13,0),MATCH(Table1[[#This Row],[Complexidade]],Auxiliar!$D$4:$F$4,0))</f>
        <v>4</v>
      </c>
      <c r="P868" s="3"/>
      <c r="Q868" s="3"/>
      <c r="R868" s="173">
        <v>45563</v>
      </c>
      <c r="S868" s="173"/>
      <c r="T868" s="173">
        <v>45561</v>
      </c>
      <c r="U868" s="173"/>
      <c r="V868" s="173"/>
      <c r="W868" s="3">
        <f>VLOOKUP(Table1[[#This Row],[Status]],Auxiliar!$B$16:$D$23,3,0)*Table1[[#This Row],[Estimação (horas)]]</f>
        <v>1</v>
      </c>
      <c r="X868" s="3"/>
    </row>
    <row r="869" spans="2:24" ht="17.399999999999999" hidden="1" customHeight="1">
      <c r="B869" s="3" t="s">
        <v>28</v>
      </c>
      <c r="C869" s="3" t="s">
        <v>301</v>
      </c>
      <c r="D869" s="3" t="s">
        <v>321</v>
      </c>
      <c r="E869" s="3" t="s">
        <v>38</v>
      </c>
      <c r="F869" s="3" t="s">
        <v>320</v>
      </c>
      <c r="G869" s="3" t="s">
        <v>204</v>
      </c>
      <c r="H869" s="63" t="str">
        <f>Table1[[#This Row],[Tabela]]&amp;Table1[[#This Row],[Campo]]</f>
        <v>modesg_out_sfcs_taxon_europeiazdeposit</v>
      </c>
      <c r="I869" s="3" t="s">
        <v>482</v>
      </c>
      <c r="J869" s="45">
        <f>VLOOKUP(Table1[[#This Row],[Status]],Auxiliar!$B$16:$C$23,2,0)</f>
        <v>6</v>
      </c>
      <c r="K869" s="3" t="s">
        <v>1138</v>
      </c>
      <c r="L869" s="3" t="s">
        <v>1144</v>
      </c>
      <c r="M869" s="22" t="s">
        <v>1155</v>
      </c>
      <c r="N869" s="53">
        <v>45546</v>
      </c>
      <c r="O869" s="22">
        <f>INDEX(Auxiliar!$D$5:$F$13,MATCH(Table1[[#This Row],[Tipologia_Testes]],Auxiliar!$B$5:$B$13,0),MATCH(Table1[[#This Row],[Complexidade]],Auxiliar!$D$4:$F$4,0))</f>
        <v>4</v>
      </c>
      <c r="P869" s="3"/>
      <c r="Q869" s="3"/>
      <c r="R869" s="173">
        <v>45563</v>
      </c>
      <c r="S869" s="173"/>
      <c r="T869" s="173">
        <v>45561</v>
      </c>
      <c r="U869" s="173"/>
      <c r="V869" s="173"/>
      <c r="W869" s="3">
        <f>VLOOKUP(Table1[[#This Row],[Status]],Auxiliar!$B$16:$D$23,3,0)*Table1[[#This Row],[Estimação (horas)]]</f>
        <v>1</v>
      </c>
      <c r="X869" s="3"/>
    </row>
    <row r="870" spans="2:24" ht="17.399999999999999" hidden="1" customHeight="1">
      <c r="B870" s="3" t="s">
        <v>28</v>
      </c>
      <c r="C870" s="3" t="s">
        <v>301</v>
      </c>
      <c r="D870" s="3" t="s">
        <v>321</v>
      </c>
      <c r="E870" s="3" t="s">
        <v>38</v>
      </c>
      <c r="F870" s="3" t="s">
        <v>320</v>
      </c>
      <c r="G870" s="3" t="s">
        <v>204</v>
      </c>
      <c r="H870" s="63" t="str">
        <f>Table1[[#This Row],[Tabela]]&amp;Table1[[#This Row],[Campo]]</f>
        <v>modesg_out_sfcs_taxon_europeiazdeposit</v>
      </c>
      <c r="I870" s="3" t="s">
        <v>482</v>
      </c>
      <c r="J870" s="45">
        <f>VLOOKUP(Table1[[#This Row],[Status]],Auxiliar!$B$16:$C$23,2,0)</f>
        <v>6</v>
      </c>
      <c r="K870" s="3" t="s">
        <v>1141</v>
      </c>
      <c r="L870" s="3" t="s">
        <v>1144</v>
      </c>
      <c r="M870" s="22" t="s">
        <v>1155</v>
      </c>
      <c r="N870" s="53">
        <v>45546</v>
      </c>
      <c r="O870" s="22">
        <f>INDEX(Auxiliar!$D$5:$F$13,MATCH(Table1[[#This Row],[Tipologia_Testes]],Auxiliar!$B$5:$B$13,0),MATCH(Table1[[#This Row],[Complexidade]],Auxiliar!$D$4:$F$4,0))</f>
        <v>0.1</v>
      </c>
      <c r="P870" s="3"/>
      <c r="Q870" s="3"/>
      <c r="R870" s="173">
        <v>45563</v>
      </c>
      <c r="S870" s="173"/>
      <c r="T870" s="173">
        <v>45561</v>
      </c>
      <c r="U870" s="173"/>
      <c r="V870" s="173"/>
      <c r="W870" s="3">
        <f>VLOOKUP(Table1[[#This Row],[Status]],Auxiliar!$B$16:$D$23,3,0)*Table1[[#This Row],[Estimação (horas)]]</f>
        <v>2.5000000000000001E-2</v>
      </c>
      <c r="X870" s="3"/>
    </row>
    <row r="871" spans="2:24" ht="17.399999999999999" hidden="1" customHeight="1">
      <c r="B871" s="3" t="s">
        <v>28</v>
      </c>
      <c r="C871" s="3" t="s">
        <v>178</v>
      </c>
      <c r="D871" s="3" t="s">
        <v>1191</v>
      </c>
      <c r="E871" s="3" t="s">
        <v>38</v>
      </c>
      <c r="F871" s="3" t="s">
        <v>179</v>
      </c>
      <c r="G871" s="3" t="s">
        <v>38</v>
      </c>
      <c r="H871" s="63" t="str">
        <f>Table1[[#This Row],[Tabela]]&amp;Table1[[#This Row],[Campo]]</f>
        <v>modesg_param_sfcs_taxon_europeian.a.</v>
      </c>
      <c r="I871" s="3" t="s">
        <v>482</v>
      </c>
      <c r="J871" s="45">
        <f>VLOOKUP(Table1[[#This Row],[Status]],Auxiliar!$B$16:$C$23,2,0)</f>
        <v>6</v>
      </c>
      <c r="K871" s="3" t="s">
        <v>1134</v>
      </c>
      <c r="L871" s="3" t="s">
        <v>1144</v>
      </c>
      <c r="M871" s="22" t="s">
        <v>1136</v>
      </c>
      <c r="N871" s="53">
        <v>45546</v>
      </c>
      <c r="O871" s="22">
        <f>INDEX(Auxiliar!$D$5:$F$13,MATCH(Table1[[#This Row],[Tipologia_Testes]],Auxiliar!$B$5:$B$13,0),MATCH(Table1[[#This Row],[Complexidade]],Auxiliar!$D$4:$F$4,0))</f>
        <v>8</v>
      </c>
      <c r="P871" s="24"/>
      <c r="Q871" s="3"/>
      <c r="R871" s="173">
        <v>45563</v>
      </c>
      <c r="S871" s="173"/>
      <c r="T871" s="173">
        <v>45563</v>
      </c>
      <c r="U871" s="173"/>
      <c r="V871" s="173"/>
      <c r="W871" s="3">
        <f>VLOOKUP(Table1[[#This Row],[Status]],Auxiliar!$B$16:$D$23,3,0)*Table1[[#This Row],[Estimação (horas)]]</f>
        <v>2</v>
      </c>
      <c r="X871" s="3"/>
    </row>
    <row r="872" spans="2:24" ht="87" hidden="1" customHeight="1">
      <c r="B872" s="3" t="s">
        <v>28</v>
      </c>
      <c r="C872" s="3" t="s">
        <v>178</v>
      </c>
      <c r="D872" s="3" t="s">
        <v>1191</v>
      </c>
      <c r="E872" s="3" t="s">
        <v>38</v>
      </c>
      <c r="F872" s="3" t="s">
        <v>179</v>
      </c>
      <c r="G872" s="3" t="s">
        <v>38</v>
      </c>
      <c r="H872" s="63" t="str">
        <f>Table1[[#This Row],[Tabela]]&amp;Table1[[#This Row],[Campo]]</f>
        <v>modesg_param_sfcs_taxon_europeian.a.</v>
      </c>
      <c r="I872" s="3" t="s">
        <v>482</v>
      </c>
      <c r="J872" s="45">
        <f>VLOOKUP(Table1[[#This Row],[Status]],Auxiliar!$B$16:$C$23,2,0)</f>
        <v>6</v>
      </c>
      <c r="K872" s="3" t="s">
        <v>1192</v>
      </c>
      <c r="L872" s="3" t="s">
        <v>1144</v>
      </c>
      <c r="M872" s="22" t="s">
        <v>1145</v>
      </c>
      <c r="N872" s="53">
        <v>45546</v>
      </c>
      <c r="O872" s="22">
        <f>INDEX(Auxiliar!$D$5:$F$13,MATCH(Table1[[#This Row],[Tipologia_Testes]],Auxiliar!$B$5:$B$13,0),MATCH(Table1[[#This Row],[Complexidade]],Auxiliar!$D$4:$F$4,0))</f>
        <v>0.5</v>
      </c>
      <c r="P872" s="24" t="s">
        <v>1193</v>
      </c>
      <c r="Q872" s="3"/>
      <c r="R872" s="173">
        <v>45563</v>
      </c>
      <c r="S872" s="173"/>
      <c r="T872" s="173">
        <v>45563</v>
      </c>
      <c r="U872" s="173"/>
      <c r="V872" s="173"/>
      <c r="W872" s="3">
        <f>VLOOKUP(Table1[[#This Row],[Status]],Auxiliar!$B$16:$D$23,3,0)*Table1[[#This Row],[Estimação (horas)]]</f>
        <v>0.125</v>
      </c>
      <c r="X872" s="3"/>
    </row>
    <row r="873" spans="2:24" ht="17.399999999999999" hidden="1" customHeight="1">
      <c r="B873" s="3" t="s">
        <v>28</v>
      </c>
      <c r="C873" s="3" t="s">
        <v>178</v>
      </c>
      <c r="D873" s="3" t="s">
        <v>1191</v>
      </c>
      <c r="E873" s="3" t="s">
        <v>38</v>
      </c>
      <c r="F873" s="3" t="s">
        <v>179</v>
      </c>
      <c r="G873" s="3" t="s">
        <v>180</v>
      </c>
      <c r="H873" s="63" t="str">
        <f>Table1[[#This Row],[Tabela]]&amp;Table1[[#This Row],[Campo]]</f>
        <v>modesg_param_sfcs_taxon_europeiacbalcao</v>
      </c>
      <c r="I873" s="4" t="s">
        <v>477</v>
      </c>
      <c r="J873" s="60">
        <f>VLOOKUP(Table1[[#This Row],[Status]],Auxiliar!$B$16:$C$23,2,0)</f>
        <v>1</v>
      </c>
      <c r="K873" s="3" t="s">
        <v>1164</v>
      </c>
      <c r="L873" s="30" t="s">
        <v>1144</v>
      </c>
      <c r="M873" s="22" t="s">
        <v>1145</v>
      </c>
      <c r="N873" s="53">
        <v>45485</v>
      </c>
      <c r="O873" s="22">
        <f>INDEX(Auxiliar!$D$5:$F$13,MATCH(Table1[[#This Row],[Tipologia_Testes]],Auxiliar!$B$5:$B$13,0),MATCH(Table1[[#This Row],[Complexidade]],Auxiliar!$D$4:$F$4,0))</f>
        <v>0.5</v>
      </c>
      <c r="P873" s="3"/>
      <c r="Q873" s="3"/>
      <c r="R873" s="173">
        <v>45261</v>
      </c>
      <c r="S873" s="173"/>
      <c r="T873" s="173"/>
      <c r="U873" s="173"/>
      <c r="V873" s="173"/>
      <c r="W873" s="3">
        <f>VLOOKUP(Table1[[#This Row],[Status]],Auxiliar!$B$16:$D$23,3,0)*Table1[[#This Row],[Estimação (horas)]]</f>
        <v>0.5</v>
      </c>
      <c r="X873" s="3"/>
    </row>
    <row r="874" spans="2:24" ht="17.399999999999999" hidden="1" customHeight="1">
      <c r="B874" s="3" t="s">
        <v>28</v>
      </c>
      <c r="C874" s="3" t="s">
        <v>178</v>
      </c>
      <c r="D874" s="3" t="s">
        <v>1191</v>
      </c>
      <c r="E874" s="3" t="s">
        <v>38</v>
      </c>
      <c r="F874" s="3" t="s">
        <v>179</v>
      </c>
      <c r="G874" s="3" t="s">
        <v>180</v>
      </c>
      <c r="H874" s="63" t="str">
        <f>Table1[[#This Row],[Tabela]]&amp;Table1[[#This Row],[Campo]]</f>
        <v>modesg_param_sfcs_taxon_europeiacbalcao</v>
      </c>
      <c r="I874" s="4" t="s">
        <v>477</v>
      </c>
      <c r="J874" s="60">
        <f>VLOOKUP(Table1[[#This Row],[Status]],Auxiliar!$B$16:$C$23,2,0)</f>
        <v>1</v>
      </c>
      <c r="K874" s="3" t="s">
        <v>1141</v>
      </c>
      <c r="L874" s="30" t="s">
        <v>1144</v>
      </c>
      <c r="M874" s="22" t="s">
        <v>1145</v>
      </c>
      <c r="N874" s="53">
        <v>45485</v>
      </c>
      <c r="O874" s="22">
        <f>INDEX(Auxiliar!$D$5:$F$13,MATCH(Table1[[#This Row],[Tipologia_Testes]],Auxiliar!$B$5:$B$13,0),MATCH(Table1[[#This Row],[Complexidade]],Auxiliar!$D$4:$F$4,0))</f>
        <v>0.1</v>
      </c>
      <c r="P874" s="3"/>
      <c r="Q874" s="3"/>
      <c r="R874" s="173">
        <v>45261</v>
      </c>
      <c r="S874" s="173"/>
      <c r="T874" s="173"/>
      <c r="U874" s="173"/>
      <c r="V874" s="173"/>
      <c r="W874" s="3">
        <f>VLOOKUP(Table1[[#This Row],[Status]],Auxiliar!$B$16:$D$23,3,0)*Table1[[#This Row],[Estimação (horas)]]</f>
        <v>0.1</v>
      </c>
      <c r="X874" s="3"/>
    </row>
    <row r="875" spans="2:24" ht="17.399999999999999" hidden="1" customHeight="1">
      <c r="B875" s="3" t="s">
        <v>28</v>
      </c>
      <c r="C875" s="3" t="s">
        <v>178</v>
      </c>
      <c r="D875" s="3" t="s">
        <v>1191</v>
      </c>
      <c r="E875" s="3" t="s">
        <v>38</v>
      </c>
      <c r="F875" s="3" t="s">
        <v>179</v>
      </c>
      <c r="G875" s="3" t="s">
        <v>57</v>
      </c>
      <c r="H875" s="63" t="str">
        <f>Table1[[#This Row],[Tabela]]&amp;Table1[[#This Row],[Campo]]</f>
        <v>modesg_param_sfcs_taxon_europeiacempresa</v>
      </c>
      <c r="I875" s="4" t="s">
        <v>477</v>
      </c>
      <c r="J875" s="60">
        <f>VLOOKUP(Table1[[#This Row],[Status]],Auxiliar!$B$16:$C$23,2,0)</f>
        <v>1</v>
      </c>
      <c r="K875" s="3" t="s">
        <v>1164</v>
      </c>
      <c r="L875" s="30" t="s">
        <v>1144</v>
      </c>
      <c r="M875" s="22" t="s">
        <v>1145</v>
      </c>
      <c r="N875" s="53">
        <v>45485</v>
      </c>
      <c r="O875" s="22">
        <f>INDEX(Auxiliar!$D$5:$F$13,MATCH(Table1[[#This Row],[Tipologia_Testes]],Auxiliar!$B$5:$B$13,0),MATCH(Table1[[#This Row],[Complexidade]],Auxiliar!$D$4:$F$4,0))</f>
        <v>0.5</v>
      </c>
      <c r="P875" s="3"/>
      <c r="Q875" s="3"/>
      <c r="R875" s="173">
        <v>45261</v>
      </c>
      <c r="S875" s="173"/>
      <c r="T875" s="173"/>
      <c r="U875" s="173"/>
      <c r="V875" s="173"/>
      <c r="W875" s="3">
        <f>VLOOKUP(Table1[[#This Row],[Status]],Auxiliar!$B$16:$D$23,3,0)*Table1[[#This Row],[Estimação (horas)]]</f>
        <v>0.5</v>
      </c>
      <c r="X875" s="3"/>
    </row>
    <row r="876" spans="2:24" ht="17.399999999999999" hidden="1" customHeight="1">
      <c r="B876" s="3" t="s">
        <v>28</v>
      </c>
      <c r="C876" s="3" t="s">
        <v>178</v>
      </c>
      <c r="D876" s="3" t="s">
        <v>1191</v>
      </c>
      <c r="E876" s="3" t="s">
        <v>38</v>
      </c>
      <c r="F876" s="3" t="s">
        <v>179</v>
      </c>
      <c r="G876" s="3" t="s">
        <v>57</v>
      </c>
      <c r="H876" s="63" t="str">
        <f>Table1[[#This Row],[Tabela]]&amp;Table1[[#This Row],[Campo]]</f>
        <v>modesg_param_sfcs_taxon_europeiacempresa</v>
      </c>
      <c r="I876" s="4" t="s">
        <v>477</v>
      </c>
      <c r="J876" s="60">
        <f>VLOOKUP(Table1[[#This Row],[Status]],Auxiliar!$B$16:$C$23,2,0)</f>
        <v>1</v>
      </c>
      <c r="K876" s="3" t="s">
        <v>1141</v>
      </c>
      <c r="L876" s="30" t="s">
        <v>1144</v>
      </c>
      <c r="M876" s="22" t="s">
        <v>1145</v>
      </c>
      <c r="N876" s="53">
        <v>45485</v>
      </c>
      <c r="O876" s="22">
        <f>INDEX(Auxiliar!$D$5:$F$13,MATCH(Table1[[#This Row],[Tipologia_Testes]],Auxiliar!$B$5:$B$13,0),MATCH(Table1[[#This Row],[Complexidade]],Auxiliar!$D$4:$F$4,0))</f>
        <v>0.1</v>
      </c>
      <c r="P876" s="3"/>
      <c r="Q876" s="3"/>
      <c r="R876" s="173">
        <v>45261</v>
      </c>
      <c r="S876" s="173"/>
      <c r="T876" s="173"/>
      <c r="U876" s="173"/>
      <c r="V876" s="173"/>
      <c r="W876" s="3">
        <f>VLOOKUP(Table1[[#This Row],[Status]],Auxiliar!$B$16:$D$23,3,0)*Table1[[#This Row],[Estimação (horas)]]</f>
        <v>0.1</v>
      </c>
      <c r="X876" s="3"/>
    </row>
    <row r="877" spans="2:24" ht="17.399999999999999" hidden="1" customHeight="1">
      <c r="B877" s="3" t="s">
        <v>28</v>
      </c>
      <c r="C877" s="3" t="s">
        <v>178</v>
      </c>
      <c r="D877" s="3" t="s">
        <v>1191</v>
      </c>
      <c r="E877" s="3" t="s">
        <v>38</v>
      </c>
      <c r="F877" s="3" t="s">
        <v>179</v>
      </c>
      <c r="G877" s="3" t="s">
        <v>181</v>
      </c>
      <c r="H877" s="63" t="str">
        <f>Table1[[#This Row],[Tabela]]&amp;Table1[[#This Row],[Campo]]</f>
        <v>modesg_param_sfcs_taxon_europeiackmetamis</v>
      </c>
      <c r="I877" s="4" t="s">
        <v>477</v>
      </c>
      <c r="J877" s="60">
        <f>VLOOKUP(Table1[[#This Row],[Status]],Auxiliar!$B$16:$C$23,2,0)</f>
        <v>1</v>
      </c>
      <c r="K877" s="3" t="s">
        <v>1164</v>
      </c>
      <c r="L877" s="30" t="s">
        <v>1144</v>
      </c>
      <c r="M877" s="22" t="s">
        <v>1145</v>
      </c>
      <c r="N877" s="53">
        <v>45485</v>
      </c>
      <c r="O877" s="22">
        <f>INDEX(Auxiliar!$D$5:$F$13,MATCH(Table1[[#This Row],[Tipologia_Testes]],Auxiliar!$B$5:$B$13,0),MATCH(Table1[[#This Row],[Complexidade]],Auxiliar!$D$4:$F$4,0))</f>
        <v>0.5</v>
      </c>
      <c r="P877" s="3"/>
      <c r="Q877" s="3"/>
      <c r="R877" s="173">
        <v>45261</v>
      </c>
      <c r="S877" s="173"/>
      <c r="T877" s="173"/>
      <c r="U877" s="173"/>
      <c r="V877" s="173"/>
      <c r="W877" s="3">
        <f>VLOOKUP(Table1[[#This Row],[Status]],Auxiliar!$B$16:$D$23,3,0)*Table1[[#This Row],[Estimação (horas)]]</f>
        <v>0.5</v>
      </c>
      <c r="X877" s="3"/>
    </row>
    <row r="878" spans="2:24" ht="17.399999999999999" hidden="1" customHeight="1">
      <c r="B878" s="3" t="s">
        <v>28</v>
      </c>
      <c r="C878" s="3" t="s">
        <v>178</v>
      </c>
      <c r="D878" s="3" t="s">
        <v>1191</v>
      </c>
      <c r="E878" s="3" t="s">
        <v>38</v>
      </c>
      <c r="F878" s="3" t="s">
        <v>179</v>
      </c>
      <c r="G878" s="3" t="s">
        <v>181</v>
      </c>
      <c r="H878" s="63" t="str">
        <f>Table1[[#This Row],[Tabela]]&amp;Table1[[#This Row],[Campo]]</f>
        <v>modesg_param_sfcs_taxon_europeiackmetamis</v>
      </c>
      <c r="I878" s="4" t="s">
        <v>477</v>
      </c>
      <c r="J878" s="60">
        <f>VLOOKUP(Table1[[#This Row],[Status]],Auxiliar!$B$16:$C$23,2,0)</f>
        <v>1</v>
      </c>
      <c r="K878" s="3" t="s">
        <v>1141</v>
      </c>
      <c r="L878" s="30" t="s">
        <v>1144</v>
      </c>
      <c r="M878" s="22" t="s">
        <v>1145</v>
      </c>
      <c r="N878" s="53">
        <v>45485</v>
      </c>
      <c r="O878" s="22">
        <f>INDEX(Auxiliar!$D$5:$F$13,MATCH(Table1[[#This Row],[Tipologia_Testes]],Auxiliar!$B$5:$B$13,0),MATCH(Table1[[#This Row],[Complexidade]],Auxiliar!$D$4:$F$4,0))</f>
        <v>0.1</v>
      </c>
      <c r="P878" s="3"/>
      <c r="Q878" s="3"/>
      <c r="R878" s="173">
        <v>45261</v>
      </c>
      <c r="S878" s="173"/>
      <c r="T878" s="173"/>
      <c r="U878" s="173"/>
      <c r="V878" s="173"/>
      <c r="W878" s="3">
        <f>VLOOKUP(Table1[[#This Row],[Status]],Auxiliar!$B$16:$D$23,3,0)*Table1[[#This Row],[Estimação (horas)]]</f>
        <v>0.1</v>
      </c>
      <c r="X878" s="3"/>
    </row>
    <row r="879" spans="2:24" ht="17.399999999999999" hidden="1" customHeight="1">
      <c r="B879" s="3" t="s">
        <v>28</v>
      </c>
      <c r="C879" s="3" t="s">
        <v>178</v>
      </c>
      <c r="D879" s="3" t="s">
        <v>1191</v>
      </c>
      <c r="E879" s="3" t="s">
        <v>38</v>
      </c>
      <c r="F879" s="3" t="s">
        <v>179</v>
      </c>
      <c r="G879" s="3" t="s">
        <v>182</v>
      </c>
      <c r="H879" s="63" t="str">
        <f>Table1[[#This Row],[Tabela]]&amp;Table1[[#This Row],[Campo]]</f>
        <v>modesg_param_sfcs_taxon_europeiackprodmi</v>
      </c>
      <c r="I879" s="4" t="s">
        <v>477</v>
      </c>
      <c r="J879" s="60">
        <f>VLOOKUP(Table1[[#This Row],[Status]],Auxiliar!$B$16:$C$23,2,0)</f>
        <v>1</v>
      </c>
      <c r="K879" s="3" t="s">
        <v>1164</v>
      </c>
      <c r="L879" s="30" t="s">
        <v>1144</v>
      </c>
      <c r="M879" s="22" t="s">
        <v>1145</v>
      </c>
      <c r="N879" s="53">
        <v>45485</v>
      </c>
      <c r="O879" s="22">
        <f>INDEX(Auxiliar!$D$5:$F$13,MATCH(Table1[[#This Row],[Tipologia_Testes]],Auxiliar!$B$5:$B$13,0),MATCH(Table1[[#This Row],[Complexidade]],Auxiliar!$D$4:$F$4,0))</f>
        <v>0.5</v>
      </c>
      <c r="P879" s="3"/>
      <c r="Q879" s="3"/>
      <c r="R879" s="173">
        <v>45261</v>
      </c>
      <c r="S879" s="173"/>
      <c r="T879" s="173"/>
      <c r="U879" s="173"/>
      <c r="V879" s="173"/>
      <c r="W879" s="3">
        <f>VLOOKUP(Table1[[#This Row],[Status]],Auxiliar!$B$16:$D$23,3,0)*Table1[[#This Row],[Estimação (horas)]]</f>
        <v>0.5</v>
      </c>
      <c r="X879" s="3"/>
    </row>
    <row r="880" spans="2:24" ht="17.399999999999999" hidden="1" customHeight="1">
      <c r="B880" s="3" t="s">
        <v>28</v>
      </c>
      <c r="C880" s="3" t="s">
        <v>178</v>
      </c>
      <c r="D880" s="3" t="s">
        <v>1191</v>
      </c>
      <c r="E880" s="3" t="s">
        <v>38</v>
      </c>
      <c r="F880" s="3" t="s">
        <v>179</v>
      </c>
      <c r="G880" s="3" t="s">
        <v>182</v>
      </c>
      <c r="H880" s="63" t="str">
        <f>Table1[[#This Row],[Tabela]]&amp;Table1[[#This Row],[Campo]]</f>
        <v>modesg_param_sfcs_taxon_europeiackprodmi</v>
      </c>
      <c r="I880" s="4" t="s">
        <v>477</v>
      </c>
      <c r="J880" s="60">
        <f>VLOOKUP(Table1[[#This Row],[Status]],Auxiliar!$B$16:$C$23,2,0)</f>
        <v>1</v>
      </c>
      <c r="K880" s="3" t="s">
        <v>1141</v>
      </c>
      <c r="L880" s="30" t="s">
        <v>1144</v>
      </c>
      <c r="M880" s="22" t="s">
        <v>1145</v>
      </c>
      <c r="N880" s="53">
        <v>45485</v>
      </c>
      <c r="O880" s="22">
        <f>INDEX(Auxiliar!$D$5:$F$13,MATCH(Table1[[#This Row],[Tipologia_Testes]],Auxiliar!$B$5:$B$13,0),MATCH(Table1[[#This Row],[Complexidade]],Auxiliar!$D$4:$F$4,0))</f>
        <v>0.1</v>
      </c>
      <c r="P880" s="3"/>
      <c r="Q880" s="3"/>
      <c r="R880" s="173">
        <v>45261</v>
      </c>
      <c r="S880" s="173"/>
      <c r="T880" s="173"/>
      <c r="U880" s="173"/>
      <c r="V880" s="173"/>
      <c r="W880" s="3">
        <f>VLOOKUP(Table1[[#This Row],[Status]],Auxiliar!$B$16:$D$23,3,0)*Table1[[#This Row],[Estimação (horas)]]</f>
        <v>0.1</v>
      </c>
      <c r="X880" s="3"/>
    </row>
    <row r="881" spans="2:24" ht="17.399999999999999" hidden="1" customHeight="1">
      <c r="B881" s="3" t="s">
        <v>28</v>
      </c>
      <c r="C881" s="3" t="s">
        <v>178</v>
      </c>
      <c r="D881" s="3" t="s">
        <v>1191</v>
      </c>
      <c r="E881" s="3" t="s">
        <v>38</v>
      </c>
      <c r="F881" s="3" t="s">
        <v>179</v>
      </c>
      <c r="G881" s="3" t="s">
        <v>183</v>
      </c>
      <c r="H881" s="63" t="str">
        <f>Table1[[#This Row],[Tabela]]&amp;Table1[[#This Row],[Campo]]</f>
        <v>modesg_param_sfcs_taxon_europeiacmetanseg</v>
      </c>
      <c r="I881" s="4" t="s">
        <v>477</v>
      </c>
      <c r="J881" s="60">
        <f>VLOOKUP(Table1[[#This Row],[Status]],Auxiliar!$B$16:$C$23,2,0)</f>
        <v>1</v>
      </c>
      <c r="K881" s="3" t="s">
        <v>1164</v>
      </c>
      <c r="L881" s="30" t="s">
        <v>1144</v>
      </c>
      <c r="M881" s="22" t="s">
        <v>1145</v>
      </c>
      <c r="N881" s="53">
        <v>45485</v>
      </c>
      <c r="O881" s="22">
        <f>INDEX(Auxiliar!$D$5:$F$13,MATCH(Table1[[#This Row],[Tipologia_Testes]],Auxiliar!$B$5:$B$13,0),MATCH(Table1[[#This Row],[Complexidade]],Auxiliar!$D$4:$F$4,0))</f>
        <v>0.5</v>
      </c>
      <c r="P881" s="3"/>
      <c r="Q881" s="3"/>
      <c r="R881" s="173">
        <v>45261</v>
      </c>
      <c r="S881" s="173"/>
      <c r="T881" s="173"/>
      <c r="U881" s="173"/>
      <c r="V881" s="173"/>
      <c r="W881" s="3">
        <f>VLOOKUP(Table1[[#This Row],[Status]],Auxiliar!$B$16:$D$23,3,0)*Table1[[#This Row],[Estimação (horas)]]</f>
        <v>0.5</v>
      </c>
      <c r="X881" s="3"/>
    </row>
    <row r="882" spans="2:24" ht="17.399999999999999" hidden="1" customHeight="1">
      <c r="B882" s="3" t="s">
        <v>28</v>
      </c>
      <c r="C882" s="3" t="s">
        <v>178</v>
      </c>
      <c r="D882" s="3" t="s">
        <v>1191</v>
      </c>
      <c r="E882" s="3" t="s">
        <v>38</v>
      </c>
      <c r="F882" s="3" t="s">
        <v>179</v>
      </c>
      <c r="G882" s="3" t="s">
        <v>183</v>
      </c>
      <c r="H882" s="63" t="str">
        <f>Table1[[#This Row],[Tabela]]&amp;Table1[[#This Row],[Campo]]</f>
        <v>modesg_param_sfcs_taxon_europeiacmetanseg</v>
      </c>
      <c r="I882" s="4" t="s">
        <v>477</v>
      </c>
      <c r="J882" s="60">
        <f>VLOOKUP(Table1[[#This Row],[Status]],Auxiliar!$B$16:$C$23,2,0)</f>
        <v>1</v>
      </c>
      <c r="K882" s="3" t="s">
        <v>1141</v>
      </c>
      <c r="L882" s="30" t="s">
        <v>1144</v>
      </c>
      <c r="M882" s="22" t="s">
        <v>1145</v>
      </c>
      <c r="N882" s="53">
        <v>45485</v>
      </c>
      <c r="O882" s="22">
        <f>INDEX(Auxiliar!$D$5:$F$13,MATCH(Table1[[#This Row],[Tipologia_Testes]],Auxiliar!$B$5:$B$13,0),MATCH(Table1[[#This Row],[Complexidade]],Auxiliar!$D$4:$F$4,0))</f>
        <v>0.1</v>
      </c>
      <c r="P882" s="3"/>
      <c r="Q882" s="3"/>
      <c r="R882" s="173">
        <v>45261</v>
      </c>
      <c r="S882" s="173"/>
      <c r="T882" s="173"/>
      <c r="U882" s="173"/>
      <c r="V882" s="173"/>
      <c r="W882" s="3">
        <f>VLOOKUP(Table1[[#This Row],[Status]],Auxiliar!$B$16:$D$23,3,0)*Table1[[#This Row],[Estimação (horas)]]</f>
        <v>0.1</v>
      </c>
      <c r="X882" s="3"/>
    </row>
    <row r="883" spans="2:24" ht="17.399999999999999" hidden="1" customHeight="1">
      <c r="B883" s="3" t="s">
        <v>28</v>
      </c>
      <c r="C883" s="3" t="s">
        <v>178</v>
      </c>
      <c r="D883" s="3" t="s">
        <v>1191</v>
      </c>
      <c r="E883" s="3" t="s">
        <v>38</v>
      </c>
      <c r="F883" s="3" t="s">
        <v>179</v>
      </c>
      <c r="G883" s="3" t="s">
        <v>184</v>
      </c>
      <c r="H883" s="63" t="str">
        <f>Table1[[#This Row],[Tabela]]&amp;Table1[[#This Row],[Campo]]</f>
        <v>modesg_param_sfcs_taxon_europeiacnsm_co2</v>
      </c>
      <c r="I883" s="4" t="s">
        <v>477</v>
      </c>
      <c r="J883" s="60">
        <f>VLOOKUP(Table1[[#This Row],[Status]],Auxiliar!$B$16:$C$23,2,0)</f>
        <v>1</v>
      </c>
      <c r="K883" s="3" t="s">
        <v>1164</v>
      </c>
      <c r="L883" s="30" t="s">
        <v>1144</v>
      </c>
      <c r="M883" s="22" t="s">
        <v>1145</v>
      </c>
      <c r="N883" s="53">
        <v>45485</v>
      </c>
      <c r="O883" s="22">
        <f>INDEX(Auxiliar!$D$5:$F$13,MATCH(Table1[[#This Row],[Tipologia_Testes]],Auxiliar!$B$5:$B$13,0),MATCH(Table1[[#This Row],[Complexidade]],Auxiliar!$D$4:$F$4,0))</f>
        <v>0.5</v>
      </c>
      <c r="P883" s="3"/>
      <c r="Q883" s="3"/>
      <c r="R883" s="173">
        <v>45261</v>
      </c>
      <c r="S883" s="173"/>
      <c r="T883" s="173"/>
      <c r="U883" s="173"/>
      <c r="V883" s="173"/>
      <c r="W883" s="3">
        <f>VLOOKUP(Table1[[#This Row],[Status]],Auxiliar!$B$16:$D$23,3,0)*Table1[[#This Row],[Estimação (horas)]]</f>
        <v>0.5</v>
      </c>
      <c r="X883" s="3"/>
    </row>
    <row r="884" spans="2:24" ht="17.399999999999999" hidden="1" customHeight="1">
      <c r="B884" s="3" t="s">
        <v>28</v>
      </c>
      <c r="C884" s="3" t="s">
        <v>178</v>
      </c>
      <c r="D884" s="3" t="s">
        <v>1191</v>
      </c>
      <c r="E884" s="3" t="s">
        <v>38</v>
      </c>
      <c r="F884" s="3" t="s">
        <v>179</v>
      </c>
      <c r="G884" s="3" t="s">
        <v>184</v>
      </c>
      <c r="H884" s="63" t="str">
        <f>Table1[[#This Row],[Tabela]]&amp;Table1[[#This Row],[Campo]]</f>
        <v>modesg_param_sfcs_taxon_europeiacnsm_co2</v>
      </c>
      <c r="I884" s="4" t="s">
        <v>477</v>
      </c>
      <c r="J884" s="60">
        <f>VLOOKUP(Table1[[#This Row],[Status]],Auxiliar!$B$16:$C$23,2,0)</f>
        <v>1</v>
      </c>
      <c r="K884" s="3" t="s">
        <v>1141</v>
      </c>
      <c r="L884" s="3" t="s">
        <v>1144</v>
      </c>
      <c r="M884" s="22" t="s">
        <v>1145</v>
      </c>
      <c r="N884" s="53">
        <v>45485</v>
      </c>
      <c r="O884" s="22">
        <f>INDEX(Auxiliar!$D$5:$F$13,MATCH(Table1[[#This Row],[Tipologia_Testes]],Auxiliar!$B$5:$B$13,0),MATCH(Table1[[#This Row],[Complexidade]],Auxiliar!$D$4:$F$4,0))</f>
        <v>0.1</v>
      </c>
      <c r="P884" s="3"/>
      <c r="Q884" s="3"/>
      <c r="R884" s="173">
        <v>45261</v>
      </c>
      <c r="S884" s="173"/>
      <c r="T884" s="173"/>
      <c r="U884" s="173"/>
      <c r="V884" s="173"/>
      <c r="W884" s="3">
        <f>VLOOKUP(Table1[[#This Row],[Status]],Auxiliar!$B$16:$D$23,3,0)*Table1[[#This Row],[Estimação (horas)]]</f>
        <v>0.1</v>
      </c>
      <c r="X884" s="3"/>
    </row>
    <row r="885" spans="2:24" ht="17.399999999999999" hidden="1" customHeight="1">
      <c r="B885" s="3" t="s">
        <v>28</v>
      </c>
      <c r="C885" s="3" t="s">
        <v>178</v>
      </c>
      <c r="D885" s="3" t="s">
        <v>1191</v>
      </c>
      <c r="E885" s="3" t="s">
        <v>38</v>
      </c>
      <c r="F885" s="3" t="s">
        <v>179</v>
      </c>
      <c r="G885" s="3" t="s">
        <v>185</v>
      </c>
      <c r="H885" s="63" t="str">
        <f>Table1[[#This Row],[Tabela]]&amp;Table1[[#This Row],[Campo]]</f>
        <v>modesg_param_sfcs_taxon_europeiacnumecta</v>
      </c>
      <c r="I885" s="4" t="s">
        <v>477</v>
      </c>
      <c r="J885" s="60">
        <f>VLOOKUP(Table1[[#This Row],[Status]],Auxiliar!$B$16:$C$23,2,0)</f>
        <v>1</v>
      </c>
      <c r="K885" s="3" t="s">
        <v>1164</v>
      </c>
      <c r="L885" s="3" t="s">
        <v>1144</v>
      </c>
      <c r="M885" s="22" t="s">
        <v>1145</v>
      </c>
      <c r="N885" s="53">
        <v>45485</v>
      </c>
      <c r="O885" s="22">
        <f>INDEX(Auxiliar!$D$5:$F$13,MATCH(Table1[[#This Row],[Tipologia_Testes]],Auxiliar!$B$5:$B$13,0),MATCH(Table1[[#This Row],[Complexidade]],Auxiliar!$D$4:$F$4,0))</f>
        <v>0.5</v>
      </c>
      <c r="P885" s="3"/>
      <c r="Q885" s="3"/>
      <c r="R885" s="173">
        <v>45261</v>
      </c>
      <c r="S885" s="173"/>
      <c r="T885" s="173"/>
      <c r="U885" s="173"/>
      <c r="V885" s="173"/>
      <c r="W885" s="3">
        <f>VLOOKUP(Table1[[#This Row],[Status]],Auxiliar!$B$16:$D$23,3,0)*Table1[[#This Row],[Estimação (horas)]]</f>
        <v>0.5</v>
      </c>
      <c r="X885" s="3"/>
    </row>
    <row r="886" spans="2:24" ht="17.399999999999999" hidden="1" customHeight="1">
      <c r="B886" s="3" t="s">
        <v>28</v>
      </c>
      <c r="C886" s="3" t="s">
        <v>178</v>
      </c>
      <c r="D886" s="3" t="s">
        <v>1191</v>
      </c>
      <c r="E886" s="3" t="s">
        <v>38</v>
      </c>
      <c r="F886" s="3" t="s">
        <v>179</v>
      </c>
      <c r="G886" s="3" t="s">
        <v>185</v>
      </c>
      <c r="H886" s="63" t="str">
        <f>Table1[[#This Row],[Tabela]]&amp;Table1[[#This Row],[Campo]]</f>
        <v>modesg_param_sfcs_taxon_europeiacnumecta</v>
      </c>
      <c r="I886" s="4" t="s">
        <v>477</v>
      </c>
      <c r="J886" s="60">
        <f>VLOOKUP(Table1[[#This Row],[Status]],Auxiliar!$B$16:$C$23,2,0)</f>
        <v>1</v>
      </c>
      <c r="K886" s="3" t="s">
        <v>1141</v>
      </c>
      <c r="L886" s="3" t="s">
        <v>1144</v>
      </c>
      <c r="M886" s="22" t="s">
        <v>1145</v>
      </c>
      <c r="N886" s="53">
        <v>45485</v>
      </c>
      <c r="O886" s="22">
        <f>INDEX(Auxiliar!$D$5:$F$13,MATCH(Table1[[#This Row],[Tipologia_Testes]],Auxiliar!$B$5:$B$13,0),MATCH(Table1[[#This Row],[Complexidade]],Auxiliar!$D$4:$F$4,0))</f>
        <v>0.1</v>
      </c>
      <c r="P886" s="3"/>
      <c r="Q886" s="3"/>
      <c r="R886" s="173">
        <v>45261</v>
      </c>
      <c r="S886" s="173"/>
      <c r="T886" s="173"/>
      <c r="U886" s="173"/>
      <c r="V886" s="173"/>
      <c r="W886" s="3">
        <f>VLOOKUP(Table1[[#This Row],[Status]],Auxiliar!$B$16:$D$23,3,0)*Table1[[#This Row],[Estimação (horas)]]</f>
        <v>0.1</v>
      </c>
      <c r="X886" s="3"/>
    </row>
    <row r="887" spans="2:24" ht="17.399999999999999" hidden="1" customHeight="1">
      <c r="B887" s="3" t="s">
        <v>28</v>
      </c>
      <c r="C887" s="3" t="s">
        <v>178</v>
      </c>
      <c r="D887" s="3" t="s">
        <v>1191</v>
      </c>
      <c r="E887" s="3" t="s">
        <v>38</v>
      </c>
      <c r="F887" s="3" t="s">
        <v>179</v>
      </c>
      <c r="G887" s="3" t="s">
        <v>186</v>
      </c>
      <c r="H887" s="63" t="str">
        <f>Table1[[#This Row],[Tabela]]&amp;Table1[[#This Row],[Campo]]</f>
        <v>modesg_param_sfcs_taxon_europeiacod_lease</v>
      </c>
      <c r="I887" s="4" t="s">
        <v>477</v>
      </c>
      <c r="J887" s="60">
        <f>VLOOKUP(Table1[[#This Row],[Status]],Auxiliar!$B$16:$C$23,2,0)</f>
        <v>1</v>
      </c>
      <c r="K887" s="3" t="s">
        <v>1164</v>
      </c>
      <c r="L887" s="3" t="s">
        <v>1144</v>
      </c>
      <c r="M887" s="22" t="s">
        <v>1145</v>
      </c>
      <c r="N887" s="53">
        <v>45485</v>
      </c>
      <c r="O887" s="22">
        <f>INDEX(Auxiliar!$D$5:$F$13,MATCH(Table1[[#This Row],[Tipologia_Testes]],Auxiliar!$B$5:$B$13,0),MATCH(Table1[[#This Row],[Complexidade]],Auxiliar!$D$4:$F$4,0))</f>
        <v>0.5</v>
      </c>
      <c r="P887" s="3"/>
      <c r="Q887" s="3"/>
      <c r="R887" s="173">
        <v>45261</v>
      </c>
      <c r="S887" s="173"/>
      <c r="T887" s="173"/>
      <c r="U887" s="173"/>
      <c r="V887" s="173"/>
      <c r="W887" s="3">
        <f>VLOOKUP(Table1[[#This Row],[Status]],Auxiliar!$B$16:$D$23,3,0)*Table1[[#This Row],[Estimação (horas)]]</f>
        <v>0.5</v>
      </c>
      <c r="X887" s="3"/>
    </row>
    <row r="888" spans="2:24" ht="17.399999999999999" hidden="1" customHeight="1">
      <c r="B888" s="3" t="s">
        <v>28</v>
      </c>
      <c r="C888" s="3" t="s">
        <v>178</v>
      </c>
      <c r="D888" s="3" t="s">
        <v>1191</v>
      </c>
      <c r="E888" s="3" t="s">
        <v>38</v>
      </c>
      <c r="F888" s="3" t="s">
        <v>179</v>
      </c>
      <c r="G888" s="3" t="s">
        <v>186</v>
      </c>
      <c r="H888" s="63" t="str">
        <f>Table1[[#This Row],[Tabela]]&amp;Table1[[#This Row],[Campo]]</f>
        <v>modesg_param_sfcs_taxon_europeiacod_lease</v>
      </c>
      <c r="I888" s="4" t="s">
        <v>477</v>
      </c>
      <c r="J888" s="60">
        <f>VLOOKUP(Table1[[#This Row],[Status]],Auxiliar!$B$16:$C$23,2,0)</f>
        <v>1</v>
      </c>
      <c r="K888" s="3" t="s">
        <v>1141</v>
      </c>
      <c r="L888" s="3" t="s">
        <v>1144</v>
      </c>
      <c r="M888" s="22" t="s">
        <v>1145</v>
      </c>
      <c r="N888" s="53">
        <v>45485</v>
      </c>
      <c r="O888" s="22">
        <f>INDEX(Auxiliar!$D$5:$F$13,MATCH(Table1[[#This Row],[Tipologia_Testes]],Auxiliar!$B$5:$B$13,0),MATCH(Table1[[#This Row],[Complexidade]],Auxiliar!$D$4:$F$4,0))</f>
        <v>0.1</v>
      </c>
      <c r="P888" s="3"/>
      <c r="Q888" s="3"/>
      <c r="R888" s="173">
        <v>45261</v>
      </c>
      <c r="S888" s="173"/>
      <c r="T888" s="173"/>
      <c r="U888" s="173"/>
      <c r="V888" s="173"/>
      <c r="W888" s="3">
        <f>VLOOKUP(Table1[[#This Row],[Status]],Auxiliar!$B$16:$D$23,3,0)*Table1[[#This Row],[Estimação (horas)]]</f>
        <v>0.1</v>
      </c>
      <c r="X888" s="3"/>
    </row>
    <row r="889" spans="2:24" ht="17.399999999999999" hidden="1" customHeight="1">
      <c r="B889" s="3" t="s">
        <v>28</v>
      </c>
      <c r="C889" s="3" t="s">
        <v>178</v>
      </c>
      <c r="D889" s="3" t="s">
        <v>1191</v>
      </c>
      <c r="E889" s="3" t="s">
        <v>38</v>
      </c>
      <c r="F889" s="3" t="s">
        <v>179</v>
      </c>
      <c r="G889" s="3" t="s">
        <v>187</v>
      </c>
      <c r="H889" s="63" t="str">
        <f>Table1[[#This Row],[Tabela]]&amp;Table1[[#This Row],[Campo]]</f>
        <v>modesg_param_sfcs_taxon_europeiacod_regra</v>
      </c>
      <c r="I889" s="3" t="s">
        <v>482</v>
      </c>
      <c r="J889" s="45">
        <f>VLOOKUP(Table1[[#This Row],[Status]],Auxiliar!$B$16:$C$23,2,0)</f>
        <v>6</v>
      </c>
      <c r="K889" s="3" t="s">
        <v>1164</v>
      </c>
      <c r="L889" s="30" t="s">
        <v>1135</v>
      </c>
      <c r="M889" s="22" t="s">
        <v>1145</v>
      </c>
      <c r="N889" s="53">
        <v>45546</v>
      </c>
      <c r="O889" s="22">
        <f>INDEX(Auxiliar!$D$5:$F$13,MATCH(Table1[[#This Row],[Tipologia_Testes]],Auxiliar!$B$5:$B$13,0),MATCH(Table1[[#This Row],[Complexidade]],Auxiliar!$D$4:$F$4,0))</f>
        <v>0.5</v>
      </c>
      <c r="P889" s="3" t="s">
        <v>1194</v>
      </c>
      <c r="Q889" s="3"/>
      <c r="R889" s="173">
        <v>45563</v>
      </c>
      <c r="S889" s="173"/>
      <c r="T889" s="173">
        <v>45563</v>
      </c>
      <c r="U889" s="173"/>
      <c r="V889" s="173"/>
      <c r="W889" s="3">
        <f>VLOOKUP(Table1[[#This Row],[Status]],Auxiliar!$B$16:$D$23,3,0)*Table1[[#This Row],[Estimação (horas)]]</f>
        <v>0.125</v>
      </c>
      <c r="X889" s="3"/>
    </row>
    <row r="890" spans="2:24" ht="17.399999999999999" hidden="1" customHeight="1">
      <c r="B890" s="3" t="s">
        <v>28</v>
      </c>
      <c r="C890" s="3" t="s">
        <v>178</v>
      </c>
      <c r="D890" s="3" t="s">
        <v>1191</v>
      </c>
      <c r="E890" s="3" t="s">
        <v>38</v>
      </c>
      <c r="F890" s="3" t="s">
        <v>179</v>
      </c>
      <c r="G890" s="3" t="s">
        <v>187</v>
      </c>
      <c r="H890" s="63" t="str">
        <f>Table1[[#This Row],[Tabela]]&amp;Table1[[#This Row],[Campo]]</f>
        <v>modesg_param_sfcs_taxon_europeiacod_regra</v>
      </c>
      <c r="I890" s="3" t="s">
        <v>482</v>
      </c>
      <c r="J890" s="45">
        <f>VLOOKUP(Table1[[#This Row],[Status]],Auxiliar!$B$16:$C$23,2,0)</f>
        <v>6</v>
      </c>
      <c r="K890" s="3" t="s">
        <v>1141</v>
      </c>
      <c r="L890" s="30" t="s">
        <v>1135</v>
      </c>
      <c r="M890" s="22" t="s">
        <v>1145</v>
      </c>
      <c r="N890" s="53">
        <v>45546</v>
      </c>
      <c r="O890" s="22">
        <f>INDEX(Auxiliar!$D$5:$F$13,MATCH(Table1[[#This Row],[Tipologia_Testes]],Auxiliar!$B$5:$B$13,0),MATCH(Table1[[#This Row],[Complexidade]],Auxiliar!$D$4:$F$4,0))</f>
        <v>0.1</v>
      </c>
      <c r="P890" s="3"/>
      <c r="Q890" s="3"/>
      <c r="R890" s="173">
        <v>45563</v>
      </c>
      <c r="S890" s="173"/>
      <c r="T890" s="173">
        <v>45563</v>
      </c>
      <c r="U890" s="173"/>
      <c r="V890" s="173"/>
      <c r="W890" s="3">
        <f>VLOOKUP(Table1[[#This Row],[Status]],Auxiliar!$B$16:$D$23,3,0)*Table1[[#This Row],[Estimação (horas)]]</f>
        <v>2.5000000000000001E-2</v>
      </c>
      <c r="X890" s="3"/>
    </row>
    <row r="891" spans="2:24" ht="17.399999999999999" hidden="1" customHeight="1">
      <c r="B891" s="3" t="s">
        <v>28</v>
      </c>
      <c r="C891" s="3" t="s">
        <v>178</v>
      </c>
      <c r="D891" s="3" t="s">
        <v>1191</v>
      </c>
      <c r="E891" s="3" t="s">
        <v>38</v>
      </c>
      <c r="F891" s="3" t="s">
        <v>179</v>
      </c>
      <c r="G891" s="3" t="s">
        <v>188</v>
      </c>
      <c r="H891" s="63" t="str">
        <f>Table1[[#This Row],[Tabela]]&amp;Table1[[#This Row],[Campo]]</f>
        <v>modesg_param_sfcs_taxon_europeiacomite</v>
      </c>
      <c r="I891" s="3" t="s">
        <v>482</v>
      </c>
      <c r="J891" s="45">
        <f>VLOOKUP(Table1[[#This Row],[Status]],Auxiliar!$B$16:$C$23,2,0)</f>
        <v>6</v>
      </c>
      <c r="K891" s="3" t="s">
        <v>1164</v>
      </c>
      <c r="L891" s="30" t="s">
        <v>1144</v>
      </c>
      <c r="M891" s="22" t="s">
        <v>1145</v>
      </c>
      <c r="N891" s="53">
        <v>45546</v>
      </c>
      <c r="O891" s="22">
        <f>INDEX(Auxiliar!$D$5:$F$13,MATCH(Table1[[#This Row],[Tipologia_Testes]],Auxiliar!$B$5:$B$13,0),MATCH(Table1[[#This Row],[Complexidade]],Auxiliar!$D$4:$F$4,0))</f>
        <v>0.5</v>
      </c>
      <c r="P891" s="3"/>
      <c r="Q891" s="3"/>
      <c r="R891" s="173">
        <v>45563</v>
      </c>
      <c r="S891" s="173"/>
      <c r="T891" s="173">
        <v>45563</v>
      </c>
      <c r="U891" s="173"/>
      <c r="V891" s="173"/>
      <c r="W891" s="3">
        <f>VLOOKUP(Table1[[#This Row],[Status]],Auxiliar!$B$16:$D$23,3,0)*Table1[[#This Row],[Estimação (horas)]]</f>
        <v>0.125</v>
      </c>
      <c r="X891" s="3"/>
    </row>
    <row r="892" spans="2:24" ht="17.399999999999999" hidden="1" customHeight="1">
      <c r="B892" s="3" t="s">
        <v>28</v>
      </c>
      <c r="C892" s="3" t="s">
        <v>178</v>
      </c>
      <c r="D892" s="3" t="s">
        <v>1191</v>
      </c>
      <c r="E892" s="3" t="s">
        <v>38</v>
      </c>
      <c r="F892" s="3" t="s">
        <v>179</v>
      </c>
      <c r="G892" s="3" t="s">
        <v>188</v>
      </c>
      <c r="H892" s="63" t="str">
        <f>Table1[[#This Row],[Tabela]]&amp;Table1[[#This Row],[Campo]]</f>
        <v>modesg_param_sfcs_taxon_europeiacomite</v>
      </c>
      <c r="I892" s="3" t="s">
        <v>482</v>
      </c>
      <c r="J892" s="45">
        <f>VLOOKUP(Table1[[#This Row],[Status]],Auxiliar!$B$16:$C$23,2,0)</f>
        <v>6</v>
      </c>
      <c r="K892" s="3" t="s">
        <v>1141</v>
      </c>
      <c r="L892" s="30" t="s">
        <v>1144</v>
      </c>
      <c r="M892" s="22" t="s">
        <v>1145</v>
      </c>
      <c r="N892" s="53">
        <v>45546</v>
      </c>
      <c r="O892" s="22">
        <f>INDEX(Auxiliar!$D$5:$F$13,MATCH(Table1[[#This Row],[Tipologia_Testes]],Auxiliar!$B$5:$B$13,0),MATCH(Table1[[#This Row],[Complexidade]],Auxiliar!$D$4:$F$4,0))</f>
        <v>0.1</v>
      </c>
      <c r="P892" s="3"/>
      <c r="Q892" s="3"/>
      <c r="R892" s="173">
        <v>45563</v>
      </c>
      <c r="S892" s="173"/>
      <c r="T892" s="173">
        <v>45563</v>
      </c>
      <c r="U892" s="173"/>
      <c r="V892" s="173"/>
      <c r="W892" s="3">
        <f>VLOOKUP(Table1[[#This Row],[Status]],Auxiliar!$B$16:$D$23,3,0)*Table1[[#This Row],[Estimação (horas)]]</f>
        <v>2.5000000000000001E-2</v>
      </c>
      <c r="X892" s="3"/>
    </row>
    <row r="893" spans="2:24" ht="17.399999999999999" hidden="1" customHeight="1">
      <c r="B893" s="3" t="s">
        <v>28</v>
      </c>
      <c r="C893" s="3" t="s">
        <v>178</v>
      </c>
      <c r="D893" s="3" t="s">
        <v>1191</v>
      </c>
      <c r="E893" s="3" t="s">
        <v>38</v>
      </c>
      <c r="F893" s="3" t="s">
        <v>179</v>
      </c>
      <c r="G893" s="3" t="s">
        <v>189</v>
      </c>
      <c r="H893" s="63" t="str">
        <f>Table1[[#This Row],[Tabela]]&amp;Table1[[#This Row],[Campo]]</f>
        <v>modesg_param_sfcs_taxon_europeiadata_aprvc</v>
      </c>
      <c r="I893" s="3" t="s">
        <v>482</v>
      </c>
      <c r="J893" s="45">
        <f>VLOOKUP(Table1[[#This Row],[Status]],Auxiliar!$B$16:$C$23,2,0)</f>
        <v>6</v>
      </c>
      <c r="K893" s="3" t="s">
        <v>1164</v>
      </c>
      <c r="L893" s="30" t="s">
        <v>1144</v>
      </c>
      <c r="M893" s="22" t="s">
        <v>1145</v>
      </c>
      <c r="N893" s="53">
        <v>45546</v>
      </c>
      <c r="O893" s="22">
        <f>INDEX(Auxiliar!$D$5:$F$13,MATCH(Table1[[#This Row],[Tipologia_Testes]],Auxiliar!$B$5:$B$13,0),MATCH(Table1[[#This Row],[Complexidade]],Auxiliar!$D$4:$F$4,0))</f>
        <v>0.5</v>
      </c>
      <c r="P893" s="3"/>
      <c r="Q893" s="3"/>
      <c r="R893" s="173">
        <v>45563</v>
      </c>
      <c r="S893" s="173"/>
      <c r="T893" s="173">
        <v>45563</v>
      </c>
      <c r="U893" s="173"/>
      <c r="V893" s="173"/>
      <c r="W893" s="3">
        <f>VLOOKUP(Table1[[#This Row],[Status]],Auxiliar!$B$16:$D$23,3,0)*Table1[[#This Row],[Estimação (horas)]]</f>
        <v>0.125</v>
      </c>
      <c r="X893" s="3"/>
    </row>
    <row r="894" spans="2:24" ht="17.399999999999999" hidden="1" customHeight="1">
      <c r="B894" s="3" t="s">
        <v>28</v>
      </c>
      <c r="C894" s="3" t="s">
        <v>178</v>
      </c>
      <c r="D894" s="3" t="s">
        <v>1191</v>
      </c>
      <c r="E894" s="3" t="s">
        <v>38</v>
      </c>
      <c r="F894" s="3" t="s">
        <v>179</v>
      </c>
      <c r="G894" s="3" t="s">
        <v>189</v>
      </c>
      <c r="H894" s="63" t="str">
        <f>Table1[[#This Row],[Tabela]]&amp;Table1[[#This Row],[Campo]]</f>
        <v>modesg_param_sfcs_taxon_europeiadata_aprvc</v>
      </c>
      <c r="I894" s="3" t="s">
        <v>482</v>
      </c>
      <c r="J894" s="45">
        <f>VLOOKUP(Table1[[#This Row],[Status]],Auxiliar!$B$16:$C$23,2,0)</f>
        <v>6</v>
      </c>
      <c r="K894" s="3" t="s">
        <v>1141</v>
      </c>
      <c r="L894" s="30" t="s">
        <v>1144</v>
      </c>
      <c r="M894" s="22" t="s">
        <v>1145</v>
      </c>
      <c r="N894" s="53">
        <v>45546</v>
      </c>
      <c r="O894" s="22">
        <f>INDEX(Auxiliar!$D$5:$F$13,MATCH(Table1[[#This Row],[Tipologia_Testes]],Auxiliar!$B$5:$B$13,0),MATCH(Table1[[#This Row],[Complexidade]],Auxiliar!$D$4:$F$4,0))</f>
        <v>0.1</v>
      </c>
      <c r="P894" s="3"/>
      <c r="Q894" s="3"/>
      <c r="R894" s="173">
        <v>45563</v>
      </c>
      <c r="S894" s="173"/>
      <c r="T894" s="173">
        <v>45563</v>
      </c>
      <c r="U894" s="173"/>
      <c r="V894" s="173"/>
      <c r="W894" s="3">
        <f>VLOOKUP(Table1[[#This Row],[Status]],Auxiliar!$B$16:$D$23,3,0)*Table1[[#This Row],[Estimação (horas)]]</f>
        <v>2.5000000000000001E-2</v>
      </c>
      <c r="X894" s="3"/>
    </row>
    <row r="895" spans="2:24" ht="17.399999999999999" hidden="1" customHeight="1">
      <c r="B895" s="3" t="s">
        <v>28</v>
      </c>
      <c r="C895" s="3" t="s">
        <v>178</v>
      </c>
      <c r="D895" s="3" t="s">
        <v>1191</v>
      </c>
      <c r="E895" s="3" t="s">
        <v>38</v>
      </c>
      <c r="F895" s="3" t="s">
        <v>179</v>
      </c>
      <c r="G895" s="3" t="s">
        <v>190</v>
      </c>
      <c r="H895" s="63" t="str">
        <f>Table1[[#This Row],[Tabela]]&amp;Table1[[#This Row],[Campo]]</f>
        <v>modesg_param_sfcs_taxon_europeiadata_final</v>
      </c>
      <c r="I895" s="3" t="s">
        <v>480</v>
      </c>
      <c r="J895" s="45">
        <f>VLOOKUP(Table1[[#This Row],[Status]],Auxiliar!$B$16:$C$23,2,0)</f>
        <v>5</v>
      </c>
      <c r="K895" s="3" t="s">
        <v>1164</v>
      </c>
      <c r="L895" s="30" t="s">
        <v>1144</v>
      </c>
      <c r="M895" s="22" t="s">
        <v>1145</v>
      </c>
      <c r="N895" s="53">
        <v>45561</v>
      </c>
      <c r="O895" s="22">
        <f>INDEX(Auxiliar!$D$5:$F$13,MATCH(Table1[[#This Row],[Tipologia_Testes]],Auxiliar!$B$5:$B$13,0),MATCH(Table1[[#This Row],[Complexidade]],Auxiliar!$D$4:$F$4,0))</f>
        <v>0.5</v>
      </c>
      <c r="P895" s="3"/>
      <c r="Q895" s="3"/>
      <c r="R895" s="173">
        <v>45561</v>
      </c>
      <c r="S895" s="173"/>
      <c r="T895" s="173">
        <v>45561</v>
      </c>
      <c r="U895" s="173"/>
      <c r="V895" s="173"/>
      <c r="W895" s="3">
        <f>VLOOKUP(Table1[[#This Row],[Status]],Auxiliar!$B$16:$D$23,3,0)*Table1[[#This Row],[Estimação (horas)]]</f>
        <v>0.125</v>
      </c>
      <c r="X895" s="3"/>
    </row>
    <row r="896" spans="2:24" ht="17.399999999999999" hidden="1" customHeight="1">
      <c r="B896" s="3" t="s">
        <v>28</v>
      </c>
      <c r="C896" s="3" t="s">
        <v>178</v>
      </c>
      <c r="D896" s="3" t="s">
        <v>1191</v>
      </c>
      <c r="E896" s="3" t="s">
        <v>38</v>
      </c>
      <c r="F896" s="3" t="s">
        <v>179</v>
      </c>
      <c r="G896" s="3" t="s">
        <v>190</v>
      </c>
      <c r="H896" s="63" t="str">
        <f>Table1[[#This Row],[Tabela]]&amp;Table1[[#This Row],[Campo]]</f>
        <v>modesg_param_sfcs_taxon_europeiadata_final</v>
      </c>
      <c r="I896" s="3" t="s">
        <v>480</v>
      </c>
      <c r="J896" s="45">
        <f>VLOOKUP(Table1[[#This Row],[Status]],Auxiliar!$B$16:$C$23,2,0)</f>
        <v>5</v>
      </c>
      <c r="K896" s="3" t="s">
        <v>1141</v>
      </c>
      <c r="L896" s="30" t="s">
        <v>1144</v>
      </c>
      <c r="M896" s="22" t="s">
        <v>1145</v>
      </c>
      <c r="N896" s="53">
        <v>45561</v>
      </c>
      <c r="O896" s="22">
        <f>INDEX(Auxiliar!$D$5:$F$13,MATCH(Table1[[#This Row],[Tipologia_Testes]],Auxiliar!$B$5:$B$13,0),MATCH(Table1[[#This Row],[Complexidade]],Auxiliar!$D$4:$F$4,0))</f>
        <v>0.1</v>
      </c>
      <c r="P896" s="3"/>
      <c r="Q896" s="3"/>
      <c r="R896" s="173">
        <v>45561</v>
      </c>
      <c r="S896" s="173"/>
      <c r="T896" s="173">
        <v>45561</v>
      </c>
      <c r="U896" s="173"/>
      <c r="V896" s="173"/>
      <c r="W896" s="3">
        <f>VLOOKUP(Table1[[#This Row],[Status]],Auxiliar!$B$16:$D$23,3,0)*Table1[[#This Row],[Estimação (horas)]]</f>
        <v>2.5000000000000001E-2</v>
      </c>
      <c r="X896" s="3"/>
    </row>
    <row r="897" spans="2:24" ht="17.399999999999999" hidden="1" customHeight="1">
      <c r="B897" s="3" t="s">
        <v>28</v>
      </c>
      <c r="C897" s="3" t="s">
        <v>178</v>
      </c>
      <c r="D897" s="3" t="s">
        <v>1191</v>
      </c>
      <c r="E897" s="3" t="s">
        <v>38</v>
      </c>
      <c r="F897" s="3" t="s">
        <v>179</v>
      </c>
      <c r="G897" s="3" t="s">
        <v>191</v>
      </c>
      <c r="H897" s="63" t="str">
        <f>Table1[[#This Row],[Tabela]]&amp;Table1[[#This Row],[Campo]]</f>
        <v>modesg_param_sfcs_taxon_europeiadata_inicial</v>
      </c>
      <c r="I897" s="3" t="s">
        <v>480</v>
      </c>
      <c r="J897" s="45">
        <f>VLOOKUP(Table1[[#This Row],[Status]],Auxiliar!$B$16:$C$23,2,0)</f>
        <v>5</v>
      </c>
      <c r="K897" s="3" t="s">
        <v>1164</v>
      </c>
      <c r="L897" s="30" t="s">
        <v>1144</v>
      </c>
      <c r="M897" s="22" t="s">
        <v>1145</v>
      </c>
      <c r="N897" s="53">
        <v>45561</v>
      </c>
      <c r="O897" s="22">
        <f>INDEX(Auxiliar!$D$5:$F$13,MATCH(Table1[[#This Row],[Tipologia_Testes]],Auxiliar!$B$5:$B$13,0),MATCH(Table1[[#This Row],[Complexidade]],Auxiliar!$D$4:$F$4,0))</f>
        <v>0.5</v>
      </c>
      <c r="P897" s="3"/>
      <c r="Q897" s="3"/>
      <c r="R897" s="173">
        <v>45561</v>
      </c>
      <c r="S897" s="173"/>
      <c r="T897" s="173">
        <v>45561</v>
      </c>
      <c r="U897" s="173"/>
      <c r="V897" s="173"/>
      <c r="W897" s="3">
        <f>VLOOKUP(Table1[[#This Row],[Status]],Auxiliar!$B$16:$D$23,3,0)*Table1[[#This Row],[Estimação (horas)]]</f>
        <v>0.125</v>
      </c>
      <c r="X897" s="3"/>
    </row>
    <row r="898" spans="2:24" ht="17.399999999999999" hidden="1" customHeight="1">
      <c r="B898" s="3" t="s">
        <v>28</v>
      </c>
      <c r="C898" s="3" t="s">
        <v>178</v>
      </c>
      <c r="D898" s="3" t="s">
        <v>1191</v>
      </c>
      <c r="E898" s="3" t="s">
        <v>38</v>
      </c>
      <c r="F898" s="3" t="s">
        <v>179</v>
      </c>
      <c r="G898" s="3" t="s">
        <v>191</v>
      </c>
      <c r="H898" s="63" t="str">
        <f>Table1[[#This Row],[Tabela]]&amp;Table1[[#This Row],[Campo]]</f>
        <v>modesg_param_sfcs_taxon_europeiadata_inicial</v>
      </c>
      <c r="I898" s="3" t="s">
        <v>480</v>
      </c>
      <c r="J898" s="45">
        <f>VLOOKUP(Table1[[#This Row],[Status]],Auxiliar!$B$16:$C$23,2,0)</f>
        <v>5</v>
      </c>
      <c r="K898" s="3" t="s">
        <v>1141</v>
      </c>
      <c r="L898" s="30" t="s">
        <v>1144</v>
      </c>
      <c r="M898" s="22" t="s">
        <v>1145</v>
      </c>
      <c r="N898" s="53">
        <v>45561</v>
      </c>
      <c r="O898" s="22">
        <f>INDEX(Auxiliar!$D$5:$F$13,MATCH(Table1[[#This Row],[Tipologia_Testes]],Auxiliar!$B$5:$B$13,0),MATCH(Table1[[#This Row],[Complexidade]],Auxiliar!$D$4:$F$4,0))</f>
        <v>0.1</v>
      </c>
      <c r="P898" s="3"/>
      <c r="Q898" s="3"/>
      <c r="R898" s="173">
        <v>45561</v>
      </c>
      <c r="S898" s="173"/>
      <c r="T898" s="173">
        <v>45561</v>
      </c>
      <c r="U898" s="173"/>
      <c r="V898" s="173"/>
      <c r="W898" s="3">
        <f>VLOOKUP(Table1[[#This Row],[Status]],Auxiliar!$B$16:$D$23,3,0)*Table1[[#This Row],[Estimação (horas)]]</f>
        <v>2.5000000000000001E-2</v>
      </c>
      <c r="X898" s="3"/>
    </row>
    <row r="899" spans="2:24" ht="17.399999999999999" hidden="1" customHeight="1">
      <c r="B899" s="3" t="s">
        <v>28</v>
      </c>
      <c r="C899" s="3" t="s">
        <v>178</v>
      </c>
      <c r="D899" s="3" t="s">
        <v>1191</v>
      </c>
      <c r="E899" s="3" t="s">
        <v>38</v>
      </c>
      <c r="F899" s="3" t="s">
        <v>179</v>
      </c>
      <c r="G899" s="3" t="s">
        <v>192</v>
      </c>
      <c r="H899" s="63" t="str">
        <f>Table1[[#This Row],[Tabela]]&amp;Table1[[#This Row],[Campo]]</f>
        <v>modesg_param_sfcs_taxon_europeiadominio</v>
      </c>
      <c r="I899" s="4" t="s">
        <v>477</v>
      </c>
      <c r="J899" s="60">
        <f>VLOOKUP(Table1[[#This Row],[Status]],Auxiliar!$B$16:$C$23,2,0)</f>
        <v>1</v>
      </c>
      <c r="K899" s="3" t="s">
        <v>1164</v>
      </c>
      <c r="L899" s="30" t="s">
        <v>1144</v>
      </c>
      <c r="M899" s="22" t="s">
        <v>1145</v>
      </c>
      <c r="N899" s="53">
        <v>45485</v>
      </c>
      <c r="O899" s="22">
        <f>INDEX(Auxiliar!$D$5:$F$13,MATCH(Table1[[#This Row],[Tipologia_Testes]],Auxiliar!$B$5:$B$13,0),MATCH(Table1[[#This Row],[Complexidade]],Auxiliar!$D$4:$F$4,0))</f>
        <v>0.5</v>
      </c>
      <c r="P899" s="3"/>
      <c r="Q899" s="3"/>
      <c r="R899" s="173">
        <v>45261</v>
      </c>
      <c r="S899" s="173"/>
      <c r="T899" s="173"/>
      <c r="U899" s="173"/>
      <c r="V899" s="173"/>
      <c r="W899" s="3">
        <f>VLOOKUP(Table1[[#This Row],[Status]],Auxiliar!$B$16:$D$23,3,0)*Table1[[#This Row],[Estimação (horas)]]</f>
        <v>0.5</v>
      </c>
      <c r="X899" s="3"/>
    </row>
    <row r="900" spans="2:24" ht="17.399999999999999" hidden="1" customHeight="1">
      <c r="B900" s="3" t="s">
        <v>28</v>
      </c>
      <c r="C900" s="3" t="s">
        <v>178</v>
      </c>
      <c r="D900" s="3" t="s">
        <v>1191</v>
      </c>
      <c r="E900" s="3" t="s">
        <v>38</v>
      </c>
      <c r="F900" s="3" t="s">
        <v>179</v>
      </c>
      <c r="G900" s="3" t="s">
        <v>192</v>
      </c>
      <c r="H900" s="63" t="str">
        <f>Table1[[#This Row],[Tabela]]&amp;Table1[[#This Row],[Campo]]</f>
        <v>modesg_param_sfcs_taxon_europeiadominio</v>
      </c>
      <c r="I900" s="4" t="s">
        <v>477</v>
      </c>
      <c r="J900" s="60">
        <f>VLOOKUP(Table1[[#This Row],[Status]],Auxiliar!$B$16:$C$23,2,0)</f>
        <v>1</v>
      </c>
      <c r="K900" s="3" t="s">
        <v>1141</v>
      </c>
      <c r="L900" s="3" t="s">
        <v>1144</v>
      </c>
      <c r="M900" s="22" t="s">
        <v>1145</v>
      </c>
      <c r="N900" s="53">
        <v>45485</v>
      </c>
      <c r="O900" s="22">
        <f>INDEX(Auxiliar!$D$5:$F$13,MATCH(Table1[[#This Row],[Tipologia_Testes]],Auxiliar!$B$5:$B$13,0),MATCH(Table1[[#This Row],[Complexidade]],Auxiliar!$D$4:$F$4,0))</f>
        <v>0.1</v>
      </c>
      <c r="P900" s="3"/>
      <c r="Q900" s="3"/>
      <c r="R900" s="173">
        <v>45261</v>
      </c>
      <c r="S900" s="173"/>
      <c r="T900" s="173"/>
      <c r="U900" s="173"/>
      <c r="V900" s="173"/>
      <c r="W900" s="3">
        <f>VLOOKUP(Table1[[#This Row],[Status]],Auxiliar!$B$16:$D$23,3,0)*Table1[[#This Row],[Estimação (horas)]]</f>
        <v>0.1</v>
      </c>
      <c r="X900" s="3"/>
    </row>
    <row r="901" spans="2:24" ht="17.399999999999999" hidden="1" customHeight="1">
      <c r="B901" s="3" t="s">
        <v>28</v>
      </c>
      <c r="C901" s="3" t="s">
        <v>178</v>
      </c>
      <c r="D901" s="3" t="s">
        <v>1191</v>
      </c>
      <c r="E901" s="3" t="s">
        <v>38</v>
      </c>
      <c r="F901" s="3" t="s">
        <v>179</v>
      </c>
      <c r="G901" s="3" t="s">
        <v>193</v>
      </c>
      <c r="H901" s="63" t="str">
        <f>Table1[[#This Row],[Tabela]]&amp;Table1[[#This Row],[Campo]]</f>
        <v>modesg_param_sfcs_taxon_europeiadscrc</v>
      </c>
      <c r="I901" s="4" t="s">
        <v>477</v>
      </c>
      <c r="J901" s="60">
        <f>VLOOKUP(Table1[[#This Row],[Status]],Auxiliar!$B$16:$C$23,2,0)</f>
        <v>1</v>
      </c>
      <c r="K901" s="3" t="s">
        <v>1164</v>
      </c>
      <c r="L901" s="3" t="s">
        <v>1144</v>
      </c>
      <c r="M901" s="22" t="s">
        <v>1145</v>
      </c>
      <c r="N901" s="53">
        <v>45485</v>
      </c>
      <c r="O901" s="22">
        <f>INDEX(Auxiliar!$D$5:$F$13,MATCH(Table1[[#This Row],[Tipologia_Testes]],Auxiliar!$B$5:$B$13,0),MATCH(Table1[[#This Row],[Complexidade]],Auxiliar!$D$4:$F$4,0))</f>
        <v>0.5</v>
      </c>
      <c r="P901" s="3"/>
      <c r="Q901" s="3"/>
      <c r="R901" s="173">
        <v>45261</v>
      </c>
      <c r="S901" s="173"/>
      <c r="T901" s="173"/>
      <c r="U901" s="173"/>
      <c r="V901" s="173"/>
      <c r="W901" s="3">
        <f>VLOOKUP(Table1[[#This Row],[Status]],Auxiliar!$B$16:$D$23,3,0)*Table1[[#This Row],[Estimação (horas)]]</f>
        <v>0.5</v>
      </c>
      <c r="X901" s="3"/>
    </row>
    <row r="902" spans="2:24" ht="17.399999999999999" hidden="1" customHeight="1">
      <c r="B902" s="3" t="s">
        <v>28</v>
      </c>
      <c r="C902" s="3" t="s">
        <v>178</v>
      </c>
      <c r="D902" s="3" t="s">
        <v>1191</v>
      </c>
      <c r="E902" s="3" t="s">
        <v>38</v>
      </c>
      <c r="F902" s="3" t="s">
        <v>179</v>
      </c>
      <c r="G902" s="3" t="s">
        <v>193</v>
      </c>
      <c r="H902" s="63" t="str">
        <f>Table1[[#This Row],[Tabela]]&amp;Table1[[#This Row],[Campo]]</f>
        <v>modesg_param_sfcs_taxon_europeiadscrc</v>
      </c>
      <c r="I902" s="4" t="s">
        <v>477</v>
      </c>
      <c r="J902" s="60">
        <f>VLOOKUP(Table1[[#This Row],[Status]],Auxiliar!$B$16:$C$23,2,0)</f>
        <v>1</v>
      </c>
      <c r="K902" s="3" t="s">
        <v>1141</v>
      </c>
      <c r="L902" s="3" t="s">
        <v>1144</v>
      </c>
      <c r="M902" s="22" t="s">
        <v>1145</v>
      </c>
      <c r="N902" s="53">
        <v>45485</v>
      </c>
      <c r="O902" s="22">
        <f>INDEX(Auxiliar!$D$5:$F$13,MATCH(Table1[[#This Row],[Tipologia_Testes]],Auxiliar!$B$5:$B$13,0),MATCH(Table1[[#This Row],[Complexidade]],Auxiliar!$D$4:$F$4,0))</f>
        <v>0.1</v>
      </c>
      <c r="P902" s="3"/>
      <c r="Q902" s="3"/>
      <c r="R902" s="173">
        <v>45261</v>
      </c>
      <c r="S902" s="173"/>
      <c r="T902" s="173"/>
      <c r="U902" s="173"/>
      <c r="V902" s="173"/>
      <c r="W902" s="3">
        <f>VLOOKUP(Table1[[#This Row],[Status]],Auxiliar!$B$16:$D$23,3,0)*Table1[[#This Row],[Estimação (horas)]]</f>
        <v>0.1</v>
      </c>
      <c r="X902" s="3"/>
    </row>
    <row r="903" spans="2:24" ht="17.399999999999999" hidden="1" customHeight="1">
      <c r="B903" s="3" t="s">
        <v>28</v>
      </c>
      <c r="C903" s="3" t="s">
        <v>178</v>
      </c>
      <c r="D903" s="3" t="s">
        <v>1191</v>
      </c>
      <c r="E903" s="3" t="s">
        <v>38</v>
      </c>
      <c r="F903" s="3" t="s">
        <v>179</v>
      </c>
      <c r="G903" s="3" t="s">
        <v>47</v>
      </c>
      <c r="H903" s="63" t="str">
        <f>Table1[[#This Row],[Tabela]]&amp;Table1[[#This Row],[Campo]]</f>
        <v>modesg_param_sfcs_taxon_europeiaepc</v>
      </c>
      <c r="I903" s="4" t="s">
        <v>477</v>
      </c>
      <c r="J903" s="60">
        <f>VLOOKUP(Table1[[#This Row],[Status]],Auxiliar!$B$16:$C$23,2,0)</f>
        <v>1</v>
      </c>
      <c r="K903" s="3" t="s">
        <v>1164</v>
      </c>
      <c r="L903" s="3" t="s">
        <v>1144</v>
      </c>
      <c r="M903" s="22" t="s">
        <v>1145</v>
      </c>
      <c r="N903" s="53">
        <v>45485</v>
      </c>
      <c r="O903" s="22">
        <f>INDEX(Auxiliar!$D$5:$F$13,MATCH(Table1[[#This Row],[Tipologia_Testes]],Auxiliar!$B$5:$B$13,0),MATCH(Table1[[#This Row],[Complexidade]],Auxiliar!$D$4:$F$4,0))</f>
        <v>0.5</v>
      </c>
      <c r="P903" s="3"/>
      <c r="Q903" s="3"/>
      <c r="R903" s="173">
        <v>45261</v>
      </c>
      <c r="S903" s="173"/>
      <c r="T903" s="173"/>
      <c r="U903" s="173"/>
      <c r="V903" s="173"/>
      <c r="W903" s="3">
        <f>VLOOKUP(Table1[[#This Row],[Status]],Auxiliar!$B$16:$D$23,3,0)*Table1[[#This Row],[Estimação (horas)]]</f>
        <v>0.5</v>
      </c>
      <c r="X903" s="3"/>
    </row>
    <row r="904" spans="2:24" ht="17.399999999999999" hidden="1" customHeight="1">
      <c r="B904" s="3" t="s">
        <v>28</v>
      </c>
      <c r="C904" s="3" t="s">
        <v>178</v>
      </c>
      <c r="D904" s="3" t="s">
        <v>1191</v>
      </c>
      <c r="E904" s="3" t="s">
        <v>38</v>
      </c>
      <c r="F904" s="3" t="s">
        <v>179</v>
      </c>
      <c r="G904" s="3" t="s">
        <v>47</v>
      </c>
      <c r="H904" s="63" t="str">
        <f>Table1[[#This Row],[Tabela]]&amp;Table1[[#This Row],[Campo]]</f>
        <v>modesg_param_sfcs_taxon_europeiaepc</v>
      </c>
      <c r="I904" s="4" t="s">
        <v>477</v>
      </c>
      <c r="J904" s="60">
        <f>VLOOKUP(Table1[[#This Row],[Status]],Auxiliar!$B$16:$C$23,2,0)</f>
        <v>1</v>
      </c>
      <c r="K904" s="3" t="s">
        <v>1141</v>
      </c>
      <c r="L904" s="3" t="s">
        <v>1144</v>
      </c>
      <c r="M904" s="22" t="s">
        <v>1145</v>
      </c>
      <c r="N904" s="53">
        <v>45485</v>
      </c>
      <c r="O904" s="22">
        <f>INDEX(Auxiliar!$D$5:$F$13,MATCH(Table1[[#This Row],[Tipologia_Testes]],Auxiliar!$B$5:$B$13,0),MATCH(Table1[[#This Row],[Complexidade]],Auxiliar!$D$4:$F$4,0))</f>
        <v>0.1</v>
      </c>
      <c r="P904" s="3"/>
      <c r="Q904" s="3"/>
      <c r="R904" s="173">
        <v>45261</v>
      </c>
      <c r="S904" s="173"/>
      <c r="T904" s="173"/>
      <c r="U904" s="173"/>
      <c r="V904" s="173"/>
      <c r="W904" s="3">
        <f>VLOOKUP(Table1[[#This Row],[Status]],Auxiliar!$B$16:$D$23,3,0)*Table1[[#This Row],[Estimação (horas)]]</f>
        <v>0.1</v>
      </c>
      <c r="X904" s="3"/>
    </row>
    <row r="905" spans="2:24" ht="17.399999999999999" hidden="1" customHeight="1">
      <c r="B905" s="3" t="s">
        <v>28</v>
      </c>
      <c r="C905" s="3" t="s">
        <v>178</v>
      </c>
      <c r="D905" s="3" t="s">
        <v>1191</v>
      </c>
      <c r="E905" s="3" t="s">
        <v>38</v>
      </c>
      <c r="F905" s="3" t="s">
        <v>179</v>
      </c>
      <c r="G905" s="3" t="s">
        <v>194</v>
      </c>
      <c r="H905" s="63" t="str">
        <f>Table1[[#This Row],[Tabela]]&amp;Table1[[#This Row],[Campo]]</f>
        <v>modesg_param_sfcs_taxon_europeiaflag_project_finance</v>
      </c>
      <c r="I905" s="3" t="s">
        <v>482</v>
      </c>
      <c r="J905" s="45">
        <f>VLOOKUP(Table1[[#This Row],[Status]],Auxiliar!$B$16:$C$23,2,0)</f>
        <v>6</v>
      </c>
      <c r="K905" s="3" t="s">
        <v>1141</v>
      </c>
      <c r="L905" s="3" t="s">
        <v>502</v>
      </c>
      <c r="M905" s="22" t="s">
        <v>1145</v>
      </c>
      <c r="N905" s="53">
        <v>45546</v>
      </c>
      <c r="O905" s="22">
        <f>INDEX(Auxiliar!$D$5:$F$13,MATCH(Table1[[#This Row],[Tipologia_Testes]],Auxiliar!$B$5:$B$13,0),MATCH(Table1[[#This Row],[Complexidade]],Auxiliar!$D$4:$F$4,0))</f>
        <v>0.1</v>
      </c>
      <c r="P905" s="3" t="s">
        <v>1195</v>
      </c>
      <c r="Q905" s="3"/>
      <c r="R905" s="173">
        <v>45563</v>
      </c>
      <c r="S905" s="173"/>
      <c r="T905" s="173">
        <v>45563</v>
      </c>
      <c r="U905" s="173"/>
      <c r="V905" s="173"/>
      <c r="W905" s="3">
        <f>VLOOKUP(Table1[[#This Row],[Status]],Auxiliar!$B$16:$D$23,3,0)*Table1[[#This Row],[Estimação (horas)]]</f>
        <v>2.5000000000000001E-2</v>
      </c>
      <c r="X905" s="3"/>
    </row>
    <row r="906" spans="2:24" ht="17.399999999999999" hidden="1" customHeight="1">
      <c r="B906" s="3" t="s">
        <v>28</v>
      </c>
      <c r="C906" s="3" t="s">
        <v>178</v>
      </c>
      <c r="D906" s="3" t="s">
        <v>1191</v>
      </c>
      <c r="E906" s="3" t="s">
        <v>38</v>
      </c>
      <c r="F906" s="3" t="s">
        <v>179</v>
      </c>
      <c r="G906" s="3" t="s">
        <v>194</v>
      </c>
      <c r="H906" s="63" t="str">
        <f>Table1[[#This Row],[Tabela]]&amp;Table1[[#This Row],[Campo]]</f>
        <v>modesg_param_sfcs_taxon_europeiaflag_project_finance</v>
      </c>
      <c r="I906" s="3" t="s">
        <v>482</v>
      </c>
      <c r="J906" s="45">
        <f>VLOOKUP(Table1[[#This Row],[Status]],Auxiliar!$B$16:$C$23,2,0)</f>
        <v>6</v>
      </c>
      <c r="K906" s="3" t="s">
        <v>1164</v>
      </c>
      <c r="L906" s="3" t="s">
        <v>502</v>
      </c>
      <c r="M906" s="22" t="s">
        <v>1145</v>
      </c>
      <c r="N906" s="53">
        <v>45546</v>
      </c>
      <c r="O906" s="22">
        <f>INDEX(Auxiliar!$D$5:$F$13,MATCH(Table1[[#This Row],[Tipologia_Testes]],Auxiliar!$B$5:$B$13,0),MATCH(Table1[[#This Row],[Complexidade]],Auxiliar!$D$4:$F$4,0))</f>
        <v>0.5</v>
      </c>
      <c r="P906" s="3" t="s">
        <v>1195</v>
      </c>
      <c r="Q906" s="3"/>
      <c r="R906" s="173">
        <v>45563</v>
      </c>
      <c r="S906" s="173"/>
      <c r="T906" s="173">
        <v>45563</v>
      </c>
      <c r="U906" s="173"/>
      <c r="V906" s="173"/>
      <c r="W906" s="3">
        <f>VLOOKUP(Table1[[#This Row],[Status]],Auxiliar!$B$16:$D$23,3,0)*Table1[[#This Row],[Estimação (horas)]]</f>
        <v>0.125</v>
      </c>
      <c r="X906" s="3"/>
    </row>
    <row r="907" spans="2:24" ht="17.399999999999999" hidden="1" customHeight="1">
      <c r="B907" s="3" t="s">
        <v>28</v>
      </c>
      <c r="C907" s="3" t="s">
        <v>178</v>
      </c>
      <c r="D907" s="3" t="s">
        <v>1191</v>
      </c>
      <c r="E907" s="3" t="s">
        <v>38</v>
      </c>
      <c r="F907" s="3" t="s">
        <v>179</v>
      </c>
      <c r="G907" s="3" t="s">
        <v>195</v>
      </c>
      <c r="H907" s="63" t="str">
        <f>Table1[[#This Row],[Tabela]]&amp;Table1[[#This Row],[Campo]]</f>
        <v>modesg_param_sfcs_taxon_europeiacfinalidad</v>
      </c>
      <c r="I907" s="3" t="s">
        <v>482</v>
      </c>
      <c r="J907" s="45">
        <f>VLOOKUP(Table1[[#This Row],[Status]],Auxiliar!$B$16:$C$23,2,0)</f>
        <v>6</v>
      </c>
      <c r="K907" s="3" t="s">
        <v>1141</v>
      </c>
      <c r="L907" s="3" t="s">
        <v>502</v>
      </c>
      <c r="M907" s="22" t="s">
        <v>1155</v>
      </c>
      <c r="N907" s="53">
        <v>45546</v>
      </c>
      <c r="O907" s="22">
        <f>INDEX(Auxiliar!$D$5:$F$13,MATCH(Table1[[#This Row],[Tipologia_Testes]],Auxiliar!$B$5:$B$13,0),MATCH(Table1[[#This Row],[Complexidade]],Auxiliar!$D$4:$F$4,0))</f>
        <v>0.1</v>
      </c>
      <c r="P907" s="3" t="s">
        <v>1196</v>
      </c>
      <c r="Q907" s="3"/>
      <c r="R907" s="173">
        <v>45563</v>
      </c>
      <c r="S907" s="173"/>
      <c r="T907" s="173">
        <v>45563</v>
      </c>
      <c r="U907" s="173"/>
      <c r="V907" s="173"/>
      <c r="W907" s="3">
        <f>VLOOKUP(Table1[[#This Row],[Status]],Auxiliar!$B$16:$D$23,3,0)*Table1[[#This Row],[Estimação (horas)]]</f>
        <v>2.5000000000000001E-2</v>
      </c>
      <c r="X907" s="3"/>
    </row>
    <row r="908" spans="2:24" ht="17.399999999999999" hidden="1" customHeight="1">
      <c r="B908" s="3" t="s">
        <v>28</v>
      </c>
      <c r="C908" s="3" t="s">
        <v>178</v>
      </c>
      <c r="D908" s="3" t="s">
        <v>1191</v>
      </c>
      <c r="E908" s="3" t="s">
        <v>38</v>
      </c>
      <c r="F908" s="3" t="s">
        <v>179</v>
      </c>
      <c r="G908" s="3" t="s">
        <v>195</v>
      </c>
      <c r="H908" s="63" t="str">
        <f>Table1[[#This Row],[Tabela]]&amp;Table1[[#This Row],[Campo]]</f>
        <v>modesg_param_sfcs_taxon_europeiacfinalidad</v>
      </c>
      <c r="I908" s="3" t="s">
        <v>482</v>
      </c>
      <c r="J908" s="45">
        <f>VLOOKUP(Table1[[#This Row],[Status]],Auxiliar!$B$16:$C$23,2,0)</f>
        <v>6</v>
      </c>
      <c r="K908" s="3" t="s">
        <v>1164</v>
      </c>
      <c r="L908" s="3" t="s">
        <v>502</v>
      </c>
      <c r="M908" s="22" t="s">
        <v>1155</v>
      </c>
      <c r="N908" s="53">
        <v>45546</v>
      </c>
      <c r="O908" s="22">
        <f>INDEX(Auxiliar!$D$5:$F$13,MATCH(Table1[[#This Row],[Tipologia_Testes]],Auxiliar!$B$5:$B$13,0),MATCH(Table1[[#This Row],[Complexidade]],Auxiliar!$D$4:$F$4,0))</f>
        <v>0.5</v>
      </c>
      <c r="P908" s="3" t="s">
        <v>1196</v>
      </c>
      <c r="Q908" s="3"/>
      <c r="R908" s="173">
        <v>45563</v>
      </c>
      <c r="S908" s="173"/>
      <c r="T908" s="173">
        <v>45563</v>
      </c>
      <c r="U908" s="173"/>
      <c r="V908" s="173"/>
      <c r="W908" s="3">
        <f>VLOOKUP(Table1[[#This Row],[Status]],Auxiliar!$B$16:$D$23,3,0)*Table1[[#This Row],[Estimação (horas)]]</f>
        <v>0.125</v>
      </c>
      <c r="X908" s="3"/>
    </row>
    <row r="909" spans="2:24" ht="17.399999999999999" hidden="1" customHeight="1">
      <c r="B909" s="3" t="s">
        <v>28</v>
      </c>
      <c r="C909" s="3" t="s">
        <v>178</v>
      </c>
      <c r="D909" s="3" t="s">
        <v>1191</v>
      </c>
      <c r="E909" s="3" t="s">
        <v>38</v>
      </c>
      <c r="F909" s="3" t="s">
        <v>179</v>
      </c>
      <c r="G909" s="3" t="s">
        <v>196</v>
      </c>
      <c r="H909" s="63" t="str">
        <f>Table1[[#This Row],[Tabela]]&amp;Table1[[#This Row],[Campo]]</f>
        <v>modesg_param_sfcs_taxon_europeiatipo_combust</v>
      </c>
      <c r="I909" s="3" t="s">
        <v>482</v>
      </c>
      <c r="J909" s="45">
        <f>VLOOKUP(Table1[[#This Row],[Status]],Auxiliar!$B$16:$C$23,2,0)</f>
        <v>6</v>
      </c>
      <c r="K909" s="3" t="s">
        <v>1164</v>
      </c>
      <c r="L909" s="3" t="s">
        <v>502</v>
      </c>
      <c r="M909" s="22" t="s">
        <v>1145</v>
      </c>
      <c r="N909" s="53">
        <v>45546</v>
      </c>
      <c r="O909" s="22">
        <f>INDEX(Auxiliar!$D$5:$F$13,MATCH(Table1[[#This Row],[Tipologia_Testes]],Auxiliar!$B$5:$B$13,0),MATCH(Table1[[#This Row],[Complexidade]],Auxiliar!$D$4:$F$4,0))</f>
        <v>0.5</v>
      </c>
      <c r="P909" s="3"/>
      <c r="Q909" s="3"/>
      <c r="R909" s="173">
        <v>45563</v>
      </c>
      <c r="S909" s="173"/>
      <c r="T909" s="173">
        <v>45563</v>
      </c>
      <c r="U909" s="173"/>
      <c r="V909" s="173"/>
      <c r="W909" s="3">
        <f>VLOOKUP(Table1[[#This Row],[Status]],Auxiliar!$B$16:$D$23,3,0)*Table1[[#This Row],[Estimação (horas)]]</f>
        <v>0.125</v>
      </c>
      <c r="X909" s="3"/>
    </row>
    <row r="910" spans="2:24" ht="17.399999999999999" hidden="1" customHeight="1">
      <c r="B910" s="3" t="s">
        <v>28</v>
      </c>
      <c r="C910" s="3" t="s">
        <v>178</v>
      </c>
      <c r="D910" s="3" t="s">
        <v>1191</v>
      </c>
      <c r="E910" s="3" t="s">
        <v>38</v>
      </c>
      <c r="F910" s="3" t="s">
        <v>179</v>
      </c>
      <c r="G910" s="3" t="s">
        <v>196</v>
      </c>
      <c r="H910" s="63" t="str">
        <f>Table1[[#This Row],[Tabela]]&amp;Table1[[#This Row],[Campo]]</f>
        <v>modesg_param_sfcs_taxon_europeiatipo_combust</v>
      </c>
      <c r="I910" s="3" t="s">
        <v>482</v>
      </c>
      <c r="J910" s="45">
        <f>VLOOKUP(Table1[[#This Row],[Status]],Auxiliar!$B$16:$C$23,2,0)</f>
        <v>6</v>
      </c>
      <c r="K910" s="3" t="s">
        <v>1141</v>
      </c>
      <c r="L910" s="3" t="s">
        <v>502</v>
      </c>
      <c r="M910" s="22" t="s">
        <v>1145</v>
      </c>
      <c r="N910" s="53">
        <v>45546</v>
      </c>
      <c r="O910" s="22">
        <f>INDEX(Auxiliar!$D$5:$F$13,MATCH(Table1[[#This Row],[Tipologia_Testes]],Auxiliar!$B$5:$B$13,0),MATCH(Table1[[#This Row],[Complexidade]],Auxiliar!$D$4:$F$4,0))</f>
        <v>0.1</v>
      </c>
      <c r="P910" s="3"/>
      <c r="Q910" s="3"/>
      <c r="R910" s="173">
        <v>45563</v>
      </c>
      <c r="S910" s="173"/>
      <c r="T910" s="173">
        <v>45563</v>
      </c>
      <c r="U910" s="173"/>
      <c r="V910" s="173"/>
      <c r="W910" s="3">
        <f>VLOOKUP(Table1[[#This Row],[Status]],Auxiliar!$B$16:$D$23,3,0)*Table1[[#This Row],[Estimação (horas)]]</f>
        <v>2.5000000000000001E-2</v>
      </c>
      <c r="X910" s="3"/>
    </row>
    <row r="911" spans="2:24" ht="17.399999999999999" hidden="1" customHeight="1">
      <c r="B911" s="3" t="s">
        <v>28</v>
      </c>
      <c r="C911" s="3" t="s">
        <v>178</v>
      </c>
      <c r="D911" s="3" t="s">
        <v>1191</v>
      </c>
      <c r="E911" s="3" t="s">
        <v>38</v>
      </c>
      <c r="F911" s="3" t="s">
        <v>179</v>
      </c>
      <c r="G911" s="3" t="s">
        <v>197</v>
      </c>
      <c r="H911" s="63" t="str">
        <f>Table1[[#This Row],[Tabela]]&amp;Table1[[#This Row],[Campo]]</f>
        <v>modesg_param_sfcs_taxon_europeiamontante_pndrc</v>
      </c>
      <c r="I911" s="3" t="s">
        <v>482</v>
      </c>
      <c r="J911" s="45">
        <f>VLOOKUP(Table1[[#This Row],[Status]],Auxiliar!$B$16:$C$23,2,0)</f>
        <v>6</v>
      </c>
      <c r="K911" s="3" t="s">
        <v>1164</v>
      </c>
      <c r="L911" s="3" t="s">
        <v>1144</v>
      </c>
      <c r="M911" s="22" t="s">
        <v>1145</v>
      </c>
      <c r="N911" s="53">
        <v>45546</v>
      </c>
      <c r="O911" s="22">
        <f>INDEX(Auxiliar!$D$5:$F$13,MATCH(Table1[[#This Row],[Tipologia_Testes]],Auxiliar!$B$5:$B$13,0),MATCH(Table1[[#This Row],[Complexidade]],Auxiliar!$D$4:$F$4,0))</f>
        <v>0.5</v>
      </c>
      <c r="P911" s="3"/>
      <c r="Q911" s="3"/>
      <c r="R911" s="173">
        <v>45563</v>
      </c>
      <c r="S911" s="173"/>
      <c r="T911" s="173">
        <v>45563</v>
      </c>
      <c r="U911" s="173"/>
      <c r="V911" s="173"/>
      <c r="W911" s="3">
        <f>VLOOKUP(Table1[[#This Row],[Status]],Auxiliar!$B$16:$D$23,3,0)*Table1[[#This Row],[Estimação (horas)]]</f>
        <v>0.125</v>
      </c>
      <c r="X911" s="3"/>
    </row>
    <row r="912" spans="2:24" ht="17.399999999999999" hidden="1" customHeight="1">
      <c r="B912" s="3" t="s">
        <v>28</v>
      </c>
      <c r="C912" s="3" t="s">
        <v>178</v>
      </c>
      <c r="D912" s="3" t="s">
        <v>1191</v>
      </c>
      <c r="E912" s="3" t="s">
        <v>38</v>
      </c>
      <c r="F912" s="3" t="s">
        <v>179</v>
      </c>
      <c r="G912" s="3" t="s">
        <v>197</v>
      </c>
      <c r="H912" s="63" t="str">
        <f>Table1[[#This Row],[Tabela]]&amp;Table1[[#This Row],[Campo]]</f>
        <v>modesg_param_sfcs_taxon_europeiamontante_pndrc</v>
      </c>
      <c r="I912" s="3" t="s">
        <v>482</v>
      </c>
      <c r="J912" s="45">
        <f>VLOOKUP(Table1[[#This Row],[Status]],Auxiliar!$B$16:$C$23,2,0)</f>
        <v>6</v>
      </c>
      <c r="K912" s="3" t="s">
        <v>1141</v>
      </c>
      <c r="L912" s="3" t="s">
        <v>1144</v>
      </c>
      <c r="M912" s="22" t="s">
        <v>1145</v>
      </c>
      <c r="N912" s="53">
        <v>45546</v>
      </c>
      <c r="O912" s="22">
        <f>INDEX(Auxiliar!$D$5:$F$13,MATCH(Table1[[#This Row],[Tipologia_Testes]],Auxiliar!$B$5:$B$13,0),MATCH(Table1[[#This Row],[Complexidade]],Auxiliar!$D$4:$F$4,0))</f>
        <v>0.1</v>
      </c>
      <c r="P912" s="3"/>
      <c r="Q912" s="3"/>
      <c r="R912" s="173">
        <v>45563</v>
      </c>
      <c r="S912" s="173"/>
      <c r="T912" s="173">
        <v>45563</v>
      </c>
      <c r="U912" s="173"/>
      <c r="V912" s="173"/>
      <c r="W912" s="3">
        <f>VLOOKUP(Table1[[#This Row],[Status]],Auxiliar!$B$16:$D$23,3,0)*Table1[[#This Row],[Estimação (horas)]]</f>
        <v>2.5000000000000001E-2</v>
      </c>
      <c r="X912" s="3"/>
    </row>
    <row r="913" spans="2:24" ht="69.599999999999994" hidden="1" customHeight="1">
      <c r="B913" s="3" t="s">
        <v>28</v>
      </c>
      <c r="C913" s="3" t="s">
        <v>178</v>
      </c>
      <c r="D913" s="3" t="s">
        <v>1191</v>
      </c>
      <c r="E913" s="3" t="s">
        <v>38</v>
      </c>
      <c r="F913" s="3" t="s">
        <v>179</v>
      </c>
      <c r="G913" s="3" t="s">
        <v>198</v>
      </c>
      <c r="H913" s="63" t="str">
        <f>Table1[[#This Row],[Tabela]]&amp;Table1[[#This Row],[Campo]]</f>
        <v>modesg_param_sfcs_taxon_europeianome_ctgr_sfcs</v>
      </c>
      <c r="I913" s="3" t="s">
        <v>479</v>
      </c>
      <c r="J913" s="45">
        <f>VLOOKUP(Table1[[#This Row],[Status]],Auxiliar!$B$16:$C$23,2,0)</f>
        <v>4</v>
      </c>
      <c r="K913" s="3" t="s">
        <v>1164</v>
      </c>
      <c r="L913" s="3" t="s">
        <v>1144</v>
      </c>
      <c r="M913" s="22" t="s">
        <v>1145</v>
      </c>
      <c r="N913" s="53">
        <v>45485</v>
      </c>
      <c r="O913" s="22">
        <f>INDEX(Auxiliar!$D$5:$F$13,MATCH(Table1[[#This Row],[Tipologia_Testes]],Auxiliar!$B$5:$B$13,0),MATCH(Table1[[#This Row],[Complexidade]],Auxiliar!$D$4:$F$4,0))</f>
        <v>0.5</v>
      </c>
      <c r="P913" s="24" t="s">
        <v>1197</v>
      </c>
      <c r="Q913" s="3"/>
      <c r="R913" s="173">
        <v>45261</v>
      </c>
      <c r="S913" s="173"/>
      <c r="T913" s="173"/>
      <c r="U913" s="173"/>
      <c r="V913" s="173"/>
      <c r="W913" s="3">
        <f>VLOOKUP(Table1[[#This Row],[Status]],Auxiliar!$B$16:$D$23,3,0)*Table1[[#This Row],[Estimação (horas)]]</f>
        <v>0.125</v>
      </c>
      <c r="X913" s="3"/>
    </row>
    <row r="914" spans="2:24" ht="69.599999999999994" hidden="1" customHeight="1">
      <c r="B914" s="3" t="s">
        <v>28</v>
      </c>
      <c r="C914" s="3" t="s">
        <v>178</v>
      </c>
      <c r="D914" s="3" t="s">
        <v>1191</v>
      </c>
      <c r="E914" s="3" t="s">
        <v>38</v>
      </c>
      <c r="F914" s="3" t="s">
        <v>179</v>
      </c>
      <c r="G914" s="3" t="s">
        <v>198</v>
      </c>
      <c r="H914" s="63" t="str">
        <f>Table1[[#This Row],[Tabela]]&amp;Table1[[#This Row],[Campo]]</f>
        <v>modesg_param_sfcs_taxon_europeianome_ctgr_sfcs</v>
      </c>
      <c r="I914" s="3" t="s">
        <v>479</v>
      </c>
      <c r="J914" s="45">
        <f>VLOOKUP(Table1[[#This Row],[Status]],Auxiliar!$B$16:$C$23,2,0)</f>
        <v>4</v>
      </c>
      <c r="K914" s="3" t="s">
        <v>1141</v>
      </c>
      <c r="L914" s="30" t="s">
        <v>1144</v>
      </c>
      <c r="M914" s="22" t="s">
        <v>1145</v>
      </c>
      <c r="N914" s="53">
        <v>45485</v>
      </c>
      <c r="O914" s="22">
        <f>INDEX(Auxiliar!$D$5:$F$13,MATCH(Table1[[#This Row],[Tipologia_Testes]],Auxiliar!$B$5:$B$13,0),MATCH(Table1[[#This Row],[Complexidade]],Auxiliar!$D$4:$F$4,0))</f>
        <v>0.1</v>
      </c>
      <c r="P914" s="24" t="s">
        <v>1197</v>
      </c>
      <c r="Q914" s="3"/>
      <c r="R914" s="173">
        <v>45261</v>
      </c>
      <c r="S914" s="173"/>
      <c r="T914" s="173"/>
      <c r="U914" s="173"/>
      <c r="V914" s="173"/>
      <c r="W914" s="3">
        <f>VLOOKUP(Table1[[#This Row],[Status]],Auxiliar!$B$16:$D$23,3,0)*Table1[[#This Row],[Estimação (horas)]]</f>
        <v>2.5000000000000001E-2</v>
      </c>
      <c r="X914" s="3"/>
    </row>
    <row r="915" spans="2:24" ht="17.399999999999999" hidden="1" customHeight="1">
      <c r="B915" s="3" t="s">
        <v>28</v>
      </c>
      <c r="C915" s="3" t="s">
        <v>178</v>
      </c>
      <c r="D915" s="3" t="s">
        <v>1191</v>
      </c>
      <c r="E915" s="3" t="s">
        <v>38</v>
      </c>
      <c r="F915" s="3" t="s">
        <v>179</v>
      </c>
      <c r="G915" s="3" t="s">
        <v>199</v>
      </c>
      <c r="H915" s="63" t="str">
        <f>Table1[[#This Row],[Tabela]]&amp;Table1[[#This Row],[Campo]]</f>
        <v>modesg_param_sfcs_taxon_europeianome_general_specific_purpose</v>
      </c>
      <c r="I915" s="3" t="s">
        <v>482</v>
      </c>
      <c r="J915" s="60">
        <f>VLOOKUP(Table1[[#This Row],[Status]],Auxiliar!$B$16:$C$23,2,0)</f>
        <v>6</v>
      </c>
      <c r="K915" s="3" t="s">
        <v>1164</v>
      </c>
      <c r="L915" s="30" t="s">
        <v>1144</v>
      </c>
      <c r="M915" s="22" t="s">
        <v>1145</v>
      </c>
      <c r="N915" s="53">
        <v>45546</v>
      </c>
      <c r="O915" s="22">
        <f>INDEX(Auxiliar!$D$5:$F$13,MATCH(Table1[[#This Row],[Tipologia_Testes]],Auxiliar!$B$5:$B$13,0),MATCH(Table1[[#This Row],[Complexidade]],Auxiliar!$D$4:$F$4,0))</f>
        <v>0.5</v>
      </c>
      <c r="P915" s="3"/>
      <c r="Q915" s="3"/>
      <c r="R915" s="173">
        <v>45563</v>
      </c>
      <c r="S915" s="173"/>
      <c r="T915" s="173">
        <v>45563</v>
      </c>
      <c r="U915" s="173"/>
      <c r="V915" s="173"/>
      <c r="W915" s="3">
        <f>VLOOKUP(Table1[[#This Row],[Status]],Auxiliar!$B$16:$D$23,3,0)*Table1[[#This Row],[Estimação (horas)]]</f>
        <v>0.125</v>
      </c>
      <c r="X915" s="3"/>
    </row>
    <row r="916" spans="2:24" ht="17.399999999999999" hidden="1" customHeight="1">
      <c r="B916" s="3" t="s">
        <v>28</v>
      </c>
      <c r="C916" s="3" t="s">
        <v>178</v>
      </c>
      <c r="D916" s="3" t="s">
        <v>1191</v>
      </c>
      <c r="E916" s="3" t="s">
        <v>38</v>
      </c>
      <c r="F916" s="3" t="s">
        <v>179</v>
      </c>
      <c r="G916" s="3" t="s">
        <v>199</v>
      </c>
      <c r="H916" s="63" t="str">
        <f>Table1[[#This Row],[Tabela]]&amp;Table1[[#This Row],[Campo]]</f>
        <v>modesg_param_sfcs_taxon_europeianome_general_specific_purpose</v>
      </c>
      <c r="I916" s="3" t="s">
        <v>482</v>
      </c>
      <c r="J916" s="60">
        <f>VLOOKUP(Table1[[#This Row],[Status]],Auxiliar!$B$16:$C$23,2,0)</f>
        <v>6</v>
      </c>
      <c r="K916" s="3" t="s">
        <v>1141</v>
      </c>
      <c r="L916" s="30" t="s">
        <v>1144</v>
      </c>
      <c r="M916" s="22" t="s">
        <v>1145</v>
      </c>
      <c r="N916" s="53">
        <v>45546</v>
      </c>
      <c r="O916" s="22">
        <f>INDEX(Auxiliar!$D$5:$F$13,MATCH(Table1[[#This Row],[Tipologia_Testes]],Auxiliar!$B$5:$B$13,0),MATCH(Table1[[#This Row],[Complexidade]],Auxiliar!$D$4:$F$4,0))</f>
        <v>0.1</v>
      </c>
      <c r="P916" s="3"/>
      <c r="Q916" s="3"/>
      <c r="R916" s="173">
        <v>45563</v>
      </c>
      <c r="S916" s="173"/>
      <c r="T916" s="173">
        <v>45563</v>
      </c>
      <c r="U916" s="173"/>
      <c r="V916" s="173"/>
      <c r="W916" s="3">
        <f>VLOOKUP(Table1[[#This Row],[Status]],Auxiliar!$B$16:$D$23,3,0)*Table1[[#This Row],[Estimação (horas)]]</f>
        <v>2.5000000000000001E-2</v>
      </c>
      <c r="X916" s="3"/>
    </row>
    <row r="917" spans="2:24" ht="17.399999999999999" hidden="1" customHeight="1">
      <c r="B917" s="3" t="s">
        <v>28</v>
      </c>
      <c r="C917" s="3" t="s">
        <v>178</v>
      </c>
      <c r="D917" s="3" t="s">
        <v>1191</v>
      </c>
      <c r="E917" s="3" t="s">
        <v>38</v>
      </c>
      <c r="F917" s="3" t="s">
        <v>179</v>
      </c>
      <c r="G917" s="3" t="s">
        <v>200</v>
      </c>
      <c r="H917" s="63" t="str">
        <f>Table1[[#This Row],[Tabela]]&amp;Table1[[#This Row],[Campo]]</f>
        <v>modesg_param_sfcs_taxon_europeianome_purpose_esg</v>
      </c>
      <c r="I917" s="3" t="s">
        <v>482</v>
      </c>
      <c r="J917" s="60">
        <f>VLOOKUP(Table1[[#This Row],[Status]],Auxiliar!$B$16:$C$23,2,0)</f>
        <v>6</v>
      </c>
      <c r="K917" s="3" t="s">
        <v>1164</v>
      </c>
      <c r="L917" s="30" t="s">
        <v>1144</v>
      </c>
      <c r="M917" s="22" t="s">
        <v>1145</v>
      </c>
      <c r="N917" s="53">
        <v>45546</v>
      </c>
      <c r="O917" s="22">
        <f>INDEX(Auxiliar!$D$5:$F$13,MATCH(Table1[[#This Row],[Tipologia_Testes]],Auxiliar!$B$5:$B$13,0),MATCH(Table1[[#This Row],[Complexidade]],Auxiliar!$D$4:$F$4,0))</f>
        <v>0.5</v>
      </c>
      <c r="P917" s="3"/>
      <c r="Q917" s="3"/>
      <c r="R917" s="173">
        <v>45563</v>
      </c>
      <c r="S917" s="173"/>
      <c r="T917" s="173">
        <v>45563</v>
      </c>
      <c r="U917" s="173"/>
      <c r="V917" s="173"/>
      <c r="W917" s="3">
        <f>VLOOKUP(Table1[[#This Row],[Status]],Auxiliar!$B$16:$D$23,3,0)*Table1[[#This Row],[Estimação (horas)]]</f>
        <v>0.125</v>
      </c>
      <c r="X917" s="3"/>
    </row>
    <row r="918" spans="2:24" ht="17.399999999999999" hidden="1" customHeight="1">
      <c r="B918" s="3" t="s">
        <v>28</v>
      </c>
      <c r="C918" s="3" t="s">
        <v>178</v>
      </c>
      <c r="D918" s="3" t="s">
        <v>1191</v>
      </c>
      <c r="E918" s="3" t="s">
        <v>38</v>
      </c>
      <c r="F918" s="3" t="s">
        <v>179</v>
      </c>
      <c r="G918" s="3" t="s">
        <v>200</v>
      </c>
      <c r="H918" s="63" t="str">
        <f>Table1[[#This Row],[Tabela]]&amp;Table1[[#This Row],[Campo]]</f>
        <v>modesg_param_sfcs_taxon_europeianome_purpose_esg</v>
      </c>
      <c r="I918" s="3" t="s">
        <v>482</v>
      </c>
      <c r="J918" s="60">
        <f>VLOOKUP(Table1[[#This Row],[Status]],Auxiliar!$B$16:$C$23,2,0)</f>
        <v>6</v>
      </c>
      <c r="K918" s="3" t="s">
        <v>1141</v>
      </c>
      <c r="L918" s="30" t="s">
        <v>1144</v>
      </c>
      <c r="M918" s="22" t="s">
        <v>1145</v>
      </c>
      <c r="N918" s="53">
        <v>45546</v>
      </c>
      <c r="O918" s="22">
        <f>INDEX(Auxiliar!$D$5:$F$13,MATCH(Table1[[#This Row],[Tipologia_Testes]],Auxiliar!$B$5:$B$13,0),MATCH(Table1[[#This Row],[Complexidade]],Auxiliar!$D$4:$F$4,0))</f>
        <v>0.1</v>
      </c>
      <c r="P918" s="3"/>
      <c r="Q918" s="3"/>
      <c r="R918" s="173">
        <v>45563</v>
      </c>
      <c r="S918" s="173"/>
      <c r="T918" s="173">
        <v>45563</v>
      </c>
      <c r="U918" s="173"/>
      <c r="V918" s="173"/>
      <c r="W918" s="3">
        <f>VLOOKUP(Table1[[#This Row],[Status]],Auxiliar!$B$16:$D$23,3,0)*Table1[[#This Row],[Estimação (horas)]]</f>
        <v>2.5000000000000001E-2</v>
      </c>
      <c r="X918" s="3"/>
    </row>
    <row r="919" spans="2:24" ht="17.399999999999999" hidden="1" customHeight="1">
      <c r="B919" s="3" t="s">
        <v>28</v>
      </c>
      <c r="C919" s="3" t="s">
        <v>178</v>
      </c>
      <c r="D919" s="3" t="s">
        <v>1191</v>
      </c>
      <c r="E919" s="3" t="s">
        <v>38</v>
      </c>
      <c r="F919" s="3" t="s">
        <v>179</v>
      </c>
      <c r="G919" s="3" t="s">
        <v>201</v>
      </c>
      <c r="H919" s="63" t="str">
        <f>Table1[[#This Row],[Tabela]]&amp;Table1[[#This Row],[Campo]]</f>
        <v>modesg_param_sfcs_taxon_europeianome_specific_eligible</v>
      </c>
      <c r="I919" s="3" t="s">
        <v>482</v>
      </c>
      <c r="J919" s="60">
        <f>VLOOKUP(Table1[[#This Row],[Status]],Auxiliar!$B$16:$C$23,2,0)</f>
        <v>6</v>
      </c>
      <c r="K919" s="3" t="s">
        <v>1164</v>
      </c>
      <c r="L919" s="30" t="s">
        <v>1144</v>
      </c>
      <c r="M919" s="22" t="s">
        <v>1145</v>
      </c>
      <c r="N919" s="53">
        <v>45546</v>
      </c>
      <c r="O919" s="22">
        <f>INDEX(Auxiliar!$D$5:$F$13,MATCH(Table1[[#This Row],[Tipologia_Testes]],Auxiliar!$B$5:$B$13,0),MATCH(Table1[[#This Row],[Complexidade]],Auxiliar!$D$4:$F$4,0))</f>
        <v>0.5</v>
      </c>
      <c r="P919" s="3"/>
      <c r="Q919" s="3"/>
      <c r="R919" s="173">
        <v>45563</v>
      </c>
      <c r="S919" s="173"/>
      <c r="T919" s="173">
        <v>45563</v>
      </c>
      <c r="U919" s="173"/>
      <c r="V919" s="173"/>
      <c r="W919" s="3">
        <f>VLOOKUP(Table1[[#This Row],[Status]],Auxiliar!$B$16:$D$23,3,0)*Table1[[#This Row],[Estimação (horas)]]</f>
        <v>0.125</v>
      </c>
      <c r="X919" s="3"/>
    </row>
    <row r="920" spans="2:24" ht="17.399999999999999" hidden="1" customHeight="1">
      <c r="B920" s="3" t="s">
        <v>28</v>
      </c>
      <c r="C920" s="3" t="s">
        <v>178</v>
      </c>
      <c r="D920" s="3" t="s">
        <v>1191</v>
      </c>
      <c r="E920" s="3" t="s">
        <v>38</v>
      </c>
      <c r="F920" s="3" t="s">
        <v>179</v>
      </c>
      <c r="G920" s="3" t="s">
        <v>201</v>
      </c>
      <c r="H920" s="63" t="str">
        <f>Table1[[#This Row],[Tabela]]&amp;Table1[[#This Row],[Campo]]</f>
        <v>modesg_param_sfcs_taxon_europeianome_specific_eligible</v>
      </c>
      <c r="I920" s="3" t="s">
        <v>482</v>
      </c>
      <c r="J920" s="60">
        <f>VLOOKUP(Table1[[#This Row],[Status]],Auxiliar!$B$16:$C$23,2,0)</f>
        <v>6</v>
      </c>
      <c r="K920" s="3" t="s">
        <v>1141</v>
      </c>
      <c r="L920" s="30" t="s">
        <v>1144</v>
      </c>
      <c r="M920" s="22" t="s">
        <v>1145</v>
      </c>
      <c r="N920" s="53">
        <v>45546</v>
      </c>
      <c r="O920" s="22">
        <f>INDEX(Auxiliar!$D$5:$F$13,MATCH(Table1[[#This Row],[Tipologia_Testes]],Auxiliar!$B$5:$B$13,0),MATCH(Table1[[#This Row],[Complexidade]],Auxiliar!$D$4:$F$4,0))</f>
        <v>0.1</v>
      </c>
      <c r="P920" s="3"/>
      <c r="Q920" s="3"/>
      <c r="R920" s="173">
        <v>45563</v>
      </c>
      <c r="S920" s="173"/>
      <c r="T920" s="173">
        <v>45563</v>
      </c>
      <c r="U920" s="173"/>
      <c r="V920" s="173"/>
      <c r="W920" s="3">
        <f>VLOOKUP(Table1[[#This Row],[Status]],Auxiliar!$B$16:$D$23,3,0)*Table1[[#This Row],[Estimação (horas)]]</f>
        <v>2.5000000000000001E-2</v>
      </c>
      <c r="X920" s="3"/>
    </row>
    <row r="921" spans="2:24" ht="17.399999999999999" hidden="1" customHeight="1">
      <c r="B921" s="3" t="s">
        <v>28</v>
      </c>
      <c r="C921" s="3" t="s">
        <v>178</v>
      </c>
      <c r="D921" s="3" t="s">
        <v>1191</v>
      </c>
      <c r="E921" s="3" t="s">
        <v>38</v>
      </c>
      <c r="F921" s="3" t="s">
        <v>179</v>
      </c>
      <c r="G921" s="3" t="s">
        <v>202</v>
      </c>
      <c r="H921" s="63" t="str">
        <f>Table1[[#This Row],[Tabela]]&amp;Table1[[#This Row],[Campo]]</f>
        <v>modesg_param_sfcs_taxon_europeianome_specific_sustainable</v>
      </c>
      <c r="I921" s="3" t="s">
        <v>482</v>
      </c>
      <c r="J921" s="60">
        <f>VLOOKUP(Table1[[#This Row],[Status]],Auxiliar!$B$16:$C$23,2,0)</f>
        <v>6</v>
      </c>
      <c r="K921" s="3" t="s">
        <v>1164</v>
      </c>
      <c r="L921" s="30" t="s">
        <v>1144</v>
      </c>
      <c r="M921" s="22" t="s">
        <v>1145</v>
      </c>
      <c r="N921" s="53">
        <v>45546</v>
      </c>
      <c r="O921" s="22">
        <f>INDEX(Auxiliar!$D$5:$F$13,MATCH(Table1[[#This Row],[Tipologia_Testes]],Auxiliar!$B$5:$B$13,0),MATCH(Table1[[#This Row],[Complexidade]],Auxiliar!$D$4:$F$4,0))</f>
        <v>0.5</v>
      </c>
      <c r="P921" s="3"/>
      <c r="Q921" s="3"/>
      <c r="R921" s="173">
        <v>45563</v>
      </c>
      <c r="S921" s="173"/>
      <c r="T921" s="173">
        <v>45563</v>
      </c>
      <c r="U921" s="173"/>
      <c r="V921" s="173"/>
      <c r="W921" s="3">
        <f>VLOOKUP(Table1[[#This Row],[Status]],Auxiliar!$B$16:$D$23,3,0)*Table1[[#This Row],[Estimação (horas)]]</f>
        <v>0.125</v>
      </c>
      <c r="X921" s="3"/>
    </row>
    <row r="922" spans="2:24" ht="17.399999999999999" hidden="1" customHeight="1">
      <c r="B922" s="3" t="s">
        <v>28</v>
      </c>
      <c r="C922" s="3" t="s">
        <v>178</v>
      </c>
      <c r="D922" s="3" t="s">
        <v>1191</v>
      </c>
      <c r="E922" s="3" t="s">
        <v>38</v>
      </c>
      <c r="F922" s="3" t="s">
        <v>179</v>
      </c>
      <c r="G922" s="3" t="s">
        <v>202</v>
      </c>
      <c r="H922" s="63" t="str">
        <f>Table1[[#This Row],[Tabela]]&amp;Table1[[#This Row],[Campo]]</f>
        <v>modesg_param_sfcs_taxon_europeianome_specific_sustainable</v>
      </c>
      <c r="I922" s="3" t="s">
        <v>482</v>
      </c>
      <c r="J922" s="60">
        <f>VLOOKUP(Table1[[#This Row],[Status]],Auxiliar!$B$16:$C$23,2,0)</f>
        <v>6</v>
      </c>
      <c r="K922" s="3" t="s">
        <v>1141</v>
      </c>
      <c r="L922" s="30" t="s">
        <v>1144</v>
      </c>
      <c r="M922" s="22" t="s">
        <v>1145</v>
      </c>
      <c r="N922" s="53">
        <v>45546</v>
      </c>
      <c r="O922" s="22">
        <f>INDEX(Auxiliar!$D$5:$F$13,MATCH(Table1[[#This Row],[Tipologia_Testes]],Auxiliar!$B$5:$B$13,0),MATCH(Table1[[#This Row],[Complexidade]],Auxiliar!$D$4:$F$4,0))</f>
        <v>0.1</v>
      </c>
      <c r="P922" s="3"/>
      <c r="Q922" s="3"/>
      <c r="R922" s="173">
        <v>45563</v>
      </c>
      <c r="S922" s="173"/>
      <c r="T922" s="173">
        <v>45563</v>
      </c>
      <c r="U922" s="173"/>
      <c r="V922" s="173"/>
      <c r="W922" s="3">
        <f>VLOOKUP(Table1[[#This Row],[Status]],Auxiliar!$B$16:$D$23,3,0)*Table1[[#This Row],[Estimação (horas)]]</f>
        <v>2.5000000000000001E-2</v>
      </c>
      <c r="X922" s="3"/>
    </row>
    <row r="923" spans="2:24" ht="17.399999999999999" hidden="1" customHeight="1">
      <c r="B923" s="3" t="s">
        <v>28</v>
      </c>
      <c r="C923" s="3" t="s">
        <v>178</v>
      </c>
      <c r="D923" s="3" t="s">
        <v>1191</v>
      </c>
      <c r="E923" s="3" t="s">
        <v>38</v>
      </c>
      <c r="F923" s="3" t="s">
        <v>179</v>
      </c>
      <c r="G923" s="3" t="s">
        <v>73</v>
      </c>
      <c r="H923" s="63" t="str">
        <f>Table1[[#This Row],[Tabela]]&amp;Table1[[#This Row],[Campo]]</f>
        <v>modesg_param_sfcs_taxon_europeiaref_date</v>
      </c>
      <c r="I923" s="3" t="s">
        <v>477</v>
      </c>
      <c r="J923" s="60">
        <f>VLOOKUP(Table1[[#This Row],[Status]],Auxiliar!$B$16:$C$23,2,0)</f>
        <v>1</v>
      </c>
      <c r="K923" s="3" t="s">
        <v>1164</v>
      </c>
      <c r="L923" s="30" t="s">
        <v>1144</v>
      </c>
      <c r="M923" s="22" t="s">
        <v>1145</v>
      </c>
      <c r="N923" s="53">
        <v>45546</v>
      </c>
      <c r="O923" s="22">
        <f>INDEX(Auxiliar!$D$5:$F$13,MATCH(Table1[[#This Row],[Tipologia_Testes]],Auxiliar!$B$5:$B$13,0),MATCH(Table1[[#This Row],[Complexidade]],Auxiliar!$D$4:$F$4,0))</f>
        <v>0.5</v>
      </c>
      <c r="P923" s="3"/>
      <c r="Q923" s="3"/>
      <c r="R923" s="173">
        <v>45545</v>
      </c>
      <c r="S923" s="173"/>
      <c r="T923" s="173"/>
      <c r="U923" s="173"/>
      <c r="V923" s="173"/>
      <c r="W923" s="3">
        <f>VLOOKUP(Table1[[#This Row],[Status]],Auxiliar!$B$16:$D$23,3,0)*Table1[[#This Row],[Estimação (horas)]]</f>
        <v>0.5</v>
      </c>
      <c r="X923" s="3"/>
    </row>
    <row r="924" spans="2:24" ht="17.399999999999999" hidden="1" customHeight="1">
      <c r="B924" s="3" t="s">
        <v>28</v>
      </c>
      <c r="C924" s="3" t="s">
        <v>178</v>
      </c>
      <c r="D924" s="3" t="s">
        <v>1191</v>
      </c>
      <c r="E924" s="3" t="s">
        <v>38</v>
      </c>
      <c r="F924" s="3" t="s">
        <v>179</v>
      </c>
      <c r="G924" s="3" t="s">
        <v>73</v>
      </c>
      <c r="H924" s="63" t="str">
        <f>Table1[[#This Row],[Tabela]]&amp;Table1[[#This Row],[Campo]]</f>
        <v>modesg_param_sfcs_taxon_europeiaref_date</v>
      </c>
      <c r="I924" s="3" t="s">
        <v>477</v>
      </c>
      <c r="J924" s="60">
        <f>VLOOKUP(Table1[[#This Row],[Status]],Auxiliar!$B$16:$C$23,2,0)</f>
        <v>1</v>
      </c>
      <c r="K924" s="3" t="s">
        <v>1141</v>
      </c>
      <c r="L924" s="3" t="s">
        <v>1144</v>
      </c>
      <c r="M924" s="22" t="s">
        <v>1145</v>
      </c>
      <c r="N924" s="53">
        <v>45546</v>
      </c>
      <c r="O924" s="22">
        <f>INDEX(Auxiliar!$D$5:$F$13,MATCH(Table1[[#This Row],[Tipologia_Testes]],Auxiliar!$B$5:$B$13,0),MATCH(Table1[[#This Row],[Complexidade]],Auxiliar!$D$4:$F$4,0))</f>
        <v>0.1</v>
      </c>
      <c r="P924" s="3"/>
      <c r="Q924" s="3"/>
      <c r="R924" s="173">
        <v>45545</v>
      </c>
      <c r="S924" s="173"/>
      <c r="T924" s="173"/>
      <c r="U924" s="173"/>
      <c r="V924" s="173"/>
      <c r="W924" s="3">
        <f>VLOOKUP(Table1[[#This Row],[Status]],Auxiliar!$B$16:$D$23,3,0)*Table1[[#This Row],[Estimação (horas)]]</f>
        <v>0.1</v>
      </c>
      <c r="X924" s="3"/>
    </row>
    <row r="925" spans="2:24" ht="17.399999999999999" hidden="1" customHeight="1">
      <c r="B925" s="3" t="s">
        <v>28</v>
      </c>
      <c r="C925" s="3" t="s">
        <v>178</v>
      </c>
      <c r="D925" s="3" t="s">
        <v>1191</v>
      </c>
      <c r="E925" s="3" t="s">
        <v>38</v>
      </c>
      <c r="F925" s="3" t="s">
        <v>179</v>
      </c>
      <c r="G925" s="3" t="s">
        <v>203</v>
      </c>
      <c r="H925" s="63" t="str">
        <f>Table1[[#This Row],[Tabela]]&amp;Table1[[#This Row],[Campo]]</f>
        <v>modesg_param_sfcs_taxon_europeiazcliente</v>
      </c>
      <c r="I925" s="3" t="s">
        <v>482</v>
      </c>
      <c r="J925" s="60">
        <f>VLOOKUP(Table1[[#This Row],[Status]],Auxiliar!$B$16:$C$23,2,0)</f>
        <v>6</v>
      </c>
      <c r="K925" s="3" t="s">
        <v>1164</v>
      </c>
      <c r="L925" s="3" t="s">
        <v>1144</v>
      </c>
      <c r="M925" s="22" t="s">
        <v>1145</v>
      </c>
      <c r="N925" s="53">
        <v>45546</v>
      </c>
      <c r="O925" s="22">
        <f>INDEX(Auxiliar!$D$5:$F$13,MATCH(Table1[[#This Row],[Tipologia_Testes]],Auxiliar!$B$5:$B$13,0),MATCH(Table1[[#This Row],[Complexidade]],Auxiliar!$D$4:$F$4,0))</f>
        <v>0.5</v>
      </c>
      <c r="P925" s="3"/>
      <c r="Q925" s="3"/>
      <c r="R925" s="173">
        <v>45563</v>
      </c>
      <c r="S925" s="173"/>
      <c r="T925" s="173">
        <v>45563</v>
      </c>
      <c r="U925" s="173"/>
      <c r="V925" s="173"/>
      <c r="W925" s="3">
        <f>VLOOKUP(Table1[[#This Row],[Status]],Auxiliar!$B$16:$D$23,3,0)*Table1[[#This Row],[Estimação (horas)]]</f>
        <v>0.125</v>
      </c>
      <c r="X925" s="3"/>
    </row>
    <row r="926" spans="2:24" ht="17.399999999999999" hidden="1" customHeight="1">
      <c r="B926" s="3" t="s">
        <v>28</v>
      </c>
      <c r="C926" s="3" t="s">
        <v>178</v>
      </c>
      <c r="D926" s="3" t="s">
        <v>1191</v>
      </c>
      <c r="E926" s="3" t="s">
        <v>38</v>
      </c>
      <c r="F926" s="3" t="s">
        <v>179</v>
      </c>
      <c r="G926" s="3" t="s">
        <v>203</v>
      </c>
      <c r="H926" s="63" t="str">
        <f>Table1[[#This Row],[Tabela]]&amp;Table1[[#This Row],[Campo]]</f>
        <v>modesg_param_sfcs_taxon_europeiazcliente</v>
      </c>
      <c r="I926" s="3" t="s">
        <v>482</v>
      </c>
      <c r="J926" s="60">
        <f>VLOOKUP(Table1[[#This Row],[Status]],Auxiliar!$B$16:$C$23,2,0)</f>
        <v>6</v>
      </c>
      <c r="K926" s="3" t="s">
        <v>1141</v>
      </c>
      <c r="L926" s="3" t="s">
        <v>1144</v>
      </c>
      <c r="M926" s="22" t="s">
        <v>1145</v>
      </c>
      <c r="N926" s="53">
        <v>45546</v>
      </c>
      <c r="O926" s="22">
        <f>INDEX(Auxiliar!$D$5:$F$13,MATCH(Table1[[#This Row],[Tipologia_Testes]],Auxiliar!$B$5:$B$13,0),MATCH(Table1[[#This Row],[Complexidade]],Auxiliar!$D$4:$F$4,0))</f>
        <v>0.1</v>
      </c>
      <c r="P926" s="3"/>
      <c r="Q926" s="3"/>
      <c r="R926" s="173">
        <v>45563</v>
      </c>
      <c r="S926" s="173"/>
      <c r="T926" s="173">
        <v>45563</v>
      </c>
      <c r="U926" s="173"/>
      <c r="V926" s="173"/>
      <c r="W926" s="3">
        <f>VLOOKUP(Table1[[#This Row],[Status]],Auxiliar!$B$16:$D$23,3,0)*Table1[[#This Row],[Estimação (horas)]]</f>
        <v>2.5000000000000001E-2</v>
      </c>
      <c r="X926" s="3"/>
    </row>
    <row r="927" spans="2:24" ht="17.399999999999999" hidden="1" customHeight="1">
      <c r="B927" s="3" t="s">
        <v>28</v>
      </c>
      <c r="C927" s="3" t="s">
        <v>178</v>
      </c>
      <c r="D927" s="3" t="s">
        <v>1191</v>
      </c>
      <c r="E927" s="3" t="s">
        <v>38</v>
      </c>
      <c r="F927" s="3" t="s">
        <v>179</v>
      </c>
      <c r="G927" s="3" t="s">
        <v>204</v>
      </c>
      <c r="H927" s="63" t="str">
        <f>Table1[[#This Row],[Tabela]]&amp;Table1[[#This Row],[Campo]]</f>
        <v>modesg_param_sfcs_taxon_europeiazdeposit</v>
      </c>
      <c r="I927" s="3" t="s">
        <v>482</v>
      </c>
      <c r="J927" s="60">
        <f>VLOOKUP(Table1[[#This Row],[Status]],Auxiliar!$B$16:$C$23,2,0)</f>
        <v>6</v>
      </c>
      <c r="K927" s="3" t="s">
        <v>1164</v>
      </c>
      <c r="L927" s="3" t="s">
        <v>1144</v>
      </c>
      <c r="M927" s="22" t="s">
        <v>1145</v>
      </c>
      <c r="N927" s="53">
        <v>45546</v>
      </c>
      <c r="O927" s="22">
        <f>INDEX(Auxiliar!$D$5:$F$13,MATCH(Table1[[#This Row],[Tipologia_Testes]],Auxiliar!$B$5:$B$13,0),MATCH(Table1[[#This Row],[Complexidade]],Auxiliar!$D$4:$F$4,0))</f>
        <v>0.5</v>
      </c>
      <c r="P927" s="3"/>
      <c r="Q927" s="3"/>
      <c r="R927" s="173">
        <v>45563</v>
      </c>
      <c r="S927" s="173"/>
      <c r="T927" s="173">
        <v>45563</v>
      </c>
      <c r="U927" s="173"/>
      <c r="V927" s="173"/>
      <c r="W927" s="3">
        <f>VLOOKUP(Table1[[#This Row],[Status]],Auxiliar!$B$16:$D$23,3,0)*Table1[[#This Row],[Estimação (horas)]]</f>
        <v>0.125</v>
      </c>
      <c r="X927" s="3"/>
    </row>
    <row r="928" spans="2:24" ht="17.399999999999999" hidden="1" customHeight="1">
      <c r="B928" s="3" t="s">
        <v>28</v>
      </c>
      <c r="C928" s="3" t="s">
        <v>178</v>
      </c>
      <c r="D928" s="3" t="s">
        <v>1191</v>
      </c>
      <c r="E928" s="3" t="s">
        <v>38</v>
      </c>
      <c r="F928" s="3" t="s">
        <v>179</v>
      </c>
      <c r="G928" s="3" t="s">
        <v>204</v>
      </c>
      <c r="H928" s="63" t="str">
        <f>Table1[[#This Row],[Tabela]]&amp;Table1[[#This Row],[Campo]]</f>
        <v>modesg_param_sfcs_taxon_europeiazdeposit</v>
      </c>
      <c r="I928" s="3" t="s">
        <v>482</v>
      </c>
      <c r="J928" s="60">
        <f>VLOOKUP(Table1[[#This Row],[Status]],Auxiliar!$B$16:$C$23,2,0)</f>
        <v>6</v>
      </c>
      <c r="K928" s="3" t="s">
        <v>1141</v>
      </c>
      <c r="L928" s="3" t="s">
        <v>1144</v>
      </c>
      <c r="M928" s="22" t="s">
        <v>1145</v>
      </c>
      <c r="N928" s="53">
        <v>45546</v>
      </c>
      <c r="O928" s="22">
        <f>INDEX(Auxiliar!$D$5:$F$13,MATCH(Table1[[#This Row],[Tipologia_Testes]],Auxiliar!$B$5:$B$13,0),MATCH(Table1[[#This Row],[Complexidade]],Auxiliar!$D$4:$F$4,0))</f>
        <v>0.1</v>
      </c>
      <c r="P928" s="3"/>
      <c r="Q928" s="3"/>
      <c r="R928" s="173">
        <v>45563</v>
      </c>
      <c r="S928" s="173"/>
      <c r="T928" s="173">
        <v>45563</v>
      </c>
      <c r="U928" s="173"/>
      <c r="V928" s="173"/>
      <c r="W928" s="3">
        <f>VLOOKUP(Table1[[#This Row],[Status]],Auxiliar!$B$16:$D$23,3,0)*Table1[[#This Row],[Estimação (horas)]]</f>
        <v>2.5000000000000001E-2</v>
      </c>
      <c r="X928" s="3"/>
    </row>
    <row r="929" spans="2:24" ht="17.399999999999999" hidden="1" customHeight="1">
      <c r="B929" s="3" t="s">
        <v>28</v>
      </c>
      <c r="C929" s="3" t="s">
        <v>178</v>
      </c>
      <c r="D929" s="3" t="s">
        <v>1191</v>
      </c>
      <c r="E929" s="3" t="s">
        <v>38</v>
      </c>
      <c r="F929" s="3" t="s">
        <v>179</v>
      </c>
      <c r="G929" s="3" t="s">
        <v>322</v>
      </c>
      <c r="H929" s="63" t="str">
        <f>Table1[[#This Row],[Tabela]]&amp;Table1[[#This Row],[Campo]]</f>
        <v>modesg_param_sfcs_taxon_europeiaordem</v>
      </c>
      <c r="I929" s="3" t="s">
        <v>476</v>
      </c>
      <c r="J929" s="59">
        <f>VLOOKUP(Table1[[#This Row],[Status]],Auxiliar!$B$16:$C$23,2,0)</f>
        <v>0</v>
      </c>
      <c r="K929" s="3" t="s">
        <v>1164</v>
      </c>
      <c r="L929" s="3" t="s">
        <v>1144</v>
      </c>
      <c r="M929" s="22" t="s">
        <v>1145</v>
      </c>
      <c r="N929" s="53">
        <v>45561</v>
      </c>
      <c r="O929" s="22">
        <f>INDEX(Auxiliar!$D$5:$F$13,MATCH(Table1[[#This Row],[Tipologia_Testes]],Auxiliar!$B$5:$B$13,0),MATCH(Table1[[#This Row],[Complexidade]],Auxiliar!$D$4:$F$4,0))</f>
        <v>0.5</v>
      </c>
      <c r="P929" s="3" t="s">
        <v>1178</v>
      </c>
      <c r="Q929" s="3"/>
      <c r="R929" s="173">
        <v>45561</v>
      </c>
      <c r="S929" s="173"/>
      <c r="T929" s="173">
        <v>45561</v>
      </c>
      <c r="U929" s="173"/>
      <c r="V929" s="173"/>
      <c r="W929" s="3">
        <f>VLOOKUP(Table1[[#This Row],[Status]],Auxiliar!$B$16:$D$23,3,0)*Table1[[#This Row],[Estimação (horas)]]</f>
        <v>0</v>
      </c>
      <c r="X929" s="3"/>
    </row>
    <row r="930" spans="2:24" ht="17.399999999999999" hidden="1" customHeight="1">
      <c r="B930" s="3" t="s">
        <v>28</v>
      </c>
      <c r="C930" s="3" t="s">
        <v>178</v>
      </c>
      <c r="D930" s="3" t="s">
        <v>1191</v>
      </c>
      <c r="E930" s="3" t="s">
        <v>38</v>
      </c>
      <c r="F930" s="3" t="s">
        <v>179</v>
      </c>
      <c r="G930" s="3" t="s">
        <v>322</v>
      </c>
      <c r="H930" s="63" t="str">
        <f>Table1[[#This Row],[Tabela]]&amp;Table1[[#This Row],[Campo]]</f>
        <v>modesg_param_sfcs_taxon_europeiaordem</v>
      </c>
      <c r="I930" s="3" t="s">
        <v>476</v>
      </c>
      <c r="J930" s="59">
        <f>VLOOKUP(Table1[[#This Row],[Status]],Auxiliar!$B$16:$C$23,2,0)</f>
        <v>0</v>
      </c>
      <c r="K930" s="3" t="s">
        <v>1141</v>
      </c>
      <c r="L930" s="3" t="s">
        <v>1144</v>
      </c>
      <c r="M930" s="22" t="s">
        <v>1145</v>
      </c>
      <c r="N930" s="53">
        <v>45561</v>
      </c>
      <c r="O930" s="22">
        <f>INDEX(Auxiliar!$D$5:$F$13,MATCH(Table1[[#This Row],[Tipologia_Testes]],Auxiliar!$B$5:$B$13,0),MATCH(Table1[[#This Row],[Complexidade]],Auxiliar!$D$4:$F$4,0))</f>
        <v>0.1</v>
      </c>
      <c r="P930" s="3" t="s">
        <v>1178</v>
      </c>
      <c r="Q930" s="3"/>
      <c r="R930" s="173">
        <v>45561</v>
      </c>
      <c r="S930" s="173"/>
      <c r="T930" s="173">
        <v>45561</v>
      </c>
      <c r="U930" s="173"/>
      <c r="V930" s="173"/>
      <c r="W930" s="3">
        <f>VLOOKUP(Table1[[#This Row],[Status]],Auxiliar!$B$16:$D$23,3,0)*Table1[[#This Row],[Estimação (horas)]]</f>
        <v>0</v>
      </c>
      <c r="X930" s="3"/>
    </row>
    <row r="931" spans="2:24" ht="17.399999999999999" hidden="1" customHeight="1">
      <c r="B931" s="3" t="s">
        <v>28</v>
      </c>
      <c r="C931" s="3" t="s">
        <v>178</v>
      </c>
      <c r="D931" s="3" t="s">
        <v>1191</v>
      </c>
      <c r="E931" s="3" t="s">
        <v>38</v>
      </c>
      <c r="F931" s="3" t="s">
        <v>179</v>
      </c>
      <c r="G931" s="3" t="s">
        <v>1860</v>
      </c>
      <c r="H931" s="63" t="str">
        <f>Table1[[#This Row],[Tabela]]&amp;Table1[[#This Row],[Campo]]</f>
        <v>modesg_param_sfcs_taxon_europeianivel_mrc</v>
      </c>
      <c r="I931" s="3" t="s">
        <v>476</v>
      </c>
      <c r="J931" s="59">
        <f>VLOOKUP(Table1[[#This Row],[Status]],Auxiliar!$B$16:$C$23,2,0)</f>
        <v>0</v>
      </c>
      <c r="K931" s="3" t="s">
        <v>1164</v>
      </c>
      <c r="L931" s="3" t="s">
        <v>1144</v>
      </c>
      <c r="M931" s="22" t="s">
        <v>1145</v>
      </c>
      <c r="N931" s="53">
        <v>45561</v>
      </c>
      <c r="O931" s="22">
        <f>INDEX(Auxiliar!$D$5:$F$13,MATCH(Table1[[#This Row],[Tipologia_Testes]],Auxiliar!$B$5:$B$13,0),MATCH(Table1[[#This Row],[Complexidade]],Auxiliar!$D$4:$F$4,0))</f>
        <v>0.5</v>
      </c>
      <c r="P931" s="3" t="s">
        <v>1178</v>
      </c>
      <c r="Q931" s="3"/>
      <c r="R931" s="173">
        <v>45561</v>
      </c>
      <c r="S931" s="173"/>
      <c r="T931" s="173">
        <v>45561</v>
      </c>
      <c r="U931" s="173"/>
      <c r="V931" s="173"/>
      <c r="W931" s="3">
        <f>VLOOKUP(Table1[[#This Row],[Status]],Auxiliar!$B$16:$D$23,3,0)*Table1[[#This Row],[Estimação (horas)]]</f>
        <v>0</v>
      </c>
      <c r="X931" s="3"/>
    </row>
    <row r="932" spans="2:24" ht="17.399999999999999" hidden="1" customHeight="1">
      <c r="B932" s="3" t="s">
        <v>28</v>
      </c>
      <c r="C932" s="3" t="s">
        <v>178</v>
      </c>
      <c r="D932" s="3" t="s">
        <v>1191</v>
      </c>
      <c r="E932" s="3" t="s">
        <v>38</v>
      </c>
      <c r="F932" s="3" t="s">
        <v>179</v>
      </c>
      <c r="G932" s="3" t="s">
        <v>1860</v>
      </c>
      <c r="H932" s="63" t="str">
        <f>Table1[[#This Row],[Tabela]]&amp;Table1[[#This Row],[Campo]]</f>
        <v>modesg_param_sfcs_taxon_europeianivel_mrc</v>
      </c>
      <c r="I932" s="3" t="s">
        <v>476</v>
      </c>
      <c r="J932" s="59">
        <f>VLOOKUP(Table1[[#This Row],[Status]],Auxiliar!$B$16:$C$23,2,0)</f>
        <v>0</v>
      </c>
      <c r="K932" s="3" t="s">
        <v>1141</v>
      </c>
      <c r="L932" s="3" t="s">
        <v>1144</v>
      </c>
      <c r="M932" s="22" t="s">
        <v>1145</v>
      </c>
      <c r="N932" s="53">
        <v>45561</v>
      </c>
      <c r="O932" s="22">
        <f>INDEX(Auxiliar!$D$5:$F$13,MATCH(Table1[[#This Row],[Tipologia_Testes]],Auxiliar!$B$5:$B$13,0),MATCH(Table1[[#This Row],[Complexidade]],Auxiliar!$D$4:$F$4,0))</f>
        <v>0.1</v>
      </c>
      <c r="P932" s="3" t="s">
        <v>1178</v>
      </c>
      <c r="Q932" s="3"/>
      <c r="R932" s="173">
        <v>45561</v>
      </c>
      <c r="S932" s="173"/>
      <c r="T932" s="173">
        <v>45561</v>
      </c>
      <c r="U932" s="173"/>
      <c r="V932" s="173"/>
      <c r="W932" s="3">
        <f>VLOOKUP(Table1[[#This Row],[Status]],Auxiliar!$B$16:$D$23,3,0)*Table1[[#This Row],[Estimação (horas)]]</f>
        <v>0</v>
      </c>
      <c r="X932" s="3"/>
    </row>
    <row r="933" spans="2:24" ht="17.399999999999999" hidden="1" customHeight="1">
      <c r="B933" s="14" t="s">
        <v>28</v>
      </c>
      <c r="C933" s="14" t="s">
        <v>178</v>
      </c>
      <c r="D933" s="14" t="s">
        <v>1198</v>
      </c>
      <c r="E933" s="3" t="s">
        <v>38</v>
      </c>
      <c r="F933" s="14" t="s">
        <v>205</v>
      </c>
      <c r="G933" s="14" t="s">
        <v>38</v>
      </c>
      <c r="H933" s="66" t="str">
        <f>Table1[[#This Row],[Tabela]]&amp;Table1[[#This Row],[Campo]]</f>
        <v>modesg_inp_emss_vclsn.a.</v>
      </c>
      <c r="I933" s="3" t="s">
        <v>477</v>
      </c>
      <c r="J933" s="48">
        <f>VLOOKUP(Table1[[#This Row],[Status]],Auxiliar!$B$16:$C$23,2,0)</f>
        <v>1</v>
      </c>
      <c r="K933" s="22" t="s">
        <v>1134</v>
      </c>
      <c r="L933" s="22" t="s">
        <v>1144</v>
      </c>
      <c r="M933" s="22" t="s">
        <v>1145</v>
      </c>
      <c r="N933" s="53">
        <v>45546</v>
      </c>
      <c r="O933" s="22">
        <f>INDEX(Auxiliar!$D$5:$F$13,MATCH(Table1[[#This Row],[Tipologia_Testes]],Auxiliar!$B$5:$B$13,0),MATCH(Table1[[#This Row],[Complexidade]],Auxiliar!$D$4:$F$4,0))</f>
        <v>8</v>
      </c>
      <c r="P933" s="3" t="s">
        <v>1199</v>
      </c>
      <c r="Q933" s="3"/>
      <c r="R933" s="173">
        <v>45261</v>
      </c>
      <c r="S933" s="173"/>
      <c r="T933" s="173"/>
      <c r="U933" s="173">
        <v>45534</v>
      </c>
      <c r="V933" s="173">
        <v>45534</v>
      </c>
      <c r="W933" s="3">
        <f>VLOOKUP(Table1[[#This Row],[Status]],Auxiliar!$B$16:$D$23,3,0)*Table1[[#This Row],[Estimação (horas)]]</f>
        <v>8</v>
      </c>
      <c r="X933" s="3"/>
    </row>
    <row r="934" spans="2:24" ht="17.399999999999999" hidden="1" customHeight="1">
      <c r="B934" s="14" t="s">
        <v>28</v>
      </c>
      <c r="C934" s="14" t="s">
        <v>178</v>
      </c>
      <c r="D934" s="14" t="s">
        <v>1198</v>
      </c>
      <c r="E934" s="3" t="s">
        <v>38</v>
      </c>
      <c r="F934" s="14" t="s">
        <v>205</v>
      </c>
      <c r="G934" s="14" t="s">
        <v>38</v>
      </c>
      <c r="H934" s="66" t="str">
        <f>Table1[[#This Row],[Tabela]]&amp;Table1[[#This Row],[Campo]]</f>
        <v>modesg_inp_emss_vclsn.a.</v>
      </c>
      <c r="I934" s="3" t="s">
        <v>477</v>
      </c>
      <c r="J934" s="48">
        <f>VLOOKUP(Table1[[#This Row],[Status]],Auxiliar!$B$16:$C$23,2,0)</f>
        <v>1</v>
      </c>
      <c r="K934" s="22" t="s">
        <v>1192</v>
      </c>
      <c r="L934" s="22" t="s">
        <v>1144</v>
      </c>
      <c r="M934" s="22" t="s">
        <v>1145</v>
      </c>
      <c r="N934" s="53">
        <v>45546</v>
      </c>
      <c r="O934" s="22">
        <f>INDEX(Auxiliar!$D$5:$F$13,MATCH(Table1[[#This Row],[Tipologia_Testes]],Auxiliar!$B$5:$B$13,0),MATCH(Table1[[#This Row],[Complexidade]],Auxiliar!$D$4:$F$4,0))</f>
        <v>0.5</v>
      </c>
      <c r="P934" s="3" t="s">
        <v>1200</v>
      </c>
      <c r="Q934" s="3" t="s">
        <v>1201</v>
      </c>
      <c r="R934" s="173">
        <v>45261</v>
      </c>
      <c r="S934" s="173"/>
      <c r="T934" s="173">
        <v>45471</v>
      </c>
      <c r="U934" s="173">
        <v>45534</v>
      </c>
      <c r="V934" s="173">
        <v>45534</v>
      </c>
      <c r="W934" s="3">
        <f>VLOOKUP(Table1[[#This Row],[Status]],Auxiliar!$B$16:$D$23,3,0)*Table1[[#This Row],[Estimação (horas)]]</f>
        <v>0.5</v>
      </c>
      <c r="X934" s="3"/>
    </row>
    <row r="935" spans="2:24" ht="17.399999999999999" hidden="1" customHeight="1">
      <c r="B935" s="14" t="s">
        <v>28</v>
      </c>
      <c r="C935" s="14" t="s">
        <v>178</v>
      </c>
      <c r="D935" s="14" t="s">
        <v>1198</v>
      </c>
      <c r="E935" s="3" t="s">
        <v>38</v>
      </c>
      <c r="F935" s="14" t="s">
        <v>206</v>
      </c>
      <c r="G935" s="14" t="s">
        <v>38</v>
      </c>
      <c r="H935" s="66" t="str">
        <f>Table1[[#This Row],[Tabela]]&amp;Table1[[#This Row],[Campo]]</f>
        <v>modesg_inp_km_medios_emss_vclsn.a.</v>
      </c>
      <c r="I935" s="3" t="s">
        <v>477</v>
      </c>
      <c r="J935" s="48">
        <f>VLOOKUP(Table1[[#This Row],[Status]],Auxiliar!$B$16:$C$23,2,0)</f>
        <v>1</v>
      </c>
      <c r="K935" s="22" t="s">
        <v>1134</v>
      </c>
      <c r="L935" s="23"/>
      <c r="M935" s="22" t="s">
        <v>1145</v>
      </c>
      <c r="N935" s="53">
        <v>45537</v>
      </c>
      <c r="O935" s="22">
        <f>INDEX(Auxiliar!$D$5:$F$13,MATCH(Table1[[#This Row],[Tipologia_Testes]],Auxiliar!$B$5:$B$13,0),MATCH(Table1[[#This Row],[Complexidade]],Auxiliar!$D$4:$F$4,0))</f>
        <v>8</v>
      </c>
      <c r="P935" s="3"/>
      <c r="Q935" s="3"/>
      <c r="R935" s="173">
        <v>45261</v>
      </c>
      <c r="S935" s="173"/>
      <c r="T935" s="173"/>
      <c r="U935" s="173">
        <v>45534</v>
      </c>
      <c r="V935" s="173">
        <v>45534</v>
      </c>
      <c r="W935" s="3">
        <f>VLOOKUP(Table1[[#This Row],[Status]],Auxiliar!$B$16:$D$23,3,0)*Table1[[#This Row],[Estimação (horas)]]</f>
        <v>8</v>
      </c>
      <c r="X935" s="3"/>
    </row>
    <row r="936" spans="2:24" ht="17.399999999999999" hidden="1" customHeight="1">
      <c r="B936" s="14" t="s">
        <v>28</v>
      </c>
      <c r="C936" s="14" t="s">
        <v>178</v>
      </c>
      <c r="D936" s="14" t="s">
        <v>1198</v>
      </c>
      <c r="E936" s="3" t="s">
        <v>38</v>
      </c>
      <c r="F936" s="14" t="s">
        <v>206</v>
      </c>
      <c r="G936" s="14" t="s">
        <v>38</v>
      </c>
      <c r="H936" s="66" t="str">
        <f>Table1[[#This Row],[Tabela]]&amp;Table1[[#This Row],[Campo]]</f>
        <v>modesg_inp_km_medios_emss_vclsn.a.</v>
      </c>
      <c r="I936" s="3" t="s">
        <v>477</v>
      </c>
      <c r="J936" s="48">
        <f>VLOOKUP(Table1[[#This Row],[Status]],Auxiliar!$B$16:$C$23,2,0)</f>
        <v>1</v>
      </c>
      <c r="K936" s="22" t="s">
        <v>1192</v>
      </c>
      <c r="L936" s="23"/>
      <c r="M936" s="22" t="s">
        <v>1145</v>
      </c>
      <c r="N936" s="53">
        <v>45537</v>
      </c>
      <c r="O936" s="22">
        <f>INDEX(Auxiliar!$D$5:$F$13,MATCH(Table1[[#This Row],[Tipologia_Testes]],Auxiliar!$B$5:$B$13,0),MATCH(Table1[[#This Row],[Complexidade]],Auxiliar!$D$4:$F$4,0))</f>
        <v>0.5</v>
      </c>
      <c r="P936" s="3"/>
      <c r="Q936" s="3"/>
      <c r="R936" s="173">
        <v>45261</v>
      </c>
      <c r="S936" s="173"/>
      <c r="T936" s="173"/>
      <c r="U936" s="173">
        <v>45534</v>
      </c>
      <c r="V936" s="173">
        <v>45534</v>
      </c>
      <c r="W936" s="3">
        <f>VLOOKUP(Table1[[#This Row],[Status]],Auxiliar!$B$16:$D$23,3,0)*Table1[[#This Row],[Estimação (horas)]]</f>
        <v>0.5</v>
      </c>
      <c r="X936" s="3"/>
    </row>
    <row r="937" spans="2:24" ht="17.399999999999999" hidden="1" customHeight="1">
      <c r="B937" s="14" t="s">
        <v>28</v>
      </c>
      <c r="C937" s="14" t="s">
        <v>178</v>
      </c>
      <c r="D937" s="14" t="s">
        <v>1202</v>
      </c>
      <c r="E937" s="3" t="s">
        <v>38</v>
      </c>
      <c r="F937" s="14" t="s">
        <v>207</v>
      </c>
      <c r="G937" s="14" t="s">
        <v>38</v>
      </c>
      <c r="H937" s="66" t="str">
        <f>Table1[[#This Row],[Tabela]]&amp;Table1[[#This Row],[Campo]]</f>
        <v>modesg_inp_empr_excl_parisn.a.</v>
      </c>
      <c r="I937" s="3" t="s">
        <v>477</v>
      </c>
      <c r="J937" s="48">
        <f>VLOOKUP(Table1[[#This Row],[Status]],Auxiliar!$B$16:$C$23,2,0)</f>
        <v>1</v>
      </c>
      <c r="K937" s="22" t="s">
        <v>1134</v>
      </c>
      <c r="L937" s="23"/>
      <c r="M937" s="22" t="s">
        <v>1145</v>
      </c>
      <c r="N937" s="53">
        <v>45491</v>
      </c>
      <c r="O937" s="22">
        <f>INDEX(Auxiliar!$D$5:$F$13,MATCH(Table1[[#This Row],[Tipologia_Testes]],Auxiliar!$B$5:$B$13,0),MATCH(Table1[[#This Row],[Complexidade]],Auxiliar!$D$4:$F$4,0))</f>
        <v>8</v>
      </c>
      <c r="P937" s="3" t="s">
        <v>1203</v>
      </c>
      <c r="Q937" s="3"/>
      <c r="R937" s="173">
        <v>45261</v>
      </c>
      <c r="S937" s="173"/>
      <c r="T937" s="173"/>
      <c r="U937" s="173"/>
      <c r="V937" s="173"/>
      <c r="W937" s="3">
        <f>VLOOKUP(Table1[[#This Row],[Status]],Auxiliar!$B$16:$D$23,3,0)*Table1[[#This Row],[Estimação (horas)]]</f>
        <v>8</v>
      </c>
      <c r="X937" s="3"/>
    </row>
    <row r="938" spans="2:24" ht="17.399999999999999" hidden="1" customHeight="1">
      <c r="B938" s="14" t="s">
        <v>28</v>
      </c>
      <c r="C938" s="14" t="s">
        <v>178</v>
      </c>
      <c r="D938" s="14" t="s">
        <v>1202</v>
      </c>
      <c r="E938" s="3" t="s">
        <v>38</v>
      </c>
      <c r="F938" s="14" t="s">
        <v>207</v>
      </c>
      <c r="G938" s="14" t="s">
        <v>38</v>
      </c>
      <c r="H938" s="66" t="str">
        <f>Table1[[#This Row],[Tabela]]&amp;Table1[[#This Row],[Campo]]</f>
        <v>modesg_inp_empr_excl_parisn.a.</v>
      </c>
      <c r="I938" s="3" t="s">
        <v>477</v>
      </c>
      <c r="J938" s="48">
        <f>VLOOKUP(Table1[[#This Row],[Status]],Auxiliar!$B$16:$C$23,2,0)</f>
        <v>1</v>
      </c>
      <c r="K938" s="22" t="s">
        <v>1192</v>
      </c>
      <c r="L938" s="23"/>
      <c r="M938" s="22" t="s">
        <v>1145</v>
      </c>
      <c r="N938" s="53">
        <v>45491</v>
      </c>
      <c r="O938" s="22">
        <f>INDEX(Auxiliar!$D$5:$F$13,MATCH(Table1[[#This Row],[Tipologia_Testes]],Auxiliar!$B$5:$B$13,0),MATCH(Table1[[#This Row],[Complexidade]],Auxiliar!$D$4:$F$4,0))</f>
        <v>0.5</v>
      </c>
      <c r="P938" s="3" t="s">
        <v>1204</v>
      </c>
      <c r="Q938" s="3"/>
      <c r="R938" s="173">
        <v>45261</v>
      </c>
      <c r="S938" s="173"/>
      <c r="T938" s="173"/>
      <c r="U938" s="173"/>
      <c r="V938" s="173"/>
      <c r="W938" s="3">
        <f>VLOOKUP(Table1[[#This Row],[Status]],Auxiliar!$B$16:$D$23,3,0)*Table1[[#This Row],[Estimação (horas)]]</f>
        <v>0.5</v>
      </c>
      <c r="X938" s="3"/>
    </row>
    <row r="939" spans="2:24" ht="17.399999999999999" hidden="1" customHeight="1">
      <c r="B939" s="14" t="s">
        <v>28</v>
      </c>
      <c r="C939" s="14" t="s">
        <v>178</v>
      </c>
      <c r="D939" s="14" t="s">
        <v>1205</v>
      </c>
      <c r="E939" s="3" t="s">
        <v>38</v>
      </c>
      <c r="F939" s="14" t="s">
        <v>208</v>
      </c>
      <c r="G939" s="14" t="s">
        <v>38</v>
      </c>
      <c r="H939" s="66" t="str">
        <f>Table1[[#This Row],[Tabela]]&amp;Table1[[#This Row],[Campo]]</f>
        <v>modesg_inp_nfrd_alinhamento_taxn.a.</v>
      </c>
      <c r="I939" s="3" t="s">
        <v>477</v>
      </c>
      <c r="J939" s="48">
        <f>VLOOKUP(Table1[[#This Row],[Status]],Auxiliar!$B$16:$C$23,2,0)</f>
        <v>1</v>
      </c>
      <c r="K939" s="22" t="s">
        <v>1134</v>
      </c>
      <c r="L939" s="23"/>
      <c r="M939" s="22" t="s">
        <v>1145</v>
      </c>
      <c r="N939" s="53">
        <v>45540</v>
      </c>
      <c r="O939" s="22">
        <f>INDEX(Auxiliar!$D$5:$F$13,MATCH(Table1[[#This Row],[Tipologia_Testes]],Auxiliar!$B$5:$B$13,0),MATCH(Table1[[#This Row],[Complexidade]],Auxiliar!$D$4:$F$4,0))</f>
        <v>8</v>
      </c>
      <c r="P939" s="3"/>
      <c r="Q939" s="3"/>
      <c r="R939" s="173">
        <v>45261</v>
      </c>
      <c r="S939" s="173"/>
      <c r="T939" s="173"/>
      <c r="U939" s="173">
        <v>45534</v>
      </c>
      <c r="V939" s="173">
        <v>45534</v>
      </c>
      <c r="W939" s="3">
        <f>VLOOKUP(Table1[[#This Row],[Status]],Auxiliar!$B$16:$D$23,3,0)*Table1[[#This Row],[Estimação (horas)]]</f>
        <v>8</v>
      </c>
      <c r="X939" s="3"/>
    </row>
    <row r="940" spans="2:24" ht="17.399999999999999" hidden="1" customHeight="1">
      <c r="B940" s="14" t="s">
        <v>28</v>
      </c>
      <c r="C940" s="14" t="s">
        <v>178</v>
      </c>
      <c r="D940" s="14" t="s">
        <v>1205</v>
      </c>
      <c r="E940" s="3" t="s">
        <v>38</v>
      </c>
      <c r="F940" s="14" t="s">
        <v>208</v>
      </c>
      <c r="G940" s="14" t="s">
        <v>38</v>
      </c>
      <c r="H940" s="66" t="str">
        <f>Table1[[#This Row],[Tabela]]&amp;Table1[[#This Row],[Campo]]</f>
        <v>modesg_inp_nfrd_alinhamento_taxn.a.</v>
      </c>
      <c r="I940" s="3" t="s">
        <v>477</v>
      </c>
      <c r="J940" s="48">
        <f>VLOOKUP(Table1[[#This Row],[Status]],Auxiliar!$B$16:$C$23,2,0)</f>
        <v>1</v>
      </c>
      <c r="K940" s="22" t="s">
        <v>1192</v>
      </c>
      <c r="L940" s="23"/>
      <c r="M940" s="22" t="s">
        <v>1145</v>
      </c>
      <c r="N940" s="53">
        <v>45540</v>
      </c>
      <c r="O940" s="22">
        <f>INDEX(Auxiliar!$D$5:$F$13,MATCH(Table1[[#This Row],[Tipologia_Testes]],Auxiliar!$B$5:$B$13,0),MATCH(Table1[[#This Row],[Complexidade]],Auxiliar!$D$4:$F$4,0))</f>
        <v>0.5</v>
      </c>
      <c r="P940" s="3"/>
      <c r="Q940" s="3"/>
      <c r="R940" s="173">
        <v>45261</v>
      </c>
      <c r="S940" s="173"/>
      <c r="T940" s="173"/>
      <c r="U940" s="173">
        <v>45534</v>
      </c>
      <c r="V940" s="173">
        <v>45534</v>
      </c>
      <c r="W940" s="3">
        <f>VLOOKUP(Table1[[#This Row],[Status]],Auxiliar!$B$16:$D$23,3,0)*Table1[[#This Row],[Estimação (horas)]]</f>
        <v>0.5</v>
      </c>
      <c r="X940" s="3"/>
    </row>
    <row r="941" spans="2:24" ht="17.399999999999999" hidden="1" customHeight="1">
      <c r="B941" s="14" t="s">
        <v>28</v>
      </c>
      <c r="C941" s="14" t="s">
        <v>178</v>
      </c>
      <c r="D941" s="14" t="s">
        <v>1206</v>
      </c>
      <c r="E941" s="3" t="s">
        <v>38</v>
      </c>
      <c r="F941" s="14" t="s">
        <v>209</v>
      </c>
      <c r="G941" s="14" t="s">
        <v>38</v>
      </c>
      <c r="H941" s="66" t="str">
        <f>Table1[[#This Row],[Tabela]]&amp;Table1[[#This Row],[Campo]]</f>
        <v>modesg_inp_risco_fisicon.a.</v>
      </c>
      <c r="I941" s="3" t="s">
        <v>477</v>
      </c>
      <c r="J941" s="48">
        <f>VLOOKUP(Table1[[#This Row],[Status]],Auxiliar!$B$16:$C$23,2,0)</f>
        <v>1</v>
      </c>
      <c r="K941" s="22" t="s">
        <v>1134</v>
      </c>
      <c r="L941" s="22" t="s">
        <v>1144</v>
      </c>
      <c r="M941" s="22" t="s">
        <v>1145</v>
      </c>
      <c r="N941" s="53">
        <v>45485</v>
      </c>
      <c r="O941" s="22">
        <f>INDEX(Auxiliar!$D$5:$F$13,MATCH(Table1[[#This Row],[Tipologia_Testes]],Auxiliar!$B$5:$B$13,0),MATCH(Table1[[#This Row],[Complexidade]],Auxiliar!$D$4:$F$4,0))</f>
        <v>8</v>
      </c>
      <c r="P941" s="3"/>
      <c r="Q941" s="3"/>
      <c r="R941" s="173">
        <v>45261</v>
      </c>
      <c r="S941" s="173"/>
      <c r="T941" s="173"/>
      <c r="U941" s="173"/>
      <c r="V941" s="173"/>
      <c r="W941" s="3">
        <f>VLOOKUP(Table1[[#This Row],[Status]],Auxiliar!$B$16:$D$23,3,0)*Table1[[#This Row],[Estimação (horas)]]</f>
        <v>8</v>
      </c>
      <c r="X941" s="3"/>
    </row>
    <row r="942" spans="2:24" ht="17.399999999999999" hidden="1" customHeight="1">
      <c r="B942" s="14" t="s">
        <v>28</v>
      </c>
      <c r="C942" s="14" t="s">
        <v>178</v>
      </c>
      <c r="D942" s="14" t="s">
        <v>1206</v>
      </c>
      <c r="E942" s="3" t="s">
        <v>38</v>
      </c>
      <c r="F942" s="14" t="s">
        <v>209</v>
      </c>
      <c r="G942" s="14" t="s">
        <v>38</v>
      </c>
      <c r="H942" s="66" t="str">
        <f>Table1[[#This Row],[Tabela]]&amp;Table1[[#This Row],[Campo]]</f>
        <v>modesg_inp_risco_fisicon.a.</v>
      </c>
      <c r="I942" s="3" t="s">
        <v>477</v>
      </c>
      <c r="J942" s="48">
        <f>VLOOKUP(Table1[[#This Row],[Status]],Auxiliar!$B$16:$C$23,2,0)</f>
        <v>1</v>
      </c>
      <c r="K942" s="22" t="s">
        <v>1192</v>
      </c>
      <c r="L942" s="22" t="s">
        <v>1135</v>
      </c>
      <c r="M942" s="22" t="s">
        <v>1145</v>
      </c>
      <c r="N942" s="53">
        <v>45485</v>
      </c>
      <c r="O942" s="22">
        <f>INDEX(Auxiliar!$D$5:$F$13,MATCH(Table1[[#This Row],[Tipologia_Testes]],Auxiliar!$B$5:$B$13,0),MATCH(Table1[[#This Row],[Complexidade]],Auxiliar!$D$4:$F$4,0))</f>
        <v>0.5</v>
      </c>
      <c r="P942" s="3" t="s">
        <v>1204</v>
      </c>
      <c r="Q942" s="3"/>
      <c r="R942" s="173">
        <v>45261</v>
      </c>
      <c r="S942" s="173"/>
      <c r="T942" s="173"/>
      <c r="U942" s="173"/>
      <c r="V942" s="173"/>
      <c r="W942" s="3">
        <f>VLOOKUP(Table1[[#This Row],[Status]],Auxiliar!$B$16:$D$23,3,0)*Table1[[#This Row],[Estimação (horas)]]</f>
        <v>0.5</v>
      </c>
      <c r="X942" s="3"/>
    </row>
    <row r="943" spans="2:24" ht="17.399999999999999" hidden="1" customHeight="1">
      <c r="B943" s="14" t="s">
        <v>28</v>
      </c>
      <c r="C943" s="14" t="s">
        <v>178</v>
      </c>
      <c r="D943" s="14" t="s">
        <v>1198</v>
      </c>
      <c r="E943" s="3" t="s">
        <v>38</v>
      </c>
      <c r="F943" s="14" t="s">
        <v>210</v>
      </c>
      <c r="G943" s="14" t="s">
        <v>38</v>
      </c>
      <c r="H943" s="66" t="str">
        <f>Table1[[#This Row],[Tabela]]&amp;Table1[[#This Row],[Campo]]</f>
        <v>modesg_inp_emss_scibn.a.</v>
      </c>
      <c r="I943" s="3" t="s">
        <v>477</v>
      </c>
      <c r="J943" s="48">
        <f>VLOOKUP(Table1[[#This Row],[Status]],Auxiliar!$B$16:$C$23,2,0)</f>
        <v>1</v>
      </c>
      <c r="K943" s="22" t="s">
        <v>1134</v>
      </c>
      <c r="L943" s="22" t="s">
        <v>1144</v>
      </c>
      <c r="M943" s="22" t="s">
        <v>1145</v>
      </c>
      <c r="N943" s="53">
        <v>45490</v>
      </c>
      <c r="O943" s="22">
        <f>INDEX(Auxiliar!$D$5:$F$13,MATCH(Table1[[#This Row],[Tipologia_Testes]],Auxiliar!$B$5:$B$13,0),MATCH(Table1[[#This Row],[Complexidade]],Auxiliar!$D$4:$F$4,0))</f>
        <v>8</v>
      </c>
      <c r="P943" s="3"/>
      <c r="Q943" s="3" t="s">
        <v>1201</v>
      </c>
      <c r="R943" s="173">
        <v>45261</v>
      </c>
      <c r="S943" s="173"/>
      <c r="T943" s="173"/>
      <c r="U943" s="173"/>
      <c r="V943" s="173"/>
      <c r="W943" s="3">
        <f>VLOOKUP(Table1[[#This Row],[Status]],Auxiliar!$B$16:$D$23,3,0)*Table1[[#This Row],[Estimação (horas)]]</f>
        <v>8</v>
      </c>
      <c r="X943" s="3"/>
    </row>
    <row r="944" spans="2:24" ht="17.399999999999999" hidden="1" customHeight="1">
      <c r="B944" s="14" t="s">
        <v>28</v>
      </c>
      <c r="C944" s="14" t="s">
        <v>178</v>
      </c>
      <c r="D944" s="14" t="s">
        <v>1198</v>
      </c>
      <c r="E944" s="3" t="s">
        <v>38</v>
      </c>
      <c r="F944" s="14" t="s">
        <v>210</v>
      </c>
      <c r="G944" s="14" t="s">
        <v>38</v>
      </c>
      <c r="H944" s="66" t="str">
        <f>Table1[[#This Row],[Tabela]]&amp;Table1[[#This Row],[Campo]]</f>
        <v>modesg_inp_emss_scibn.a.</v>
      </c>
      <c r="I944" s="3" t="s">
        <v>477</v>
      </c>
      <c r="J944" s="48">
        <f>VLOOKUP(Table1[[#This Row],[Status]],Auxiliar!$B$16:$C$23,2,0)</f>
        <v>1</v>
      </c>
      <c r="K944" s="22" t="s">
        <v>1192</v>
      </c>
      <c r="L944" s="22" t="s">
        <v>1135</v>
      </c>
      <c r="M944" s="22" t="s">
        <v>1145</v>
      </c>
      <c r="N944" s="53">
        <v>45490</v>
      </c>
      <c r="O944" s="22">
        <f>INDEX(Auxiliar!$D$5:$F$13,MATCH(Table1[[#This Row],[Tipologia_Testes]],Auxiliar!$B$5:$B$13,0),MATCH(Table1[[#This Row],[Complexidade]],Auxiliar!$D$4:$F$4,0))</f>
        <v>0.5</v>
      </c>
      <c r="P944" s="3"/>
      <c r="Q944" s="3" t="s">
        <v>1201</v>
      </c>
      <c r="R944" s="173">
        <v>45261</v>
      </c>
      <c r="S944" s="173"/>
      <c r="T944" s="173"/>
      <c r="U944" s="173"/>
      <c r="V944" s="173"/>
      <c r="W944" s="3">
        <f>VLOOKUP(Table1[[#This Row],[Status]],Auxiliar!$B$16:$D$23,3,0)*Table1[[#This Row],[Estimação (horas)]]</f>
        <v>0.5</v>
      </c>
      <c r="X944" s="3"/>
    </row>
    <row r="945" spans="2:24" ht="17.399999999999999" hidden="1" customHeight="1">
      <c r="B945" s="14" t="s">
        <v>28</v>
      </c>
      <c r="C945" s="14" t="s">
        <v>178</v>
      </c>
      <c r="D945" s="14" t="s">
        <v>1198</v>
      </c>
      <c r="E945" s="3" t="s">
        <v>38</v>
      </c>
      <c r="F945" s="14" t="s">
        <v>211</v>
      </c>
      <c r="G945" s="14" t="s">
        <v>38</v>
      </c>
      <c r="H945" s="66" t="str">
        <f>Table1[[#This Row],[Tabela]]&amp;Table1[[#This Row],[Campo]]</f>
        <v>modesg_inp_emss_nacen.a.</v>
      </c>
      <c r="I945" s="3" t="s">
        <v>477</v>
      </c>
      <c r="J945" s="48">
        <f>VLOOKUP(Table1[[#This Row],[Status]],Auxiliar!$B$16:$C$23,2,0)</f>
        <v>1</v>
      </c>
      <c r="K945" s="22" t="s">
        <v>1134</v>
      </c>
      <c r="L945" s="22" t="s">
        <v>1144</v>
      </c>
      <c r="M945" s="22" t="s">
        <v>1145</v>
      </c>
      <c r="N945" s="53">
        <v>45540</v>
      </c>
      <c r="O945" s="22">
        <f>INDEX(Auxiliar!$D$5:$F$13,MATCH(Table1[[#This Row],[Tipologia_Testes]],Auxiliar!$B$5:$B$13,0),MATCH(Table1[[#This Row],[Complexidade]],Auxiliar!$D$4:$F$4,0))</f>
        <v>8</v>
      </c>
      <c r="P945" s="3"/>
      <c r="Q945" s="3"/>
      <c r="R945" s="173">
        <v>45261</v>
      </c>
      <c r="S945" s="173"/>
      <c r="T945" s="173"/>
      <c r="U945" s="173"/>
      <c r="V945" s="173"/>
      <c r="W945" s="3">
        <f>VLOOKUP(Table1[[#This Row],[Status]],Auxiliar!$B$16:$D$23,3,0)*Table1[[#This Row],[Estimação (horas)]]</f>
        <v>8</v>
      </c>
      <c r="X945" s="3"/>
    </row>
    <row r="946" spans="2:24" ht="17.399999999999999" hidden="1" customHeight="1">
      <c r="B946" s="14" t="s">
        <v>28</v>
      </c>
      <c r="C946" s="14" t="s">
        <v>178</v>
      </c>
      <c r="D946" s="14" t="s">
        <v>1198</v>
      </c>
      <c r="E946" s="3" t="s">
        <v>38</v>
      </c>
      <c r="F946" s="14" t="s">
        <v>211</v>
      </c>
      <c r="G946" s="14" t="s">
        <v>38</v>
      </c>
      <c r="H946" s="66" t="str">
        <f>Table1[[#This Row],[Tabela]]&amp;Table1[[#This Row],[Campo]]</f>
        <v>modesg_inp_emss_nacen.a.</v>
      </c>
      <c r="I946" s="3" t="s">
        <v>477</v>
      </c>
      <c r="J946" s="48">
        <f>VLOOKUP(Table1[[#This Row],[Status]],Auxiliar!$B$16:$C$23,2,0)</f>
        <v>1</v>
      </c>
      <c r="K946" s="22" t="s">
        <v>1192</v>
      </c>
      <c r="L946" s="22" t="s">
        <v>1135</v>
      </c>
      <c r="M946" s="22" t="s">
        <v>1145</v>
      </c>
      <c r="N946" s="53">
        <v>45540</v>
      </c>
      <c r="O946" s="22">
        <f>INDEX(Auxiliar!$D$5:$F$13,MATCH(Table1[[#This Row],[Tipologia_Testes]],Auxiliar!$B$5:$B$13,0),MATCH(Table1[[#This Row],[Complexidade]],Auxiliar!$D$4:$F$4,0))</f>
        <v>0.5</v>
      </c>
      <c r="P946" s="3"/>
      <c r="Q946" s="3"/>
      <c r="R946" s="173">
        <v>45261</v>
      </c>
      <c r="S946" s="173"/>
      <c r="T946" s="173"/>
      <c r="U946" s="173"/>
      <c r="V946" s="173"/>
      <c r="W946" s="3">
        <f>VLOOKUP(Table1[[#This Row],[Status]],Auxiliar!$B$16:$D$23,3,0)*Table1[[#This Row],[Estimação (horas)]]</f>
        <v>0.5</v>
      </c>
      <c r="X946" s="3"/>
    </row>
    <row r="947" spans="2:24" ht="17.399999999999999" hidden="1" customHeight="1">
      <c r="B947" s="14" t="s">
        <v>28</v>
      </c>
      <c r="C947" s="14" t="s">
        <v>178</v>
      </c>
      <c r="D947" s="14" t="s">
        <v>1198</v>
      </c>
      <c r="E947" s="3" t="s">
        <v>38</v>
      </c>
      <c r="F947" s="14" t="s">
        <v>212</v>
      </c>
      <c r="G947" s="14" t="s">
        <v>38</v>
      </c>
      <c r="H947" s="66" t="str">
        <f>Table1[[#This Row],[Tabela]]&amp;Table1[[#This Row],[Campo]]</f>
        <v>modesg_inp_emss_bens_imoveisn.a.</v>
      </c>
      <c r="I947" s="3" t="s">
        <v>477</v>
      </c>
      <c r="J947" s="48">
        <f>VLOOKUP(Table1[[#This Row],[Status]],Auxiliar!$B$16:$C$23,2,0)</f>
        <v>1</v>
      </c>
      <c r="K947" s="22" t="s">
        <v>1134</v>
      </c>
      <c r="L947" s="22" t="s">
        <v>1144</v>
      </c>
      <c r="M947" s="22" t="s">
        <v>1145</v>
      </c>
      <c r="N947" s="53">
        <v>45546</v>
      </c>
      <c r="O947" s="22">
        <f>INDEX(Auxiliar!$D$5:$F$13,MATCH(Table1[[#This Row],[Tipologia_Testes]],Auxiliar!$B$5:$B$13,0),MATCH(Table1[[#This Row],[Complexidade]],Auxiliar!$D$4:$F$4,0))</f>
        <v>8</v>
      </c>
      <c r="P947" s="3"/>
      <c r="Q947" s="3"/>
      <c r="R947" s="173">
        <v>45261</v>
      </c>
      <c r="S947" s="173"/>
      <c r="T947" s="173"/>
      <c r="U947" s="173">
        <v>45534</v>
      </c>
      <c r="V947" s="173">
        <v>45534</v>
      </c>
      <c r="W947" s="3">
        <f>VLOOKUP(Table1[[#This Row],[Status]],Auxiliar!$B$16:$D$23,3,0)*Table1[[#This Row],[Estimação (horas)]]</f>
        <v>8</v>
      </c>
      <c r="X947" s="3"/>
    </row>
    <row r="948" spans="2:24" ht="17.399999999999999" hidden="1" customHeight="1">
      <c r="B948" s="14" t="s">
        <v>28</v>
      </c>
      <c r="C948" s="14" t="s">
        <v>178</v>
      </c>
      <c r="D948" s="14" t="s">
        <v>1198</v>
      </c>
      <c r="E948" s="3" t="s">
        <v>38</v>
      </c>
      <c r="F948" s="14" t="s">
        <v>212</v>
      </c>
      <c r="G948" s="14" t="s">
        <v>38</v>
      </c>
      <c r="H948" s="66" t="str">
        <f>Table1[[#This Row],[Tabela]]&amp;Table1[[#This Row],[Campo]]</f>
        <v>modesg_inp_emss_bens_imoveisn.a.</v>
      </c>
      <c r="I948" s="3" t="s">
        <v>477</v>
      </c>
      <c r="J948" s="48">
        <f>VLOOKUP(Table1[[#This Row],[Status]],Auxiliar!$B$16:$C$23,2,0)</f>
        <v>1</v>
      </c>
      <c r="K948" s="22" t="s">
        <v>1192</v>
      </c>
      <c r="L948" s="22" t="s">
        <v>1135</v>
      </c>
      <c r="M948" s="22" t="s">
        <v>1145</v>
      </c>
      <c r="N948" s="53">
        <v>45546</v>
      </c>
      <c r="O948" s="22">
        <f>INDEX(Auxiliar!$D$5:$F$13,MATCH(Table1[[#This Row],[Tipologia_Testes]],Auxiliar!$B$5:$B$13,0),MATCH(Table1[[#This Row],[Complexidade]],Auxiliar!$D$4:$F$4,0))</f>
        <v>0.5</v>
      </c>
      <c r="P948" s="3" t="s">
        <v>1207</v>
      </c>
      <c r="Q948" s="3"/>
      <c r="R948" s="173">
        <v>45261</v>
      </c>
      <c r="S948" s="173"/>
      <c r="T948" s="173"/>
      <c r="U948" s="173">
        <v>45534</v>
      </c>
      <c r="V948" s="173">
        <v>45534</v>
      </c>
      <c r="W948" s="3">
        <f>VLOOKUP(Table1[[#This Row],[Status]],Auxiliar!$B$16:$D$23,3,0)*Table1[[#This Row],[Estimação (horas)]]</f>
        <v>0.5</v>
      </c>
      <c r="X948" s="3"/>
    </row>
    <row r="949" spans="2:24" ht="17.399999999999999" hidden="1" customHeight="1">
      <c r="B949" s="14" t="s">
        <v>28</v>
      </c>
      <c r="C949" s="14" t="s">
        <v>178</v>
      </c>
      <c r="D949" s="14" t="s">
        <v>1198</v>
      </c>
      <c r="E949" s="3" t="s">
        <v>38</v>
      </c>
      <c r="F949" s="14" t="s">
        <v>205</v>
      </c>
      <c r="G949" s="14" t="s">
        <v>73</v>
      </c>
      <c r="H949" s="66" t="str">
        <f>Table1[[#This Row],[Tabela]]&amp;Table1[[#This Row],[Campo]]</f>
        <v>modesg_inp_emss_vclsref_date</v>
      </c>
      <c r="I949" s="3" t="s">
        <v>477</v>
      </c>
      <c r="J949" s="48">
        <f>VLOOKUP(Table1[[#This Row],[Status]],Auxiliar!$B$16:$C$23,2,0)</f>
        <v>1</v>
      </c>
      <c r="K949" s="22" t="s">
        <v>1164</v>
      </c>
      <c r="L949" s="22" t="s">
        <v>1144</v>
      </c>
      <c r="M949" s="22" t="s">
        <v>1155</v>
      </c>
      <c r="N949" s="53">
        <v>45546</v>
      </c>
      <c r="O949" s="22">
        <f>INDEX(Auxiliar!$D$5:$F$13,MATCH(Table1[[#This Row],[Tipologia_Testes]],Auxiliar!$B$5:$B$13,0),MATCH(Table1[[#This Row],[Complexidade]],Auxiliar!$D$4:$F$4,0))</f>
        <v>0.5</v>
      </c>
      <c r="P949" s="3" t="s">
        <v>1846</v>
      </c>
      <c r="Q949" s="3"/>
      <c r="R949" s="173">
        <v>45261</v>
      </c>
      <c r="S949" s="173"/>
      <c r="T949" s="173"/>
      <c r="U949" s="173">
        <v>45534</v>
      </c>
      <c r="V949" s="173">
        <v>45534</v>
      </c>
      <c r="W949" s="3">
        <f>VLOOKUP(Table1[[#This Row],[Status]],Auxiliar!$B$16:$D$23,3,0)*Table1[[#This Row],[Estimação (horas)]]</f>
        <v>0.5</v>
      </c>
      <c r="X949" s="3"/>
    </row>
    <row r="950" spans="2:24" ht="17.399999999999999" hidden="1" customHeight="1">
      <c r="B950" s="14" t="s">
        <v>28</v>
      </c>
      <c r="C950" s="14" t="s">
        <v>178</v>
      </c>
      <c r="D950" s="14" t="s">
        <v>1198</v>
      </c>
      <c r="E950" s="3" t="s">
        <v>38</v>
      </c>
      <c r="F950" s="14" t="s">
        <v>205</v>
      </c>
      <c r="G950" s="14" t="s">
        <v>213</v>
      </c>
      <c r="H950" s="66" t="str">
        <f>Table1[[#This Row],[Tabela]]&amp;Table1[[#This Row],[Campo]]</f>
        <v>modesg_inp_emss_vclsnome_regiao</v>
      </c>
      <c r="I950" s="3" t="s">
        <v>477</v>
      </c>
      <c r="J950" s="48">
        <f>VLOOKUP(Table1[[#This Row],[Status]],Auxiliar!$B$16:$C$23,2,0)</f>
        <v>1</v>
      </c>
      <c r="K950" s="22" t="s">
        <v>1141</v>
      </c>
      <c r="L950" s="22" t="s">
        <v>1135</v>
      </c>
      <c r="M950" s="22" t="s">
        <v>1155</v>
      </c>
      <c r="N950" s="53">
        <v>45546</v>
      </c>
      <c r="O950" s="22">
        <f>INDEX(Auxiliar!$D$5:$F$13,MATCH(Table1[[#This Row],[Tipologia_Testes]],Auxiliar!$B$5:$B$13,0),MATCH(Table1[[#This Row],[Complexidade]],Auxiliar!$D$4:$F$4,0))</f>
        <v>0.1</v>
      </c>
      <c r="P950" s="3" t="s">
        <v>1851</v>
      </c>
      <c r="Q950" s="3"/>
      <c r="R950" s="173">
        <v>45261</v>
      </c>
      <c r="S950" s="173"/>
      <c r="T950" s="173"/>
      <c r="U950" s="173">
        <v>45534</v>
      </c>
      <c r="V950" s="173">
        <v>45534</v>
      </c>
      <c r="W950" s="3">
        <f>VLOOKUP(Table1[[#This Row],[Status]],Auxiliar!$B$16:$D$23,3,0)*Table1[[#This Row],[Estimação (horas)]]</f>
        <v>0.1</v>
      </c>
      <c r="X950" s="3"/>
    </row>
    <row r="951" spans="2:24" ht="69.599999999999994" hidden="1" customHeight="1">
      <c r="B951" s="14" t="s">
        <v>28</v>
      </c>
      <c r="C951" s="14" t="s">
        <v>178</v>
      </c>
      <c r="D951" s="14" t="s">
        <v>1198</v>
      </c>
      <c r="E951" s="3" t="s">
        <v>38</v>
      </c>
      <c r="F951" s="14" t="s">
        <v>205</v>
      </c>
      <c r="G951" s="14" t="s">
        <v>213</v>
      </c>
      <c r="H951" s="66" t="str">
        <f>Table1[[#This Row],[Tabela]]&amp;Table1[[#This Row],[Campo]]</f>
        <v>modesg_inp_emss_vclsnome_regiao</v>
      </c>
      <c r="I951" s="3" t="s">
        <v>477</v>
      </c>
      <c r="J951" s="48">
        <f>VLOOKUP(Table1[[#This Row],[Status]],Auxiliar!$B$16:$C$23,2,0)</f>
        <v>1</v>
      </c>
      <c r="K951" s="22" t="s">
        <v>1164</v>
      </c>
      <c r="L951" s="22" t="s">
        <v>1135</v>
      </c>
      <c r="M951" s="22" t="s">
        <v>1155</v>
      </c>
      <c r="N951" s="53">
        <v>45546</v>
      </c>
      <c r="O951" s="22">
        <f>INDEX(Auxiliar!$D$5:$F$13,MATCH(Table1[[#This Row],[Tipologia_Testes]],Auxiliar!$B$5:$B$13,0),MATCH(Table1[[#This Row],[Complexidade]],Auxiliar!$D$4:$F$4,0))</f>
        <v>0.5</v>
      </c>
      <c r="P951" s="24" t="s">
        <v>1847</v>
      </c>
      <c r="Q951" s="3"/>
      <c r="R951" s="173">
        <v>45261</v>
      </c>
      <c r="S951" s="173"/>
      <c r="T951" s="173"/>
      <c r="U951" s="173">
        <v>45534</v>
      </c>
      <c r="V951" s="173">
        <v>45534</v>
      </c>
      <c r="W951" s="3">
        <f>VLOOKUP(Table1[[#This Row],[Status]],Auxiliar!$B$16:$D$23,3,0)*Table1[[#This Row],[Estimação (horas)]]</f>
        <v>0.5</v>
      </c>
      <c r="X951" s="3"/>
    </row>
    <row r="952" spans="2:24" ht="17.399999999999999" hidden="1" customHeight="1">
      <c r="B952" s="14" t="s">
        <v>28</v>
      </c>
      <c r="C952" s="14" t="s">
        <v>178</v>
      </c>
      <c r="D952" s="14" t="s">
        <v>1198</v>
      </c>
      <c r="E952" s="3" t="s">
        <v>38</v>
      </c>
      <c r="F952" s="14" t="s">
        <v>205</v>
      </c>
      <c r="G952" s="14" t="s">
        <v>214</v>
      </c>
      <c r="H952" s="66" t="str">
        <f>Table1[[#This Row],[Tabela]]&amp;Table1[[#This Row],[Campo]]</f>
        <v>modesg_inp_emss_vclsnome_pais</v>
      </c>
      <c r="I952" s="3" t="s">
        <v>477</v>
      </c>
      <c r="J952" s="48">
        <f>VLOOKUP(Table1[[#This Row],[Status]],Auxiliar!$B$16:$C$23,2,0)</f>
        <v>1</v>
      </c>
      <c r="K952" s="22" t="s">
        <v>1141</v>
      </c>
      <c r="L952" s="3" t="s">
        <v>1135</v>
      </c>
      <c r="M952" s="22" t="s">
        <v>1155</v>
      </c>
      <c r="N952" s="53">
        <v>45546</v>
      </c>
      <c r="O952" s="22">
        <f>INDEX(Auxiliar!$D$5:$F$13,MATCH(Table1[[#This Row],[Tipologia_Testes]],Auxiliar!$B$5:$B$13,0),MATCH(Table1[[#This Row],[Complexidade]],Auxiliar!$D$4:$F$4,0))</f>
        <v>0.1</v>
      </c>
      <c r="P952" s="3" t="s">
        <v>1851</v>
      </c>
      <c r="Q952" s="3"/>
      <c r="R952" s="173">
        <v>45261</v>
      </c>
      <c r="S952" s="173"/>
      <c r="T952" s="173"/>
      <c r="U952" s="173">
        <v>45534</v>
      </c>
      <c r="V952" s="173">
        <v>45534</v>
      </c>
      <c r="W952" s="3">
        <f>VLOOKUP(Table1[[#This Row],[Status]],Auxiliar!$B$16:$D$23,3,0)*Table1[[#This Row],[Estimação (horas)]]</f>
        <v>0.1</v>
      </c>
      <c r="X952" s="3"/>
    </row>
    <row r="953" spans="2:24" ht="69.599999999999994" hidden="1" customHeight="1">
      <c r="B953" s="14" t="s">
        <v>28</v>
      </c>
      <c r="C953" s="14" t="s">
        <v>178</v>
      </c>
      <c r="D953" s="14" t="s">
        <v>1198</v>
      </c>
      <c r="E953" s="3" t="s">
        <v>38</v>
      </c>
      <c r="F953" s="14" t="s">
        <v>205</v>
      </c>
      <c r="G953" s="14" t="s">
        <v>214</v>
      </c>
      <c r="H953" s="66" t="str">
        <f>Table1[[#This Row],[Tabela]]&amp;Table1[[#This Row],[Campo]]</f>
        <v>modesg_inp_emss_vclsnome_pais</v>
      </c>
      <c r="I953" s="3" t="s">
        <v>477</v>
      </c>
      <c r="J953" s="48">
        <f>VLOOKUP(Table1[[#This Row],[Status]],Auxiliar!$B$16:$C$23,2,0)</f>
        <v>1</v>
      </c>
      <c r="K953" s="22" t="s">
        <v>1164</v>
      </c>
      <c r="L953" s="3" t="s">
        <v>1135</v>
      </c>
      <c r="M953" s="22" t="s">
        <v>1155</v>
      </c>
      <c r="N953" s="53">
        <v>45546</v>
      </c>
      <c r="O953" s="22">
        <f>INDEX(Auxiliar!$D$5:$F$13,MATCH(Table1[[#This Row],[Tipologia_Testes]],Auxiliar!$B$5:$B$13,0),MATCH(Table1[[#This Row],[Complexidade]],Auxiliar!$D$4:$F$4,0))</f>
        <v>0.5</v>
      </c>
      <c r="P953" s="24" t="s">
        <v>1847</v>
      </c>
      <c r="Q953" s="3"/>
      <c r="R953" s="173">
        <v>45261</v>
      </c>
      <c r="S953" s="173"/>
      <c r="T953" s="173"/>
      <c r="U953" s="173">
        <v>45534</v>
      </c>
      <c r="V953" s="173">
        <v>45534</v>
      </c>
      <c r="W953" s="3">
        <f>VLOOKUP(Table1[[#This Row],[Status]],Auxiliar!$B$16:$D$23,3,0)*Table1[[#This Row],[Estimação (horas)]]</f>
        <v>0.5</v>
      </c>
      <c r="X953" s="3"/>
    </row>
    <row r="954" spans="2:24" ht="17.399999999999999" hidden="1" customHeight="1">
      <c r="B954" s="14" t="s">
        <v>28</v>
      </c>
      <c r="C954" s="14" t="s">
        <v>178</v>
      </c>
      <c r="D954" s="14" t="s">
        <v>1198</v>
      </c>
      <c r="E954" s="3" t="s">
        <v>38</v>
      </c>
      <c r="F954" s="14" t="s">
        <v>205</v>
      </c>
      <c r="G954" s="14" t="s">
        <v>215</v>
      </c>
      <c r="H954" s="66" t="str">
        <f>Table1[[#This Row],[Tabela]]&amp;Table1[[#This Row],[Campo]]</f>
        <v>modesg_inp_emss_vclsnome_estado</v>
      </c>
      <c r="I954" s="3" t="s">
        <v>477</v>
      </c>
      <c r="J954" s="48">
        <f>VLOOKUP(Table1[[#This Row],[Status]],Auxiliar!$B$16:$C$23,2,0)</f>
        <v>1</v>
      </c>
      <c r="K954" s="22" t="s">
        <v>1164</v>
      </c>
      <c r="L954" s="22" t="s">
        <v>1144</v>
      </c>
      <c r="M954" s="22" t="s">
        <v>1155</v>
      </c>
      <c r="N954" s="53">
        <v>45546</v>
      </c>
      <c r="O954" s="22">
        <f>INDEX(Auxiliar!$D$5:$F$13,MATCH(Table1[[#This Row],[Tipologia_Testes]],Auxiliar!$B$5:$B$13,0),MATCH(Table1[[#This Row],[Complexidade]],Auxiliar!$D$4:$F$4,0))</f>
        <v>0.5</v>
      </c>
      <c r="P954" s="3" t="s">
        <v>1846</v>
      </c>
      <c r="Q954" s="3"/>
      <c r="R954" s="173">
        <v>45261</v>
      </c>
      <c r="S954" s="173"/>
      <c r="T954" s="173"/>
      <c r="U954" s="173">
        <v>45534</v>
      </c>
      <c r="V954" s="173">
        <v>45534</v>
      </c>
      <c r="W954" s="3">
        <f>VLOOKUP(Table1[[#This Row],[Status]],Auxiliar!$B$16:$D$23,3,0)*Table1[[#This Row],[Estimação (horas)]]</f>
        <v>0.5</v>
      </c>
      <c r="X954" s="3"/>
    </row>
    <row r="955" spans="2:24" ht="17.399999999999999" hidden="1" customHeight="1">
      <c r="B955" s="14" t="s">
        <v>28</v>
      </c>
      <c r="C955" s="14" t="s">
        <v>178</v>
      </c>
      <c r="D955" s="14" t="s">
        <v>1198</v>
      </c>
      <c r="E955" s="3" t="s">
        <v>38</v>
      </c>
      <c r="F955" s="14" t="s">
        <v>205</v>
      </c>
      <c r="G955" s="14" t="s">
        <v>216</v>
      </c>
      <c r="H955" s="66" t="str">
        <f>Table1[[#This Row],[Tabela]]&amp;Table1[[#This Row],[Campo]]</f>
        <v>modesg_inp_emss_vclstipo_veiculo</v>
      </c>
      <c r="I955" s="3" t="s">
        <v>477</v>
      </c>
      <c r="J955" s="48">
        <f>VLOOKUP(Table1[[#This Row],[Status]],Auxiliar!$B$16:$C$23,2,0)</f>
        <v>1</v>
      </c>
      <c r="K955" s="22" t="s">
        <v>1141</v>
      </c>
      <c r="L955" s="22" t="s">
        <v>1144</v>
      </c>
      <c r="M955" s="22" t="s">
        <v>1155</v>
      </c>
      <c r="N955" s="53">
        <v>45546</v>
      </c>
      <c r="O955" s="22">
        <f>INDEX(Auxiliar!$D$5:$F$13,MATCH(Table1[[#This Row],[Tipologia_Testes]],Auxiliar!$B$5:$B$13,0),MATCH(Table1[[#This Row],[Complexidade]],Auxiliar!$D$4:$F$4,0))</f>
        <v>0.1</v>
      </c>
      <c r="P955" s="3" t="s">
        <v>1851</v>
      </c>
      <c r="Q955" s="3"/>
      <c r="R955" s="173">
        <v>45261</v>
      </c>
      <c r="S955" s="173"/>
      <c r="T955" s="173"/>
      <c r="U955" s="173">
        <v>45534</v>
      </c>
      <c r="V955" s="173">
        <v>45534</v>
      </c>
      <c r="W955" s="3">
        <f>VLOOKUP(Table1[[#This Row],[Status]],Auxiliar!$B$16:$D$23,3,0)*Table1[[#This Row],[Estimação (horas)]]</f>
        <v>0.1</v>
      </c>
      <c r="X955" s="3"/>
    </row>
    <row r="956" spans="2:24" ht="17.399999999999999" hidden="1" customHeight="1">
      <c r="B956" s="14" t="s">
        <v>28</v>
      </c>
      <c r="C956" s="14" t="s">
        <v>178</v>
      </c>
      <c r="D956" s="14" t="s">
        <v>1198</v>
      </c>
      <c r="E956" s="3" t="s">
        <v>38</v>
      </c>
      <c r="F956" s="14" t="s">
        <v>205</v>
      </c>
      <c r="G956" s="14" t="s">
        <v>216</v>
      </c>
      <c r="H956" s="66" t="str">
        <f>Table1[[#This Row],[Tabela]]&amp;Table1[[#This Row],[Campo]]</f>
        <v>modesg_inp_emss_vclstipo_veiculo</v>
      </c>
      <c r="I956" s="3" t="s">
        <v>477</v>
      </c>
      <c r="J956" s="48">
        <f>VLOOKUP(Table1[[#This Row],[Status]],Auxiliar!$B$16:$C$23,2,0)</f>
        <v>1</v>
      </c>
      <c r="K956" s="22" t="s">
        <v>1164</v>
      </c>
      <c r="L956" s="22" t="s">
        <v>1144</v>
      </c>
      <c r="M956" s="22" t="s">
        <v>1155</v>
      </c>
      <c r="N956" s="53">
        <v>45546</v>
      </c>
      <c r="O956" s="22">
        <f>INDEX(Auxiliar!$D$5:$F$13,MATCH(Table1[[#This Row],[Tipologia_Testes]],Auxiliar!$B$5:$B$13,0),MATCH(Table1[[#This Row],[Complexidade]],Auxiliar!$D$4:$F$4,0))</f>
        <v>0.5</v>
      </c>
      <c r="P956" s="3" t="s">
        <v>1846</v>
      </c>
      <c r="Q956" s="3"/>
      <c r="R956" s="173">
        <v>45261</v>
      </c>
      <c r="S956" s="173"/>
      <c r="T956" s="173"/>
      <c r="U956" s="173">
        <v>45534</v>
      </c>
      <c r="V956" s="173">
        <v>45534</v>
      </c>
      <c r="W956" s="3">
        <f>VLOOKUP(Table1[[#This Row],[Status]],Auxiliar!$B$16:$D$23,3,0)*Table1[[#This Row],[Estimação (horas)]]</f>
        <v>0.5</v>
      </c>
      <c r="X956" s="3"/>
    </row>
    <row r="957" spans="2:24" ht="17.399999999999999" hidden="1" customHeight="1">
      <c r="B957" s="14" t="s">
        <v>28</v>
      </c>
      <c r="C957" s="14" t="s">
        <v>178</v>
      </c>
      <c r="D957" s="14" t="s">
        <v>1198</v>
      </c>
      <c r="E957" s="3" t="s">
        <v>38</v>
      </c>
      <c r="F957" s="14" t="s">
        <v>205</v>
      </c>
      <c r="G957" s="14" t="s">
        <v>217</v>
      </c>
      <c r="H957" s="66" t="str">
        <f>Table1[[#This Row],[Tabela]]&amp;Table1[[#This Row],[Campo]]</f>
        <v>modesg_inp_emss_vclstipo_motor</v>
      </c>
      <c r="I957" s="3" t="s">
        <v>477</v>
      </c>
      <c r="J957" s="48">
        <f>VLOOKUP(Table1[[#This Row],[Status]],Auxiliar!$B$16:$C$23,2,0)</f>
        <v>1</v>
      </c>
      <c r="K957" s="22" t="s">
        <v>1141</v>
      </c>
      <c r="L957" s="22" t="s">
        <v>1144</v>
      </c>
      <c r="M957" s="22" t="s">
        <v>1155</v>
      </c>
      <c r="N957" s="53">
        <v>45546</v>
      </c>
      <c r="O957" s="22">
        <f>INDEX(Auxiliar!$D$5:$F$13,MATCH(Table1[[#This Row],[Tipologia_Testes]],Auxiliar!$B$5:$B$13,0),MATCH(Table1[[#This Row],[Complexidade]],Auxiliar!$D$4:$F$4,0))</f>
        <v>0.1</v>
      </c>
      <c r="P957" s="3" t="s">
        <v>1851</v>
      </c>
      <c r="Q957" s="3"/>
      <c r="R957" s="173">
        <v>45261</v>
      </c>
      <c r="S957" s="173"/>
      <c r="T957" s="173"/>
      <c r="U957" s="173">
        <v>45534</v>
      </c>
      <c r="V957" s="173">
        <v>45534</v>
      </c>
      <c r="W957" s="3">
        <f>VLOOKUP(Table1[[#This Row],[Status]],Auxiliar!$B$16:$D$23,3,0)*Table1[[#This Row],[Estimação (horas)]]</f>
        <v>0.1</v>
      </c>
      <c r="X957" s="3"/>
    </row>
    <row r="958" spans="2:24" ht="17.399999999999999" hidden="1" customHeight="1">
      <c r="B958" s="14" t="s">
        <v>28</v>
      </c>
      <c r="C958" s="14" t="s">
        <v>178</v>
      </c>
      <c r="D958" s="14" t="s">
        <v>1198</v>
      </c>
      <c r="E958" s="3" t="s">
        <v>38</v>
      </c>
      <c r="F958" s="14" t="s">
        <v>205</v>
      </c>
      <c r="G958" s="14" t="s">
        <v>217</v>
      </c>
      <c r="H958" s="66" t="str">
        <f>Table1[[#This Row],[Tabela]]&amp;Table1[[#This Row],[Campo]]</f>
        <v>modesg_inp_emss_vclstipo_motor</v>
      </c>
      <c r="I958" s="3" t="s">
        <v>477</v>
      </c>
      <c r="J958" s="48">
        <f>VLOOKUP(Table1[[#This Row],[Status]],Auxiliar!$B$16:$C$23,2,0)</f>
        <v>1</v>
      </c>
      <c r="K958" s="22" t="s">
        <v>1164</v>
      </c>
      <c r="L958" s="22" t="s">
        <v>1144</v>
      </c>
      <c r="M958" s="22" t="s">
        <v>1155</v>
      </c>
      <c r="N958" s="53">
        <v>45546</v>
      </c>
      <c r="O958" s="22">
        <f>INDEX(Auxiliar!$D$5:$F$13,MATCH(Table1[[#This Row],[Tipologia_Testes]],Auxiliar!$B$5:$B$13,0),MATCH(Table1[[#This Row],[Complexidade]],Auxiliar!$D$4:$F$4,0))</f>
        <v>0.5</v>
      </c>
      <c r="P958" s="3" t="s">
        <v>1846</v>
      </c>
      <c r="Q958" s="3"/>
      <c r="R958" s="173">
        <v>45261</v>
      </c>
      <c r="S958" s="173"/>
      <c r="T958" s="173"/>
      <c r="U958" s="173">
        <v>45534</v>
      </c>
      <c r="V958" s="173">
        <v>45534</v>
      </c>
      <c r="W958" s="3">
        <f>VLOOKUP(Table1[[#This Row],[Status]],Auxiliar!$B$16:$D$23,3,0)*Table1[[#This Row],[Estimação (horas)]]</f>
        <v>0.5</v>
      </c>
      <c r="X958" s="3"/>
    </row>
    <row r="959" spans="2:24" ht="17.399999999999999" hidden="1" customHeight="1">
      <c r="B959" s="14" t="s">
        <v>28</v>
      </c>
      <c r="C959" s="14" t="s">
        <v>178</v>
      </c>
      <c r="D959" s="14" t="s">
        <v>1198</v>
      </c>
      <c r="E959" s="3" t="s">
        <v>38</v>
      </c>
      <c r="F959" s="14" t="s">
        <v>205</v>
      </c>
      <c r="G959" s="14" t="s">
        <v>218</v>
      </c>
      <c r="H959" s="66" t="str">
        <f>Table1[[#This Row],[Tabela]]&amp;Table1[[#This Row],[Campo]]</f>
        <v>modesg_inp_emss_vclsmarca</v>
      </c>
      <c r="I959" s="3" t="s">
        <v>477</v>
      </c>
      <c r="J959" s="48">
        <f>VLOOKUP(Table1[[#This Row],[Status]],Auxiliar!$B$16:$C$23,2,0)</f>
        <v>1</v>
      </c>
      <c r="K959" s="22" t="s">
        <v>1141</v>
      </c>
      <c r="L959" s="3" t="s">
        <v>1135</v>
      </c>
      <c r="M959" s="22" t="s">
        <v>1155</v>
      </c>
      <c r="N959" s="53">
        <v>45546</v>
      </c>
      <c r="O959" s="22">
        <f>INDEX(Auxiliar!$D$5:$F$13,MATCH(Table1[[#This Row],[Tipologia_Testes]],Auxiliar!$B$5:$B$13,0),MATCH(Table1[[#This Row],[Complexidade]],Auxiliar!$D$4:$F$4,0))</f>
        <v>0.1</v>
      </c>
      <c r="P959" s="3" t="s">
        <v>1851</v>
      </c>
      <c r="Q959" s="3"/>
      <c r="R959" s="173">
        <v>45261</v>
      </c>
      <c r="S959" s="173"/>
      <c r="T959" s="173"/>
      <c r="U959" s="173">
        <v>45534</v>
      </c>
      <c r="V959" s="173">
        <v>45534</v>
      </c>
      <c r="W959" s="3">
        <f>VLOOKUP(Table1[[#This Row],[Status]],Auxiliar!$B$16:$D$23,3,0)*Table1[[#This Row],[Estimação (horas)]]</f>
        <v>0.1</v>
      </c>
      <c r="X959" s="3"/>
    </row>
    <row r="960" spans="2:24" ht="69.599999999999994" hidden="1" customHeight="1">
      <c r="B960" s="14" t="s">
        <v>28</v>
      </c>
      <c r="C960" s="14" t="s">
        <v>178</v>
      </c>
      <c r="D960" s="14" t="s">
        <v>1198</v>
      </c>
      <c r="E960" s="3" t="s">
        <v>38</v>
      </c>
      <c r="F960" s="14" t="s">
        <v>205</v>
      </c>
      <c r="G960" s="14" t="s">
        <v>218</v>
      </c>
      <c r="H960" s="66" t="str">
        <f>Table1[[#This Row],[Tabela]]&amp;Table1[[#This Row],[Campo]]</f>
        <v>modesg_inp_emss_vclsmarca</v>
      </c>
      <c r="I960" s="3" t="s">
        <v>477</v>
      </c>
      <c r="J960" s="48">
        <f>VLOOKUP(Table1[[#This Row],[Status]],Auxiliar!$B$16:$C$23,2,0)</f>
        <v>1</v>
      </c>
      <c r="K960" s="22" t="s">
        <v>1164</v>
      </c>
      <c r="L960" s="3" t="s">
        <v>1135</v>
      </c>
      <c r="M960" s="22" t="s">
        <v>1155</v>
      </c>
      <c r="N960" s="53">
        <v>45546</v>
      </c>
      <c r="O960" s="22">
        <f>INDEX(Auxiliar!$D$5:$F$13,MATCH(Table1[[#This Row],[Tipologia_Testes]],Auxiliar!$B$5:$B$13,0),MATCH(Table1[[#This Row],[Complexidade]],Auxiliar!$D$4:$F$4,0))</f>
        <v>0.5</v>
      </c>
      <c r="P960" s="24" t="s">
        <v>1847</v>
      </c>
      <c r="Q960" s="3"/>
      <c r="R960" s="173">
        <v>45261</v>
      </c>
      <c r="S960" s="173"/>
      <c r="T960" s="173"/>
      <c r="U960" s="173">
        <v>45534</v>
      </c>
      <c r="V960" s="173">
        <v>45534</v>
      </c>
      <c r="W960" s="3">
        <f>VLOOKUP(Table1[[#This Row],[Status]],Auxiliar!$B$16:$D$23,3,0)*Table1[[#This Row],[Estimação (horas)]]</f>
        <v>0.5</v>
      </c>
      <c r="X960" s="3"/>
    </row>
    <row r="961" spans="2:24" ht="17.399999999999999" hidden="1" customHeight="1">
      <c r="B961" s="14" t="s">
        <v>28</v>
      </c>
      <c r="C961" s="14" t="s">
        <v>178</v>
      </c>
      <c r="D961" s="14" t="s">
        <v>1198</v>
      </c>
      <c r="E961" s="3" t="s">
        <v>38</v>
      </c>
      <c r="F961" s="14" t="s">
        <v>205</v>
      </c>
      <c r="G961" s="14" t="s">
        <v>219</v>
      </c>
      <c r="H961" s="66" t="str">
        <f>Table1[[#This Row],[Tabela]]&amp;Table1[[#This Row],[Campo]]</f>
        <v>modesg_inp_emss_vclsmodelo</v>
      </c>
      <c r="I961" s="3" t="s">
        <v>477</v>
      </c>
      <c r="J961" s="48">
        <f>VLOOKUP(Table1[[#This Row],[Status]],Auxiliar!$B$16:$C$23,2,0)</f>
        <v>1</v>
      </c>
      <c r="K961" s="22" t="s">
        <v>1141</v>
      </c>
      <c r="L961" s="3" t="s">
        <v>1135</v>
      </c>
      <c r="M961" s="22" t="s">
        <v>1155</v>
      </c>
      <c r="N961" s="53">
        <v>45546</v>
      </c>
      <c r="O961" s="22">
        <f>INDEX(Auxiliar!$D$5:$F$13,MATCH(Table1[[#This Row],[Tipologia_Testes]],Auxiliar!$B$5:$B$13,0),MATCH(Table1[[#This Row],[Complexidade]],Auxiliar!$D$4:$F$4,0))</f>
        <v>0.1</v>
      </c>
      <c r="P961" s="3" t="s">
        <v>1851</v>
      </c>
      <c r="Q961" s="3"/>
      <c r="R961" s="173">
        <v>45261</v>
      </c>
      <c r="S961" s="173"/>
      <c r="T961" s="173"/>
      <c r="U961" s="173">
        <v>45534</v>
      </c>
      <c r="V961" s="173">
        <v>45534</v>
      </c>
      <c r="W961" s="3">
        <f>VLOOKUP(Table1[[#This Row],[Status]],Auxiliar!$B$16:$D$23,3,0)*Table1[[#This Row],[Estimação (horas)]]</f>
        <v>0.1</v>
      </c>
      <c r="X961" s="3"/>
    </row>
    <row r="962" spans="2:24" ht="69.599999999999994" hidden="1" customHeight="1">
      <c r="B962" s="14" t="s">
        <v>28</v>
      </c>
      <c r="C962" s="14" t="s">
        <v>178</v>
      </c>
      <c r="D962" s="14" t="s">
        <v>1198</v>
      </c>
      <c r="E962" s="3" t="s">
        <v>38</v>
      </c>
      <c r="F962" s="14" t="s">
        <v>205</v>
      </c>
      <c r="G962" s="14" t="s">
        <v>219</v>
      </c>
      <c r="H962" s="66" t="str">
        <f>Table1[[#This Row],[Tabela]]&amp;Table1[[#This Row],[Campo]]</f>
        <v>modesg_inp_emss_vclsmodelo</v>
      </c>
      <c r="I962" s="3" t="s">
        <v>477</v>
      </c>
      <c r="J962" s="48">
        <f>VLOOKUP(Table1[[#This Row],[Status]],Auxiliar!$B$16:$C$23,2,0)</f>
        <v>1</v>
      </c>
      <c r="K962" s="22" t="s">
        <v>1164</v>
      </c>
      <c r="L962" s="3" t="s">
        <v>1135</v>
      </c>
      <c r="M962" s="22" t="s">
        <v>1155</v>
      </c>
      <c r="N962" s="53">
        <v>45546</v>
      </c>
      <c r="O962" s="22">
        <f>INDEX(Auxiliar!$D$5:$F$13,MATCH(Table1[[#This Row],[Tipologia_Testes]],Auxiliar!$B$5:$B$13,0),MATCH(Table1[[#This Row],[Complexidade]],Auxiliar!$D$4:$F$4,0))</f>
        <v>0.5</v>
      </c>
      <c r="P962" s="24" t="s">
        <v>1847</v>
      </c>
      <c r="Q962" s="3"/>
      <c r="R962" s="173">
        <v>45261</v>
      </c>
      <c r="S962" s="173"/>
      <c r="T962" s="173"/>
      <c r="U962" s="173">
        <v>45534</v>
      </c>
      <c r="V962" s="173">
        <v>45534</v>
      </c>
      <c r="W962" s="3">
        <f>VLOOKUP(Table1[[#This Row],[Status]],Auxiliar!$B$16:$D$23,3,0)*Table1[[#This Row],[Estimação (horas)]]</f>
        <v>0.5</v>
      </c>
      <c r="X962" s="3"/>
    </row>
    <row r="963" spans="2:24" ht="17.399999999999999" hidden="1" customHeight="1">
      <c r="B963" s="14" t="s">
        <v>28</v>
      </c>
      <c r="C963" s="14" t="s">
        <v>178</v>
      </c>
      <c r="D963" s="14" t="s">
        <v>1198</v>
      </c>
      <c r="E963" s="3" t="s">
        <v>38</v>
      </c>
      <c r="F963" s="14" t="s">
        <v>205</v>
      </c>
      <c r="G963" s="14" t="s">
        <v>1839</v>
      </c>
      <c r="H963" s="66" t="str">
        <f>Table1[[#This Row],[Tabela]]&amp;Table1[[#This Row],[Campo]]</f>
        <v>modesg_inp_emss_vclssubgrupo</v>
      </c>
      <c r="I963" s="3" t="s">
        <v>477</v>
      </c>
      <c r="J963" s="48">
        <f>VLOOKUP(Table1[[#This Row],[Status]],Auxiliar!$B$16:$C$23,2,0)</f>
        <v>1</v>
      </c>
      <c r="K963" s="22" t="s">
        <v>1141</v>
      </c>
      <c r="L963" s="3" t="s">
        <v>502</v>
      </c>
      <c r="M963" s="22" t="s">
        <v>1155</v>
      </c>
      <c r="N963" s="53">
        <v>45546</v>
      </c>
      <c r="O963" s="22">
        <f>INDEX(Auxiliar!$D$5:$F$13,MATCH(Table1[[#This Row],[Tipologia_Testes]],Auxiliar!$B$5:$B$13,0),MATCH(Table1[[#This Row],[Complexidade]],Auxiliar!$D$4:$F$4,0))</f>
        <v>0.1</v>
      </c>
      <c r="P963" s="3" t="s">
        <v>1851</v>
      </c>
      <c r="Q963" s="3"/>
      <c r="R963" s="173">
        <v>45261</v>
      </c>
      <c r="S963" s="173"/>
      <c r="T963" s="173"/>
      <c r="U963" s="173">
        <v>45534</v>
      </c>
      <c r="V963" s="173">
        <v>45534</v>
      </c>
      <c r="W963" s="3">
        <f>VLOOKUP(Table1[[#This Row],[Status]],Auxiliar!$B$16:$D$23,3,0)*Table1[[#This Row],[Estimação (horas)]]</f>
        <v>0.1</v>
      </c>
      <c r="X963" s="3"/>
    </row>
    <row r="964" spans="2:24" ht="17.399999999999999" hidden="1" customHeight="1">
      <c r="B964" s="14" t="s">
        <v>28</v>
      </c>
      <c r="C964" s="14" t="s">
        <v>178</v>
      </c>
      <c r="D964" s="14" t="s">
        <v>1198</v>
      </c>
      <c r="E964" s="3" t="s">
        <v>38</v>
      </c>
      <c r="F964" s="14" t="s">
        <v>205</v>
      </c>
      <c r="G964" s="14" t="s">
        <v>1839</v>
      </c>
      <c r="H964" s="66" t="str">
        <f>Table1[[#This Row],[Tabela]]&amp;Table1[[#This Row],[Campo]]</f>
        <v>modesg_inp_emss_vclssubgrupo</v>
      </c>
      <c r="I964" s="3" t="s">
        <v>477</v>
      </c>
      <c r="J964" s="48">
        <f>VLOOKUP(Table1[[#This Row],[Status]],Auxiliar!$B$16:$C$23,2,0)</f>
        <v>1</v>
      </c>
      <c r="K964" s="22" t="s">
        <v>1164</v>
      </c>
      <c r="L964" s="3" t="s">
        <v>502</v>
      </c>
      <c r="M964" s="22" t="s">
        <v>1155</v>
      </c>
      <c r="N964" s="53">
        <v>45546</v>
      </c>
      <c r="O964" s="22">
        <f>INDEX(Auxiliar!$D$5:$F$13,MATCH(Table1[[#This Row],[Tipologia_Testes]],Auxiliar!$B$5:$B$13,0),MATCH(Table1[[#This Row],[Complexidade]],Auxiliar!$D$4:$F$4,0))</f>
        <v>0.5</v>
      </c>
      <c r="P964" s="3" t="s">
        <v>1846</v>
      </c>
      <c r="Q964" s="3"/>
      <c r="R964" s="173">
        <v>45261</v>
      </c>
      <c r="S964" s="173"/>
      <c r="T964" s="173"/>
      <c r="U964" s="173">
        <v>45534</v>
      </c>
      <c r="V964" s="173">
        <v>45534</v>
      </c>
      <c r="W964" s="3">
        <f>VLOOKUP(Table1[[#This Row],[Status]],Auxiliar!$B$16:$D$23,3,0)*Table1[[#This Row],[Estimação (horas)]]</f>
        <v>0.5</v>
      </c>
      <c r="X964" s="3"/>
    </row>
    <row r="965" spans="2:24" ht="17.399999999999999" hidden="1" customHeight="1">
      <c r="B965" s="14" t="s">
        <v>28</v>
      </c>
      <c r="C965" s="14" t="s">
        <v>178</v>
      </c>
      <c r="D965" s="14" t="s">
        <v>1198</v>
      </c>
      <c r="E965" s="3" t="s">
        <v>38</v>
      </c>
      <c r="F965" s="14" t="s">
        <v>205</v>
      </c>
      <c r="G965" s="14" t="s">
        <v>221</v>
      </c>
      <c r="H965" s="66" t="str">
        <f>Table1[[#This Row],[Tabela]]&amp;Table1[[#This Row],[Campo]]</f>
        <v>modesg_inp_emss_vclsnome_unidade_funcional</v>
      </c>
      <c r="I965" s="3" t="s">
        <v>477</v>
      </c>
      <c r="J965" s="48">
        <f>VLOOKUP(Table1[[#This Row],[Status]],Auxiliar!$B$16:$C$23,2,0)</f>
        <v>1</v>
      </c>
      <c r="K965" s="22" t="s">
        <v>1141</v>
      </c>
      <c r="L965" s="22" t="s">
        <v>1144</v>
      </c>
      <c r="M965" s="22" t="s">
        <v>1155</v>
      </c>
      <c r="N965" s="53">
        <v>45546</v>
      </c>
      <c r="O965" s="22">
        <f>INDEX(Auxiliar!$D$5:$F$13,MATCH(Table1[[#This Row],[Tipologia_Testes]],Auxiliar!$B$5:$B$13,0),MATCH(Table1[[#This Row],[Complexidade]],Auxiliar!$D$4:$F$4,0))</f>
        <v>0.1</v>
      </c>
      <c r="P965" s="3" t="s">
        <v>1851</v>
      </c>
      <c r="Q965" s="3"/>
      <c r="R965" s="173">
        <v>45261</v>
      </c>
      <c r="S965" s="173"/>
      <c r="T965" s="173"/>
      <c r="U965" s="173">
        <v>45534</v>
      </c>
      <c r="V965" s="173">
        <v>45534</v>
      </c>
      <c r="W965" s="3">
        <f>VLOOKUP(Table1[[#This Row],[Status]],Auxiliar!$B$16:$D$23,3,0)*Table1[[#This Row],[Estimação (horas)]]</f>
        <v>0.1</v>
      </c>
      <c r="X965" s="3"/>
    </row>
    <row r="966" spans="2:24" ht="17.399999999999999" hidden="1" customHeight="1">
      <c r="B966" s="14" t="s">
        <v>28</v>
      </c>
      <c r="C966" s="14" t="s">
        <v>178</v>
      </c>
      <c r="D966" s="14" t="s">
        <v>1198</v>
      </c>
      <c r="E966" s="3" t="s">
        <v>38</v>
      </c>
      <c r="F966" s="14" t="s">
        <v>205</v>
      </c>
      <c r="G966" s="14" t="s">
        <v>221</v>
      </c>
      <c r="H966" s="66" t="str">
        <f>Table1[[#This Row],[Tabela]]&amp;Table1[[#This Row],[Campo]]</f>
        <v>modesg_inp_emss_vclsnome_unidade_funcional</v>
      </c>
      <c r="I966" s="3" t="s">
        <v>477</v>
      </c>
      <c r="J966" s="48">
        <f>VLOOKUP(Table1[[#This Row],[Status]],Auxiliar!$B$16:$C$23,2,0)</f>
        <v>1</v>
      </c>
      <c r="K966" s="22" t="s">
        <v>1164</v>
      </c>
      <c r="L966" s="22" t="s">
        <v>1144</v>
      </c>
      <c r="M966" s="22" t="s">
        <v>1155</v>
      </c>
      <c r="N966" s="53">
        <v>45546</v>
      </c>
      <c r="O966" s="22">
        <f>INDEX(Auxiliar!$D$5:$F$13,MATCH(Table1[[#This Row],[Tipologia_Testes]],Auxiliar!$B$5:$B$13,0),MATCH(Table1[[#This Row],[Complexidade]],Auxiliar!$D$4:$F$4,0))</f>
        <v>0.5</v>
      </c>
      <c r="P966" s="3" t="s">
        <v>1846</v>
      </c>
      <c r="Q966" s="3"/>
      <c r="R966" s="173">
        <v>45261</v>
      </c>
      <c r="S966" s="173"/>
      <c r="T966" s="173"/>
      <c r="U966" s="173">
        <v>45534</v>
      </c>
      <c r="V966" s="173">
        <v>45534</v>
      </c>
      <c r="W966" s="3">
        <f>VLOOKUP(Table1[[#This Row],[Status]],Auxiliar!$B$16:$D$23,3,0)*Table1[[#This Row],[Estimação (horas)]]</f>
        <v>0.5</v>
      </c>
      <c r="X966" s="3"/>
    </row>
    <row r="967" spans="2:24" ht="17.399999999999999" hidden="1" customHeight="1">
      <c r="B967" s="14" t="s">
        <v>28</v>
      </c>
      <c r="C967" s="14" t="s">
        <v>178</v>
      </c>
      <c r="D967" s="14" t="s">
        <v>1198</v>
      </c>
      <c r="E967" s="3" t="s">
        <v>38</v>
      </c>
      <c r="F967" s="14" t="s">
        <v>205</v>
      </c>
      <c r="G967" s="14" t="s">
        <v>222</v>
      </c>
      <c r="H967" s="66" t="str">
        <f>Table1[[#This Row],[Tabela]]&amp;Table1[[#This Row],[Campo]]</f>
        <v>modesg_inp_emss_vclsunidade_funcional</v>
      </c>
      <c r="I967" s="3" t="s">
        <v>477</v>
      </c>
      <c r="J967" s="48">
        <f>VLOOKUP(Table1[[#This Row],[Status]],Auxiliar!$B$16:$C$23,2,0)</f>
        <v>1</v>
      </c>
      <c r="K967" s="22" t="s">
        <v>1141</v>
      </c>
      <c r="L967" s="22" t="s">
        <v>1144</v>
      </c>
      <c r="M967" s="22" t="s">
        <v>1155</v>
      </c>
      <c r="N967" s="53">
        <v>45546</v>
      </c>
      <c r="O967" s="22">
        <f>INDEX(Auxiliar!$D$5:$F$13,MATCH(Table1[[#This Row],[Tipologia_Testes]],Auxiliar!$B$5:$B$13,0),MATCH(Table1[[#This Row],[Complexidade]],Auxiliar!$D$4:$F$4,0))</f>
        <v>0.1</v>
      </c>
      <c r="P967" s="3" t="s">
        <v>1851</v>
      </c>
      <c r="Q967" s="3"/>
      <c r="R967" s="173">
        <v>45261</v>
      </c>
      <c r="S967" s="173"/>
      <c r="T967" s="173"/>
      <c r="U967" s="173">
        <v>45534</v>
      </c>
      <c r="V967" s="173">
        <v>45534</v>
      </c>
      <c r="W967" s="3">
        <f>VLOOKUP(Table1[[#This Row],[Status]],Auxiliar!$B$16:$D$23,3,0)*Table1[[#This Row],[Estimação (horas)]]</f>
        <v>0.1</v>
      </c>
      <c r="X967" s="3"/>
    </row>
    <row r="968" spans="2:24" ht="17.399999999999999" hidden="1" customHeight="1">
      <c r="B968" s="14" t="s">
        <v>28</v>
      </c>
      <c r="C968" s="14" t="s">
        <v>178</v>
      </c>
      <c r="D968" s="14" t="s">
        <v>1198</v>
      </c>
      <c r="E968" s="3" t="s">
        <v>38</v>
      </c>
      <c r="F968" s="14" t="s">
        <v>205</v>
      </c>
      <c r="G968" s="14" t="s">
        <v>222</v>
      </c>
      <c r="H968" s="66" t="str">
        <f>Table1[[#This Row],[Tabela]]&amp;Table1[[#This Row],[Campo]]</f>
        <v>modesg_inp_emss_vclsunidade_funcional</v>
      </c>
      <c r="I968" s="3" t="s">
        <v>477</v>
      </c>
      <c r="J968" s="48">
        <f>VLOOKUP(Table1[[#This Row],[Status]],Auxiliar!$B$16:$C$23,2,0)</f>
        <v>1</v>
      </c>
      <c r="K968" s="22" t="s">
        <v>1164</v>
      </c>
      <c r="L968" s="22" t="s">
        <v>1144</v>
      </c>
      <c r="M968" s="22" t="s">
        <v>1155</v>
      </c>
      <c r="N968" s="53">
        <v>45546</v>
      </c>
      <c r="O968" s="22">
        <f>INDEX(Auxiliar!$D$5:$F$13,MATCH(Table1[[#This Row],[Tipologia_Testes]],Auxiliar!$B$5:$B$13,0),MATCH(Table1[[#This Row],[Complexidade]],Auxiliar!$D$4:$F$4,0))</f>
        <v>0.5</v>
      </c>
      <c r="P968" s="3" t="s">
        <v>1846</v>
      </c>
      <c r="Q968" s="3"/>
      <c r="R968" s="173">
        <v>45261</v>
      </c>
      <c r="S968" s="173"/>
      <c r="T968" s="173"/>
      <c r="U968" s="173">
        <v>45534</v>
      </c>
      <c r="V968" s="173">
        <v>45534</v>
      </c>
      <c r="W968" s="3">
        <f>VLOOKUP(Table1[[#This Row],[Status]],Auxiliar!$B$16:$D$23,3,0)*Table1[[#This Row],[Estimação (horas)]]</f>
        <v>0.5</v>
      </c>
      <c r="X968" s="3"/>
    </row>
    <row r="969" spans="2:24" ht="17.399999999999999" hidden="1" customHeight="1">
      <c r="B969" s="14" t="s">
        <v>28</v>
      </c>
      <c r="C969" s="14" t="s">
        <v>178</v>
      </c>
      <c r="D969" s="14" t="s">
        <v>1198</v>
      </c>
      <c r="E969" s="3" t="s">
        <v>38</v>
      </c>
      <c r="F969" s="14" t="s">
        <v>205</v>
      </c>
      <c r="G969" s="14" t="s">
        <v>223</v>
      </c>
      <c r="H969" s="66" t="str">
        <f>Table1[[#This Row],[Tabela]]&amp;Table1[[#This Row],[Campo]]</f>
        <v>modesg_inp_emss_vclsnome_fator_emissao</v>
      </c>
      <c r="I969" s="3" t="s">
        <v>477</v>
      </c>
      <c r="J969" s="48">
        <f>VLOOKUP(Table1[[#This Row],[Status]],Auxiliar!$B$16:$C$23,2,0)</f>
        <v>1</v>
      </c>
      <c r="K969" s="22" t="s">
        <v>1141</v>
      </c>
      <c r="L969" s="22" t="s">
        <v>1144</v>
      </c>
      <c r="M969" s="22" t="s">
        <v>1155</v>
      </c>
      <c r="N969" s="53">
        <v>45546</v>
      </c>
      <c r="O969" s="22">
        <f>INDEX(Auxiliar!$D$5:$F$13,MATCH(Table1[[#This Row],[Tipologia_Testes]],Auxiliar!$B$5:$B$13,0),MATCH(Table1[[#This Row],[Complexidade]],Auxiliar!$D$4:$F$4,0))</f>
        <v>0.1</v>
      </c>
      <c r="P969" s="3" t="s">
        <v>1851</v>
      </c>
      <c r="Q969" s="3"/>
      <c r="R969" s="173">
        <v>45261</v>
      </c>
      <c r="S969" s="173"/>
      <c r="T969" s="173"/>
      <c r="U969" s="173">
        <v>45534</v>
      </c>
      <c r="V969" s="173">
        <v>45534</v>
      </c>
      <c r="W969" s="3">
        <f>VLOOKUP(Table1[[#This Row],[Status]],Auxiliar!$B$16:$D$23,3,0)*Table1[[#This Row],[Estimação (horas)]]</f>
        <v>0.1</v>
      </c>
      <c r="X969" s="3"/>
    </row>
    <row r="970" spans="2:24" ht="17.399999999999999" hidden="1" customHeight="1">
      <c r="B970" s="14" t="s">
        <v>28</v>
      </c>
      <c r="C970" s="14" t="s">
        <v>178</v>
      </c>
      <c r="D970" s="14" t="s">
        <v>1198</v>
      </c>
      <c r="E970" s="3" t="s">
        <v>38</v>
      </c>
      <c r="F970" s="14" t="s">
        <v>205</v>
      </c>
      <c r="G970" s="14" t="s">
        <v>223</v>
      </c>
      <c r="H970" s="66" t="str">
        <f>Table1[[#This Row],[Tabela]]&amp;Table1[[#This Row],[Campo]]</f>
        <v>modesg_inp_emss_vclsnome_fator_emissao</v>
      </c>
      <c r="I970" s="3" t="s">
        <v>477</v>
      </c>
      <c r="J970" s="48">
        <f>VLOOKUP(Table1[[#This Row],[Status]],Auxiliar!$B$16:$C$23,2,0)</f>
        <v>1</v>
      </c>
      <c r="K970" s="22" t="s">
        <v>1164</v>
      </c>
      <c r="L970" s="22" t="s">
        <v>1144</v>
      </c>
      <c r="M970" s="22" t="s">
        <v>1155</v>
      </c>
      <c r="N970" s="53">
        <v>45546</v>
      </c>
      <c r="O970" s="22">
        <f>INDEX(Auxiliar!$D$5:$F$13,MATCH(Table1[[#This Row],[Tipologia_Testes]],Auxiliar!$B$5:$B$13,0),MATCH(Table1[[#This Row],[Complexidade]],Auxiliar!$D$4:$F$4,0))</f>
        <v>0.5</v>
      </c>
      <c r="P970" s="3" t="s">
        <v>1846</v>
      </c>
      <c r="Q970" s="3"/>
      <c r="R970" s="173">
        <v>45261</v>
      </c>
      <c r="S970" s="173"/>
      <c r="T970" s="173"/>
      <c r="U970" s="173">
        <v>45534</v>
      </c>
      <c r="V970" s="173">
        <v>45534</v>
      </c>
      <c r="W970" s="3">
        <f>VLOOKUP(Table1[[#This Row],[Status]],Auxiliar!$B$16:$D$23,3,0)*Table1[[#This Row],[Estimação (horas)]]</f>
        <v>0.5</v>
      </c>
      <c r="X970" s="3"/>
    </row>
    <row r="971" spans="2:24" ht="17.399999999999999" hidden="1" customHeight="1">
      <c r="B971" s="14" t="s">
        <v>28</v>
      </c>
      <c r="C971" s="14" t="s">
        <v>178</v>
      </c>
      <c r="D971" s="14" t="s">
        <v>1198</v>
      </c>
      <c r="E971" s="3" t="s">
        <v>38</v>
      </c>
      <c r="F971" s="14" t="s">
        <v>205</v>
      </c>
      <c r="G971" s="14" t="s">
        <v>224</v>
      </c>
      <c r="H971" s="66" t="str">
        <f>Table1[[#This Row],[Tabela]]&amp;Table1[[#This Row],[Campo]]</f>
        <v>modesg_inp_emss_vclsunidade_fator_de_emissao</v>
      </c>
      <c r="I971" s="3" t="s">
        <v>477</v>
      </c>
      <c r="J971" s="48">
        <f>VLOOKUP(Table1[[#This Row],[Status]],Auxiliar!$B$16:$C$23,2,0)</f>
        <v>1</v>
      </c>
      <c r="K971" s="22" t="s">
        <v>1141</v>
      </c>
      <c r="L971" s="22" t="s">
        <v>1144</v>
      </c>
      <c r="M971" s="22" t="s">
        <v>1155</v>
      </c>
      <c r="N971" s="53">
        <v>45546</v>
      </c>
      <c r="O971" s="22">
        <f>INDEX(Auxiliar!$D$5:$F$13,MATCH(Table1[[#This Row],[Tipologia_Testes]],Auxiliar!$B$5:$B$13,0),MATCH(Table1[[#This Row],[Complexidade]],Auxiliar!$D$4:$F$4,0))</f>
        <v>0.1</v>
      </c>
      <c r="P971" s="3" t="s">
        <v>1851</v>
      </c>
      <c r="Q971" s="3"/>
      <c r="R971" s="173">
        <v>45261</v>
      </c>
      <c r="S971" s="173"/>
      <c r="T971" s="173"/>
      <c r="U971" s="173">
        <v>45534</v>
      </c>
      <c r="V971" s="173">
        <v>45534</v>
      </c>
      <c r="W971" s="3">
        <f>VLOOKUP(Table1[[#This Row],[Status]],Auxiliar!$B$16:$D$23,3,0)*Table1[[#This Row],[Estimação (horas)]]</f>
        <v>0.1</v>
      </c>
      <c r="X971" s="3"/>
    </row>
    <row r="972" spans="2:24" ht="17.399999999999999" hidden="1" customHeight="1">
      <c r="B972" s="14" t="s">
        <v>28</v>
      </c>
      <c r="C972" s="14" t="s">
        <v>178</v>
      </c>
      <c r="D972" s="14" t="s">
        <v>1198</v>
      </c>
      <c r="E972" s="3" t="s">
        <v>38</v>
      </c>
      <c r="F972" s="14" t="s">
        <v>205</v>
      </c>
      <c r="G972" s="14" t="s">
        <v>224</v>
      </c>
      <c r="H972" s="66" t="str">
        <f>Table1[[#This Row],[Tabela]]&amp;Table1[[#This Row],[Campo]]</f>
        <v>modesg_inp_emss_vclsunidade_fator_de_emissao</v>
      </c>
      <c r="I972" s="3" t="s">
        <v>477</v>
      </c>
      <c r="J972" s="48">
        <f>VLOOKUP(Table1[[#This Row],[Status]],Auxiliar!$B$16:$C$23,2,0)</f>
        <v>1</v>
      </c>
      <c r="K972" s="22" t="s">
        <v>1164</v>
      </c>
      <c r="L972" s="22" t="s">
        <v>1144</v>
      </c>
      <c r="M972" s="22" t="s">
        <v>1155</v>
      </c>
      <c r="N972" s="53">
        <v>45546</v>
      </c>
      <c r="O972" s="22">
        <f>INDEX(Auxiliar!$D$5:$F$13,MATCH(Table1[[#This Row],[Tipologia_Testes]],Auxiliar!$B$5:$B$13,0),MATCH(Table1[[#This Row],[Complexidade]],Auxiliar!$D$4:$F$4,0))</f>
        <v>0.5</v>
      </c>
      <c r="P972" s="3" t="s">
        <v>1846</v>
      </c>
      <c r="Q972" s="3"/>
      <c r="R972" s="173">
        <v>45261</v>
      </c>
      <c r="S972" s="173"/>
      <c r="T972" s="173"/>
      <c r="U972" s="173">
        <v>45534</v>
      </c>
      <c r="V972" s="173">
        <v>45534</v>
      </c>
      <c r="W972" s="3">
        <f>VLOOKUP(Table1[[#This Row],[Status]],Auxiliar!$B$16:$D$23,3,0)*Table1[[#This Row],[Estimação (horas)]]</f>
        <v>0.5</v>
      </c>
      <c r="X972" s="3"/>
    </row>
    <row r="973" spans="2:24" ht="17.399999999999999" hidden="1" customHeight="1">
      <c r="B973" s="14" t="s">
        <v>28</v>
      </c>
      <c r="C973" s="14" t="s">
        <v>178</v>
      </c>
      <c r="D973" s="14" t="s">
        <v>1198</v>
      </c>
      <c r="E973" s="3" t="s">
        <v>38</v>
      </c>
      <c r="F973" s="14" t="s">
        <v>205</v>
      </c>
      <c r="G973" s="14" t="s">
        <v>50</v>
      </c>
      <c r="H973" s="66" t="str">
        <f>Table1[[#This Row],[Tabela]]&amp;Table1[[#This Row],[Campo]]</f>
        <v>modesg_inp_emss_vclsscore_qualidade</v>
      </c>
      <c r="I973" s="3" t="s">
        <v>477</v>
      </c>
      <c r="J973" s="48">
        <f>VLOOKUP(Table1[[#This Row],[Status]],Auxiliar!$B$16:$C$23,2,0)</f>
        <v>1</v>
      </c>
      <c r="K973" s="22" t="s">
        <v>1141</v>
      </c>
      <c r="L973" s="3" t="s">
        <v>1135</v>
      </c>
      <c r="M973" s="22" t="s">
        <v>1155</v>
      </c>
      <c r="N973" s="53">
        <v>45546</v>
      </c>
      <c r="O973" s="22">
        <f>INDEX(Auxiliar!$D$5:$F$13,MATCH(Table1[[#This Row],[Tipologia_Testes]],Auxiliar!$B$5:$B$13,0),MATCH(Table1[[#This Row],[Complexidade]],Auxiliar!$D$4:$F$4,0))</f>
        <v>0.1</v>
      </c>
      <c r="P973" s="3" t="s">
        <v>1851</v>
      </c>
      <c r="Q973" s="3"/>
      <c r="R973" s="173">
        <v>45261</v>
      </c>
      <c r="S973" s="173"/>
      <c r="T973" s="173"/>
      <c r="U973" s="173">
        <v>45534</v>
      </c>
      <c r="V973" s="173">
        <v>45534</v>
      </c>
      <c r="W973" s="3">
        <f>VLOOKUP(Table1[[#This Row],[Status]],Auxiliar!$B$16:$D$23,3,0)*Table1[[#This Row],[Estimação (horas)]]</f>
        <v>0.1</v>
      </c>
      <c r="X973" s="3"/>
    </row>
    <row r="974" spans="2:24" ht="69.599999999999994" hidden="1" customHeight="1">
      <c r="B974" s="14" t="s">
        <v>28</v>
      </c>
      <c r="C974" s="14" t="s">
        <v>178</v>
      </c>
      <c r="D974" s="14" t="s">
        <v>1198</v>
      </c>
      <c r="E974" s="3" t="s">
        <v>38</v>
      </c>
      <c r="F974" s="14" t="s">
        <v>205</v>
      </c>
      <c r="G974" s="14" t="s">
        <v>50</v>
      </c>
      <c r="H974" s="66" t="str">
        <f>Table1[[#This Row],[Tabela]]&amp;Table1[[#This Row],[Campo]]</f>
        <v>modesg_inp_emss_vclsscore_qualidade</v>
      </c>
      <c r="I974" s="3" t="s">
        <v>477</v>
      </c>
      <c r="J974" s="48">
        <f>VLOOKUP(Table1[[#This Row],[Status]],Auxiliar!$B$16:$C$23,2,0)</f>
        <v>1</v>
      </c>
      <c r="K974" s="22" t="s">
        <v>1164</v>
      </c>
      <c r="L974" s="3" t="s">
        <v>1135</v>
      </c>
      <c r="M974" s="22" t="s">
        <v>1155</v>
      </c>
      <c r="N974" s="53">
        <v>45546</v>
      </c>
      <c r="O974" s="22">
        <f>INDEX(Auxiliar!$D$5:$F$13,MATCH(Table1[[#This Row],[Tipologia_Testes]],Auxiliar!$B$5:$B$13,0),MATCH(Table1[[#This Row],[Complexidade]],Auxiliar!$D$4:$F$4,0))</f>
        <v>0.5</v>
      </c>
      <c r="P974" s="24" t="s">
        <v>1847</v>
      </c>
      <c r="Q974" s="3"/>
      <c r="R974" s="173">
        <v>45261</v>
      </c>
      <c r="S974" s="173"/>
      <c r="T974" s="173"/>
      <c r="U974" s="173">
        <v>45534</v>
      </c>
      <c r="V974" s="173">
        <v>45534</v>
      </c>
      <c r="W974" s="3">
        <f>VLOOKUP(Table1[[#This Row],[Status]],Auxiliar!$B$16:$D$23,3,0)*Table1[[#This Row],[Estimação (horas)]]</f>
        <v>0.5</v>
      </c>
      <c r="X974" s="3"/>
    </row>
    <row r="975" spans="2:24" ht="17.399999999999999" hidden="1" customHeight="1">
      <c r="B975" s="14" t="s">
        <v>28</v>
      </c>
      <c r="C975" s="14" t="s">
        <v>178</v>
      </c>
      <c r="D975" s="14" t="s">
        <v>1198</v>
      </c>
      <c r="E975" s="3" t="s">
        <v>38</v>
      </c>
      <c r="F975" s="14" t="s">
        <v>205</v>
      </c>
      <c r="G975" s="14" t="s">
        <v>225</v>
      </c>
      <c r="H975" s="66" t="str">
        <f>Table1[[#This Row],[Tabela]]&amp;Table1[[#This Row],[Campo]]</f>
        <v>modesg_inp_emss_vclsscp1_ftr_emss</v>
      </c>
      <c r="I975" s="3" t="s">
        <v>477</v>
      </c>
      <c r="J975" s="48">
        <f>VLOOKUP(Table1[[#This Row],[Status]],Auxiliar!$B$16:$C$23,2,0)</f>
        <v>1</v>
      </c>
      <c r="K975" s="22" t="s">
        <v>1141</v>
      </c>
      <c r="L975" s="3" t="s">
        <v>1135</v>
      </c>
      <c r="M975" s="22" t="s">
        <v>1155</v>
      </c>
      <c r="N975" s="53">
        <v>45546</v>
      </c>
      <c r="O975" s="22">
        <f>INDEX(Auxiliar!$D$5:$F$13,MATCH(Table1[[#This Row],[Tipologia_Testes]],Auxiliar!$B$5:$B$13,0),MATCH(Table1[[#This Row],[Complexidade]],Auxiliar!$D$4:$F$4,0))</f>
        <v>0.1</v>
      </c>
      <c r="P975" s="3" t="s">
        <v>1849</v>
      </c>
      <c r="Q975" s="3"/>
      <c r="R975" s="173">
        <v>45261</v>
      </c>
      <c r="S975" s="173"/>
      <c r="T975" s="173"/>
      <c r="U975" s="173">
        <v>45534</v>
      </c>
      <c r="V975" s="173">
        <v>45534</v>
      </c>
      <c r="W975" s="3">
        <f>VLOOKUP(Table1[[#This Row],[Status]],Auxiliar!$B$16:$D$23,3,0)*Table1[[#This Row],[Estimação (horas)]]</f>
        <v>0.1</v>
      </c>
      <c r="X975" s="3"/>
    </row>
    <row r="976" spans="2:24" ht="69.599999999999994" hidden="1" customHeight="1">
      <c r="B976" s="14" t="s">
        <v>28</v>
      </c>
      <c r="C976" s="14" t="s">
        <v>178</v>
      </c>
      <c r="D976" s="14" t="s">
        <v>1198</v>
      </c>
      <c r="E976" s="3" t="s">
        <v>38</v>
      </c>
      <c r="F976" s="14" t="s">
        <v>205</v>
      </c>
      <c r="G976" s="14" t="s">
        <v>225</v>
      </c>
      <c r="H976" s="66" t="str">
        <f>Table1[[#This Row],[Tabela]]&amp;Table1[[#This Row],[Campo]]</f>
        <v>modesg_inp_emss_vclsscp1_ftr_emss</v>
      </c>
      <c r="I976" s="3" t="s">
        <v>477</v>
      </c>
      <c r="J976" s="48">
        <f>VLOOKUP(Table1[[#This Row],[Status]],Auxiliar!$B$16:$C$23,2,0)</f>
        <v>1</v>
      </c>
      <c r="K976" s="22" t="s">
        <v>1164</v>
      </c>
      <c r="L976" s="3" t="s">
        <v>1135</v>
      </c>
      <c r="M976" s="22" t="s">
        <v>1155</v>
      </c>
      <c r="N976" s="53">
        <v>45546</v>
      </c>
      <c r="O976" s="22">
        <f>INDEX(Auxiliar!$D$5:$F$13,MATCH(Table1[[#This Row],[Tipologia_Testes]],Auxiliar!$B$5:$B$13,0),MATCH(Table1[[#This Row],[Complexidade]],Auxiliar!$D$4:$F$4,0))</f>
        <v>0.5</v>
      </c>
      <c r="P976" s="24" t="s">
        <v>1847</v>
      </c>
      <c r="Q976" s="3"/>
      <c r="R976" s="173">
        <v>45261</v>
      </c>
      <c r="S976" s="173"/>
      <c r="T976" s="173"/>
      <c r="U976" s="173">
        <v>45534</v>
      </c>
      <c r="V976" s="173">
        <v>45534</v>
      </c>
      <c r="W976" s="3">
        <f>VLOOKUP(Table1[[#This Row],[Status]],Auxiliar!$B$16:$D$23,3,0)*Table1[[#This Row],[Estimação (horas)]]</f>
        <v>0.5</v>
      </c>
      <c r="X976" s="3"/>
    </row>
    <row r="977" spans="2:24" ht="17.399999999999999" hidden="1" customHeight="1">
      <c r="B977" s="14" t="s">
        <v>28</v>
      </c>
      <c r="C977" s="14" t="s">
        <v>178</v>
      </c>
      <c r="D977" s="14" t="s">
        <v>1198</v>
      </c>
      <c r="E977" s="3" t="s">
        <v>38</v>
      </c>
      <c r="F977" s="14" t="s">
        <v>205</v>
      </c>
      <c r="G977" s="14" t="s">
        <v>226</v>
      </c>
      <c r="H977" s="66" t="str">
        <f>Table1[[#This Row],[Tabela]]&amp;Table1[[#This Row],[Campo]]</f>
        <v>modesg_inp_emss_vclsscp2_ftr_emss</v>
      </c>
      <c r="I977" s="3" t="s">
        <v>477</v>
      </c>
      <c r="J977" s="48">
        <f>VLOOKUP(Table1[[#This Row],[Status]],Auxiliar!$B$16:$C$23,2,0)</f>
        <v>1</v>
      </c>
      <c r="K977" s="22" t="s">
        <v>1141</v>
      </c>
      <c r="L977" s="3" t="s">
        <v>1135</v>
      </c>
      <c r="M977" s="22" t="s">
        <v>1155</v>
      </c>
      <c r="N977" s="53">
        <v>45546</v>
      </c>
      <c r="O977" s="22">
        <f>INDEX(Auxiliar!$D$5:$F$13,MATCH(Table1[[#This Row],[Tipologia_Testes]],Auxiliar!$B$5:$B$13,0),MATCH(Table1[[#This Row],[Complexidade]],Auxiliar!$D$4:$F$4,0))</f>
        <v>0.1</v>
      </c>
      <c r="P977" s="3" t="s">
        <v>1849</v>
      </c>
      <c r="Q977" s="3"/>
      <c r="R977" s="173">
        <v>45261</v>
      </c>
      <c r="S977" s="173"/>
      <c r="T977" s="173"/>
      <c r="U977" s="173">
        <v>45534</v>
      </c>
      <c r="V977" s="173">
        <v>45534</v>
      </c>
      <c r="W977" s="3">
        <f>VLOOKUP(Table1[[#This Row],[Status]],Auxiliar!$B$16:$D$23,3,0)*Table1[[#This Row],[Estimação (horas)]]</f>
        <v>0.1</v>
      </c>
      <c r="X977" s="3"/>
    </row>
    <row r="978" spans="2:24" ht="69.599999999999994" hidden="1" customHeight="1">
      <c r="B978" s="14" t="s">
        <v>28</v>
      </c>
      <c r="C978" s="14" t="s">
        <v>178</v>
      </c>
      <c r="D978" s="14" t="s">
        <v>1198</v>
      </c>
      <c r="E978" s="3" t="s">
        <v>38</v>
      </c>
      <c r="F978" s="14" t="s">
        <v>205</v>
      </c>
      <c r="G978" s="14" t="s">
        <v>226</v>
      </c>
      <c r="H978" s="66" t="str">
        <f>Table1[[#This Row],[Tabela]]&amp;Table1[[#This Row],[Campo]]</f>
        <v>modesg_inp_emss_vclsscp2_ftr_emss</v>
      </c>
      <c r="I978" s="3" t="s">
        <v>477</v>
      </c>
      <c r="J978" s="48">
        <f>VLOOKUP(Table1[[#This Row],[Status]],Auxiliar!$B$16:$C$23,2,0)</f>
        <v>1</v>
      </c>
      <c r="K978" s="22" t="s">
        <v>1164</v>
      </c>
      <c r="L978" s="3" t="s">
        <v>1135</v>
      </c>
      <c r="M978" s="22" t="s">
        <v>1155</v>
      </c>
      <c r="N978" s="53">
        <v>45546</v>
      </c>
      <c r="O978" s="22">
        <f>INDEX(Auxiliar!$D$5:$F$13,MATCH(Table1[[#This Row],[Tipologia_Testes]],Auxiliar!$B$5:$B$13,0),MATCH(Table1[[#This Row],[Complexidade]],Auxiliar!$D$4:$F$4,0))</f>
        <v>0.5</v>
      </c>
      <c r="P978" s="24" t="s">
        <v>1847</v>
      </c>
      <c r="Q978" s="3"/>
      <c r="R978" s="173">
        <v>45261</v>
      </c>
      <c r="S978" s="173"/>
      <c r="T978" s="173"/>
      <c r="U978" s="173">
        <v>45534</v>
      </c>
      <c r="V978" s="173">
        <v>45534</v>
      </c>
      <c r="W978" s="3">
        <f>VLOOKUP(Table1[[#This Row],[Status]],Auxiliar!$B$16:$D$23,3,0)*Table1[[#This Row],[Estimação (horas)]]</f>
        <v>0.5</v>
      </c>
      <c r="X978" s="3"/>
    </row>
    <row r="979" spans="2:24" ht="17.399999999999999" hidden="1" customHeight="1">
      <c r="B979" s="14" t="s">
        <v>28</v>
      </c>
      <c r="C979" s="14" t="s">
        <v>178</v>
      </c>
      <c r="D979" s="14" t="s">
        <v>1198</v>
      </c>
      <c r="E979" s="3" t="s">
        <v>38</v>
      </c>
      <c r="F979" s="14" t="s">
        <v>205</v>
      </c>
      <c r="G979" s="14" t="s">
        <v>227</v>
      </c>
      <c r="H979" s="66" t="str">
        <f>Table1[[#This Row],[Tabela]]&amp;Table1[[#This Row],[Campo]]</f>
        <v>modesg_inp_emss_vclsscp3_ftr_emss</v>
      </c>
      <c r="I979" s="3" t="s">
        <v>477</v>
      </c>
      <c r="J979" s="48">
        <f>VLOOKUP(Table1[[#This Row],[Status]],Auxiliar!$B$16:$C$23,2,0)</f>
        <v>1</v>
      </c>
      <c r="K979" s="22" t="s">
        <v>1141</v>
      </c>
      <c r="L979" s="3" t="s">
        <v>1135</v>
      </c>
      <c r="M979" s="22" t="s">
        <v>1155</v>
      </c>
      <c r="N979" s="53">
        <v>45546</v>
      </c>
      <c r="O979" s="22">
        <f>INDEX(Auxiliar!$D$5:$F$13,MATCH(Table1[[#This Row],[Tipologia_Testes]],Auxiliar!$B$5:$B$13,0),MATCH(Table1[[#This Row],[Complexidade]],Auxiliar!$D$4:$F$4,0))</f>
        <v>0.1</v>
      </c>
      <c r="P979" s="3" t="s">
        <v>1850</v>
      </c>
      <c r="Q979" s="3"/>
      <c r="R979" s="173">
        <v>45261</v>
      </c>
      <c r="S979" s="173"/>
      <c r="T979" s="173"/>
      <c r="U979" s="173">
        <v>45534</v>
      </c>
      <c r="V979" s="173">
        <v>45534</v>
      </c>
      <c r="W979" s="3">
        <f>VLOOKUP(Table1[[#This Row],[Status]],Auxiliar!$B$16:$D$23,3,0)*Table1[[#This Row],[Estimação (horas)]]</f>
        <v>0.1</v>
      </c>
      <c r="X979" s="3"/>
    </row>
    <row r="980" spans="2:24" ht="52.2" hidden="1" customHeight="1">
      <c r="B980" s="14" t="s">
        <v>28</v>
      </c>
      <c r="C980" s="14" t="s">
        <v>178</v>
      </c>
      <c r="D980" s="14" t="s">
        <v>1198</v>
      </c>
      <c r="E980" s="3" t="s">
        <v>38</v>
      </c>
      <c r="F980" s="14" t="s">
        <v>205</v>
      </c>
      <c r="G980" s="14" t="s">
        <v>227</v>
      </c>
      <c r="H980" s="66" t="str">
        <f>Table1[[#This Row],[Tabela]]&amp;Table1[[#This Row],[Campo]]</f>
        <v>modesg_inp_emss_vclsscp3_ftr_emss</v>
      </c>
      <c r="I980" s="3" t="s">
        <v>477</v>
      </c>
      <c r="J980" s="48">
        <f>VLOOKUP(Table1[[#This Row],[Status]],Auxiliar!$B$16:$C$23,2,0)</f>
        <v>1</v>
      </c>
      <c r="K980" s="22" t="s">
        <v>1164</v>
      </c>
      <c r="L980" s="3" t="s">
        <v>1135</v>
      </c>
      <c r="M980" s="22" t="s">
        <v>1155</v>
      </c>
      <c r="N980" s="53">
        <v>45546</v>
      </c>
      <c r="O980" s="22">
        <f>INDEX(Auxiliar!$D$5:$F$13,MATCH(Table1[[#This Row],[Tipologia_Testes]],Auxiliar!$B$5:$B$13,0),MATCH(Table1[[#This Row],[Complexidade]],Auxiliar!$D$4:$F$4,0))</f>
        <v>0.5</v>
      </c>
      <c r="P980" s="24" t="s">
        <v>1848</v>
      </c>
      <c r="Q980" s="3"/>
      <c r="R980" s="173">
        <v>45261</v>
      </c>
      <c r="S980" s="173"/>
      <c r="T980" s="173"/>
      <c r="U980" s="173">
        <v>45534</v>
      </c>
      <c r="V980" s="173">
        <v>45534</v>
      </c>
      <c r="W980" s="3">
        <f>VLOOKUP(Table1[[#This Row],[Status]],Auxiliar!$B$16:$D$23,3,0)*Table1[[#This Row],[Estimação (horas)]]</f>
        <v>0.5</v>
      </c>
      <c r="X980" s="3"/>
    </row>
    <row r="981" spans="2:24" ht="17.399999999999999" hidden="1" customHeight="1">
      <c r="B981" s="14" t="s">
        <v>28</v>
      </c>
      <c r="C981" s="14" t="s">
        <v>178</v>
      </c>
      <c r="D981" s="14" t="s">
        <v>1198</v>
      </c>
      <c r="E981" s="3" t="s">
        <v>38</v>
      </c>
      <c r="F981" s="14" t="s">
        <v>206</v>
      </c>
      <c r="G981" s="14" t="s">
        <v>73</v>
      </c>
      <c r="H981" s="66" t="str">
        <f>Table1[[#This Row],[Tabela]]&amp;Table1[[#This Row],[Campo]]</f>
        <v>modesg_inp_km_medios_emss_vclsref_date</v>
      </c>
      <c r="I981" s="3" t="s">
        <v>477</v>
      </c>
      <c r="J981" s="48">
        <f>VLOOKUP(Table1[[#This Row],[Status]],Auxiliar!$B$16:$C$23,2,0)</f>
        <v>1</v>
      </c>
      <c r="K981" s="22" t="s">
        <v>1164</v>
      </c>
      <c r="L981" s="29"/>
      <c r="M981" s="22" t="s">
        <v>1155</v>
      </c>
      <c r="N981" s="53">
        <v>45537</v>
      </c>
      <c r="O981" s="22">
        <f>INDEX(Auxiliar!$D$5:$F$13,MATCH(Table1[[#This Row],[Tipologia_Testes]],Auxiliar!$B$5:$B$13,0),MATCH(Table1[[#This Row],[Complexidade]],Auxiliar!$D$4:$F$4,0))</f>
        <v>0.5</v>
      </c>
      <c r="P981" s="3"/>
      <c r="Q981" s="3"/>
      <c r="R981" s="173">
        <v>45261</v>
      </c>
      <c r="S981" s="173"/>
      <c r="T981" s="173"/>
      <c r="U981" s="173">
        <v>45534</v>
      </c>
      <c r="V981" s="173">
        <v>45534</v>
      </c>
      <c r="W981" s="3">
        <f>VLOOKUP(Table1[[#This Row],[Status]],Auxiliar!$B$16:$D$23,3,0)*Table1[[#This Row],[Estimação (horas)]]</f>
        <v>0.5</v>
      </c>
      <c r="X981" s="3"/>
    </row>
    <row r="982" spans="2:24" ht="17.399999999999999" hidden="1" customHeight="1">
      <c r="B982" s="14" t="s">
        <v>28</v>
      </c>
      <c r="C982" s="14" t="s">
        <v>178</v>
      </c>
      <c r="D982" s="14" t="s">
        <v>1198</v>
      </c>
      <c r="E982" s="3" t="s">
        <v>38</v>
      </c>
      <c r="F982" s="14" t="s">
        <v>206</v>
      </c>
      <c r="G982" s="14" t="s">
        <v>214</v>
      </c>
      <c r="H982" s="66" t="str">
        <f>Table1[[#This Row],[Tabela]]&amp;Table1[[#This Row],[Campo]]</f>
        <v>modesg_inp_km_medios_emss_vclsnome_pais</v>
      </c>
      <c r="I982" s="3" t="s">
        <v>477</v>
      </c>
      <c r="J982" s="48">
        <f>VLOOKUP(Table1[[#This Row],[Status]],Auxiliar!$B$16:$C$23,2,0)</f>
        <v>1</v>
      </c>
      <c r="K982" s="22" t="s">
        <v>1141</v>
      </c>
      <c r="L982" s="29"/>
      <c r="M982" s="22" t="s">
        <v>1155</v>
      </c>
      <c r="N982" s="53">
        <v>45537</v>
      </c>
      <c r="O982" s="22">
        <f>INDEX(Auxiliar!$D$5:$F$13,MATCH(Table1[[#This Row],[Tipologia_Testes]],Auxiliar!$B$5:$B$13,0),MATCH(Table1[[#This Row],[Complexidade]],Auxiliar!$D$4:$F$4,0))</f>
        <v>0.1</v>
      </c>
      <c r="P982" s="3" t="s">
        <v>1209</v>
      </c>
      <c r="Q982" s="3"/>
      <c r="R982" s="173">
        <v>45261</v>
      </c>
      <c r="S982" s="173"/>
      <c r="T982" s="173"/>
      <c r="U982" s="173">
        <v>45534</v>
      </c>
      <c r="V982" s="173">
        <v>45534</v>
      </c>
      <c r="W982" s="3">
        <f>VLOOKUP(Table1[[#This Row],[Status]],Auxiliar!$B$16:$D$23,3,0)*Table1[[#This Row],[Estimação (horas)]]</f>
        <v>0.1</v>
      </c>
      <c r="X982" s="3"/>
    </row>
    <row r="983" spans="2:24" ht="17.399999999999999" hidden="1" customHeight="1">
      <c r="B983" s="14" t="s">
        <v>28</v>
      </c>
      <c r="C983" s="14" t="s">
        <v>178</v>
      </c>
      <c r="D983" s="14" t="s">
        <v>1198</v>
      </c>
      <c r="E983" s="3" t="s">
        <v>38</v>
      </c>
      <c r="F983" s="14" t="s">
        <v>206</v>
      </c>
      <c r="G983" s="14" t="s">
        <v>214</v>
      </c>
      <c r="H983" s="66" t="str">
        <f>Table1[[#This Row],[Tabela]]&amp;Table1[[#This Row],[Campo]]</f>
        <v>modesg_inp_km_medios_emss_vclsnome_pais</v>
      </c>
      <c r="I983" s="3" t="s">
        <v>477</v>
      </c>
      <c r="J983" s="48">
        <f>VLOOKUP(Table1[[#This Row],[Status]],Auxiliar!$B$16:$C$23,2,0)</f>
        <v>1</v>
      </c>
      <c r="K983" s="22" t="s">
        <v>1164</v>
      </c>
      <c r="L983" s="29"/>
      <c r="M983" s="22" t="s">
        <v>1155</v>
      </c>
      <c r="N983" s="53">
        <v>45537</v>
      </c>
      <c r="O983" s="22">
        <f>INDEX(Auxiliar!$D$5:$F$13,MATCH(Table1[[#This Row],[Tipologia_Testes]],Auxiliar!$B$5:$B$13,0),MATCH(Table1[[#This Row],[Complexidade]],Auxiliar!$D$4:$F$4,0))</f>
        <v>0.5</v>
      </c>
      <c r="P983" s="3"/>
      <c r="Q983" s="3"/>
      <c r="R983" s="173">
        <v>45261</v>
      </c>
      <c r="S983" s="173"/>
      <c r="T983" s="173"/>
      <c r="U983" s="173">
        <v>45534</v>
      </c>
      <c r="V983" s="173">
        <v>45534</v>
      </c>
      <c r="W983" s="3">
        <f>VLOOKUP(Table1[[#This Row],[Status]],Auxiliar!$B$16:$D$23,3,0)*Table1[[#This Row],[Estimação (horas)]]</f>
        <v>0.5</v>
      </c>
      <c r="X983" s="3"/>
    </row>
    <row r="984" spans="2:24" ht="17.399999999999999" hidden="1" customHeight="1">
      <c r="B984" s="14" t="s">
        <v>28</v>
      </c>
      <c r="C984" s="14" t="s">
        <v>178</v>
      </c>
      <c r="D984" s="14" t="s">
        <v>1198</v>
      </c>
      <c r="E984" s="3" t="s">
        <v>38</v>
      </c>
      <c r="F984" s="14" t="s">
        <v>206</v>
      </c>
      <c r="G984" s="14" t="s">
        <v>228</v>
      </c>
      <c r="H984" s="66" t="str">
        <f>Table1[[#This Row],[Tabela]]&amp;Table1[[#This Row],[Campo]]</f>
        <v>modesg_inp_km_medios_emss_vclstipo_vcl</v>
      </c>
      <c r="I984" s="3" t="s">
        <v>477</v>
      </c>
      <c r="J984" s="48">
        <f>VLOOKUP(Table1[[#This Row],[Status]],Auxiliar!$B$16:$C$23,2,0)</f>
        <v>1</v>
      </c>
      <c r="K984" s="22" t="s">
        <v>1141</v>
      </c>
      <c r="L984" s="3" t="s">
        <v>1135</v>
      </c>
      <c r="M984" s="22" t="s">
        <v>1155</v>
      </c>
      <c r="N984" s="53">
        <v>45537</v>
      </c>
      <c r="O984" s="22">
        <f>INDEX(Auxiliar!$D$5:$F$13,MATCH(Table1[[#This Row],[Tipologia_Testes]],Auxiliar!$B$5:$B$13,0),MATCH(Table1[[#This Row],[Complexidade]],Auxiliar!$D$4:$F$4,0))</f>
        <v>0.1</v>
      </c>
      <c r="P984" s="3" t="s">
        <v>1210</v>
      </c>
      <c r="Q984" s="3"/>
      <c r="R984" s="173">
        <v>45261</v>
      </c>
      <c r="S984" s="173"/>
      <c r="T984" s="173"/>
      <c r="U984" s="173">
        <v>45534</v>
      </c>
      <c r="V984" s="173">
        <v>45534</v>
      </c>
      <c r="W984" s="3">
        <f>VLOOKUP(Table1[[#This Row],[Status]],Auxiliar!$B$16:$D$23,3,0)*Table1[[#This Row],[Estimação (horas)]]</f>
        <v>0.1</v>
      </c>
      <c r="X984" s="3"/>
    </row>
    <row r="985" spans="2:24" ht="17.399999999999999" hidden="1" customHeight="1">
      <c r="B985" s="14" t="s">
        <v>28</v>
      </c>
      <c r="C985" s="14" t="s">
        <v>178</v>
      </c>
      <c r="D985" s="14" t="s">
        <v>1198</v>
      </c>
      <c r="E985" s="3" t="s">
        <v>38</v>
      </c>
      <c r="F985" s="14" t="s">
        <v>206</v>
      </c>
      <c r="G985" s="14" t="s">
        <v>228</v>
      </c>
      <c r="H985" s="66" t="str">
        <f>Table1[[#This Row],[Tabela]]&amp;Table1[[#This Row],[Campo]]</f>
        <v>modesg_inp_km_medios_emss_vclstipo_vcl</v>
      </c>
      <c r="I985" s="3" t="s">
        <v>477</v>
      </c>
      <c r="J985" s="48">
        <f>VLOOKUP(Table1[[#This Row],[Status]],Auxiliar!$B$16:$C$23,2,0)</f>
        <v>1</v>
      </c>
      <c r="K985" s="22" t="s">
        <v>1164</v>
      </c>
      <c r="L985" s="3" t="s">
        <v>1135</v>
      </c>
      <c r="M985" s="22" t="s">
        <v>1155</v>
      </c>
      <c r="N985" s="53">
        <v>45537</v>
      </c>
      <c r="O985" s="22">
        <f>INDEX(Auxiliar!$D$5:$F$13,MATCH(Table1[[#This Row],[Tipologia_Testes]],Auxiliar!$B$5:$B$13,0),MATCH(Table1[[#This Row],[Complexidade]],Auxiliar!$D$4:$F$4,0))</f>
        <v>0.5</v>
      </c>
      <c r="P985" s="3" t="s">
        <v>1211</v>
      </c>
      <c r="Q985" s="3"/>
      <c r="R985" s="173">
        <v>45261</v>
      </c>
      <c r="S985" s="173"/>
      <c r="T985" s="173"/>
      <c r="U985" s="173">
        <v>45534</v>
      </c>
      <c r="V985" s="173">
        <v>45534</v>
      </c>
      <c r="W985" s="3">
        <f>VLOOKUP(Table1[[#This Row],[Status]],Auxiliar!$B$16:$D$23,3,0)*Table1[[#This Row],[Estimação (horas)]]</f>
        <v>0.5</v>
      </c>
      <c r="X985" s="3"/>
    </row>
    <row r="986" spans="2:24" ht="17.399999999999999" hidden="1" customHeight="1">
      <c r="B986" s="14" t="s">
        <v>28</v>
      </c>
      <c r="C986" s="14" t="s">
        <v>178</v>
      </c>
      <c r="D986" s="14" t="s">
        <v>1198</v>
      </c>
      <c r="E986" s="3" t="s">
        <v>38</v>
      </c>
      <c r="F986" s="14" t="s">
        <v>206</v>
      </c>
      <c r="G986" s="14" t="s">
        <v>217</v>
      </c>
      <c r="H986" s="66" t="str">
        <f>Table1[[#This Row],[Tabela]]&amp;Table1[[#This Row],[Campo]]</f>
        <v>modesg_inp_km_medios_emss_vclstipo_motor</v>
      </c>
      <c r="I986" s="3" t="s">
        <v>477</v>
      </c>
      <c r="J986" s="48">
        <f>VLOOKUP(Table1[[#This Row],[Status]],Auxiliar!$B$16:$C$23,2,0)</f>
        <v>1</v>
      </c>
      <c r="K986" s="22" t="s">
        <v>1141</v>
      </c>
      <c r="L986" s="29"/>
      <c r="M986" s="22" t="s">
        <v>1155</v>
      </c>
      <c r="N986" s="53">
        <v>45537</v>
      </c>
      <c r="O986" s="22">
        <f>INDEX(Auxiliar!$D$5:$F$13,MATCH(Table1[[#This Row],[Tipologia_Testes]],Auxiliar!$B$5:$B$13,0),MATCH(Table1[[#This Row],[Complexidade]],Auxiliar!$D$4:$F$4,0))</f>
        <v>0.1</v>
      </c>
      <c r="P986" s="3" t="s">
        <v>1209</v>
      </c>
      <c r="Q986" s="3"/>
      <c r="R986" s="173">
        <v>45261</v>
      </c>
      <c r="S986" s="173"/>
      <c r="T986" s="173"/>
      <c r="U986" s="173">
        <v>45534</v>
      </c>
      <c r="V986" s="173">
        <v>45534</v>
      </c>
      <c r="W986" s="3">
        <f>VLOOKUP(Table1[[#This Row],[Status]],Auxiliar!$B$16:$D$23,3,0)*Table1[[#This Row],[Estimação (horas)]]</f>
        <v>0.1</v>
      </c>
      <c r="X986" s="3"/>
    </row>
    <row r="987" spans="2:24" ht="17.399999999999999" hidden="1" customHeight="1">
      <c r="B987" s="14" t="s">
        <v>28</v>
      </c>
      <c r="C987" s="14" t="s">
        <v>178</v>
      </c>
      <c r="D987" s="14" t="s">
        <v>1198</v>
      </c>
      <c r="E987" s="3" t="s">
        <v>38</v>
      </c>
      <c r="F987" s="14" t="s">
        <v>206</v>
      </c>
      <c r="G987" s="14" t="s">
        <v>217</v>
      </c>
      <c r="H987" s="66" t="str">
        <f>Table1[[#This Row],[Tabela]]&amp;Table1[[#This Row],[Campo]]</f>
        <v>modesg_inp_km_medios_emss_vclstipo_motor</v>
      </c>
      <c r="I987" s="3" t="s">
        <v>477</v>
      </c>
      <c r="J987" s="48">
        <f>VLOOKUP(Table1[[#This Row],[Status]],Auxiliar!$B$16:$C$23,2,0)</f>
        <v>1</v>
      </c>
      <c r="K987" s="22" t="s">
        <v>1164</v>
      </c>
      <c r="L987" s="29"/>
      <c r="M987" s="22" t="s">
        <v>1155</v>
      </c>
      <c r="N987" s="53">
        <v>45537</v>
      </c>
      <c r="O987" s="22">
        <f>INDEX(Auxiliar!$D$5:$F$13,MATCH(Table1[[#This Row],[Tipologia_Testes]],Auxiliar!$B$5:$B$13,0),MATCH(Table1[[#This Row],[Complexidade]],Auxiliar!$D$4:$F$4,0))</f>
        <v>0.5</v>
      </c>
      <c r="P987" s="3"/>
      <c r="Q987" s="3"/>
      <c r="R987" s="173">
        <v>45261</v>
      </c>
      <c r="S987" s="173"/>
      <c r="T987" s="173"/>
      <c r="U987" s="173">
        <v>45534</v>
      </c>
      <c r="V987" s="173">
        <v>45534</v>
      </c>
      <c r="W987" s="3">
        <f>VLOOKUP(Table1[[#This Row],[Status]],Auxiliar!$B$16:$D$23,3,0)*Table1[[#This Row],[Estimação (horas)]]</f>
        <v>0.5</v>
      </c>
      <c r="X987" s="3"/>
    </row>
    <row r="988" spans="2:24" ht="17.399999999999999" hidden="1" customHeight="1">
      <c r="B988" s="14" t="s">
        <v>28</v>
      </c>
      <c r="C988" s="14" t="s">
        <v>178</v>
      </c>
      <c r="D988" s="14" t="s">
        <v>1198</v>
      </c>
      <c r="E988" s="3" t="s">
        <v>38</v>
      </c>
      <c r="F988" s="14" t="s">
        <v>206</v>
      </c>
      <c r="G988" s="14" t="s">
        <v>1839</v>
      </c>
      <c r="H988" s="66" t="str">
        <f>Table1[[#This Row],[Tabela]]&amp;Table1[[#This Row],[Campo]]</f>
        <v>modesg_inp_km_medios_emss_vclssubgrupo</v>
      </c>
      <c r="I988" s="3" t="s">
        <v>477</v>
      </c>
      <c r="J988" s="48">
        <f>VLOOKUP(Table1[[#This Row],[Status]],Auxiliar!$B$16:$C$23,2,0)</f>
        <v>1</v>
      </c>
      <c r="K988" s="22" t="s">
        <v>1141</v>
      </c>
      <c r="L988" s="3" t="s">
        <v>502</v>
      </c>
      <c r="M988" s="22" t="s">
        <v>1155</v>
      </c>
      <c r="N988" s="53">
        <v>45537</v>
      </c>
      <c r="O988" s="22">
        <f>INDEX(Auxiliar!$D$5:$F$13,MATCH(Table1[[#This Row],[Tipologia_Testes]],Auxiliar!$B$5:$B$13,0),MATCH(Table1[[#This Row],[Complexidade]],Auxiliar!$D$4:$F$4,0))</f>
        <v>0.1</v>
      </c>
      <c r="P988" s="3" t="s">
        <v>1209</v>
      </c>
      <c r="Q988" s="3"/>
      <c r="R988" s="173">
        <v>45261</v>
      </c>
      <c r="S988" s="173"/>
      <c r="T988" s="173"/>
      <c r="U988" s="173">
        <v>45534</v>
      </c>
      <c r="V988" s="173">
        <v>45534</v>
      </c>
      <c r="W988" s="3">
        <f>VLOOKUP(Table1[[#This Row],[Status]],Auxiliar!$B$16:$D$23,3,0)*Table1[[#This Row],[Estimação (horas)]]</f>
        <v>0.1</v>
      </c>
      <c r="X988" s="3"/>
    </row>
    <row r="989" spans="2:24" ht="17.399999999999999" hidden="1" customHeight="1">
      <c r="B989" s="14" t="s">
        <v>28</v>
      </c>
      <c r="C989" s="14" t="s">
        <v>178</v>
      </c>
      <c r="D989" s="14" t="s">
        <v>1198</v>
      </c>
      <c r="E989" s="3" t="s">
        <v>38</v>
      </c>
      <c r="F989" s="14" t="s">
        <v>206</v>
      </c>
      <c r="G989" s="14" t="s">
        <v>1839</v>
      </c>
      <c r="H989" s="66" t="str">
        <f>Table1[[#This Row],[Tabela]]&amp;Table1[[#This Row],[Campo]]</f>
        <v>modesg_inp_km_medios_emss_vclssubgrupo</v>
      </c>
      <c r="I989" s="3" t="s">
        <v>477</v>
      </c>
      <c r="J989" s="48">
        <f>VLOOKUP(Table1[[#This Row],[Status]],Auxiliar!$B$16:$C$23,2,0)</f>
        <v>1</v>
      </c>
      <c r="K989" s="22" t="s">
        <v>1164</v>
      </c>
      <c r="L989" s="3" t="s">
        <v>502</v>
      </c>
      <c r="M989" s="22" t="s">
        <v>1155</v>
      </c>
      <c r="N989" s="53">
        <v>45537</v>
      </c>
      <c r="O989" s="22">
        <f>INDEX(Auxiliar!$D$5:$F$13,MATCH(Table1[[#This Row],[Tipologia_Testes]],Auxiliar!$B$5:$B$13,0),MATCH(Table1[[#This Row],[Complexidade]],Auxiliar!$D$4:$F$4,0))</f>
        <v>0.5</v>
      </c>
      <c r="P989" s="3"/>
      <c r="Q989" s="3"/>
      <c r="R989" s="173">
        <v>45261</v>
      </c>
      <c r="S989" s="173"/>
      <c r="T989" s="173"/>
      <c r="U989" s="173">
        <v>45534</v>
      </c>
      <c r="V989" s="173">
        <v>45534</v>
      </c>
      <c r="W989" s="3">
        <f>VLOOKUP(Table1[[#This Row],[Status]],Auxiliar!$B$16:$D$23,3,0)*Table1[[#This Row],[Estimação (horas)]]</f>
        <v>0.5</v>
      </c>
      <c r="X989" s="3"/>
    </row>
    <row r="990" spans="2:24" ht="17.399999999999999" hidden="1" customHeight="1">
      <c r="B990" s="14" t="s">
        <v>28</v>
      </c>
      <c r="C990" s="14" t="s">
        <v>178</v>
      </c>
      <c r="D990" s="14" t="s">
        <v>1198</v>
      </c>
      <c r="E990" s="3" t="s">
        <v>38</v>
      </c>
      <c r="F990" s="14" t="s">
        <v>206</v>
      </c>
      <c r="G990" s="14" t="s">
        <v>229</v>
      </c>
      <c r="H990" s="66" t="str">
        <f>Table1[[#This Row],[Tabela]]&amp;Table1[[#This Row],[Campo]]</f>
        <v>modesg_inp_km_medios_emss_vclsmedia_km</v>
      </c>
      <c r="I990" s="3" t="s">
        <v>477</v>
      </c>
      <c r="J990" s="48">
        <f>VLOOKUP(Table1[[#This Row],[Status]],Auxiliar!$B$16:$C$23,2,0)</f>
        <v>1</v>
      </c>
      <c r="K990" s="22" t="s">
        <v>1141</v>
      </c>
      <c r="L990" s="29"/>
      <c r="M990" s="22" t="s">
        <v>1155</v>
      </c>
      <c r="N990" s="53">
        <v>45537</v>
      </c>
      <c r="O990" s="22">
        <f>INDEX(Auxiliar!$D$5:$F$13,MATCH(Table1[[#This Row],[Tipologia_Testes]],Auxiliar!$B$5:$B$13,0),MATCH(Table1[[#This Row],[Complexidade]],Auxiliar!$D$4:$F$4,0))</f>
        <v>0.1</v>
      </c>
      <c r="P990" s="3" t="s">
        <v>1209</v>
      </c>
      <c r="Q990" s="3"/>
      <c r="R990" s="173">
        <v>45261</v>
      </c>
      <c r="S990" s="173"/>
      <c r="T990" s="173"/>
      <c r="U990" s="173">
        <v>45534</v>
      </c>
      <c r="V990" s="173">
        <v>45534</v>
      </c>
      <c r="W990" s="3">
        <f>VLOOKUP(Table1[[#This Row],[Status]],Auxiliar!$B$16:$D$23,3,0)*Table1[[#This Row],[Estimação (horas)]]</f>
        <v>0.1</v>
      </c>
      <c r="X990" s="3"/>
    </row>
    <row r="991" spans="2:24" ht="17.399999999999999" hidden="1" customHeight="1">
      <c r="B991" s="14" t="s">
        <v>28</v>
      </c>
      <c r="C991" s="14" t="s">
        <v>178</v>
      </c>
      <c r="D991" s="14" t="s">
        <v>1198</v>
      </c>
      <c r="E991" s="3" t="s">
        <v>38</v>
      </c>
      <c r="F991" s="14" t="s">
        <v>206</v>
      </c>
      <c r="G991" s="14" t="s">
        <v>229</v>
      </c>
      <c r="H991" s="66" t="str">
        <f>Table1[[#This Row],[Tabela]]&amp;Table1[[#This Row],[Campo]]</f>
        <v>modesg_inp_km_medios_emss_vclsmedia_km</v>
      </c>
      <c r="I991" s="3" t="s">
        <v>477</v>
      </c>
      <c r="J991" s="48">
        <f>VLOOKUP(Table1[[#This Row],[Status]],Auxiliar!$B$16:$C$23,2,0)</f>
        <v>1</v>
      </c>
      <c r="K991" s="22" t="s">
        <v>1164</v>
      </c>
      <c r="L991" s="29"/>
      <c r="M991" s="22" t="s">
        <v>1155</v>
      </c>
      <c r="N991" s="53">
        <v>45537</v>
      </c>
      <c r="O991" s="22">
        <f>INDEX(Auxiliar!$D$5:$F$13,MATCH(Table1[[#This Row],[Tipologia_Testes]],Auxiliar!$B$5:$B$13,0),MATCH(Table1[[#This Row],[Complexidade]],Auxiliar!$D$4:$F$4,0))</f>
        <v>0.5</v>
      </c>
      <c r="P991" s="3"/>
      <c r="Q991" s="3"/>
      <c r="R991" s="173">
        <v>45261</v>
      </c>
      <c r="S991" s="173"/>
      <c r="T991" s="173"/>
      <c r="U991" s="173">
        <v>45534</v>
      </c>
      <c r="V991" s="173">
        <v>45534</v>
      </c>
      <c r="W991" s="3">
        <f>VLOOKUP(Table1[[#This Row],[Status]],Auxiliar!$B$16:$D$23,3,0)*Table1[[#This Row],[Estimação (horas)]]</f>
        <v>0.5</v>
      </c>
      <c r="X991" s="3"/>
    </row>
    <row r="992" spans="2:24" ht="17.399999999999999" hidden="1" customHeight="1">
      <c r="B992" s="14" t="s">
        <v>28</v>
      </c>
      <c r="C992" s="14" t="s">
        <v>178</v>
      </c>
      <c r="D992" s="14" t="s">
        <v>1202</v>
      </c>
      <c r="E992" s="3" t="s">
        <v>38</v>
      </c>
      <c r="F992" s="14" t="s">
        <v>207</v>
      </c>
      <c r="G992" s="14" t="s">
        <v>73</v>
      </c>
      <c r="H992" s="66" t="str">
        <f>Table1[[#This Row],[Tabela]]&amp;Table1[[#This Row],[Campo]]</f>
        <v>modesg_inp_empr_excl_parisref_date</v>
      </c>
      <c r="I992" s="4" t="s">
        <v>477</v>
      </c>
      <c r="J992" s="59">
        <f>VLOOKUP(Table1[[#This Row],[Status]],Auxiliar!$B$16:$C$23,2,0)</f>
        <v>1</v>
      </c>
      <c r="K992" s="22" t="s">
        <v>1164</v>
      </c>
      <c r="L992" s="3" t="s">
        <v>1144</v>
      </c>
      <c r="M992" s="22" t="s">
        <v>1155</v>
      </c>
      <c r="N992" s="53">
        <v>45485</v>
      </c>
      <c r="O992" s="22">
        <f>INDEX(Auxiliar!$D$5:$F$13,MATCH(Table1[[#This Row],[Tipologia_Testes]],Auxiliar!$B$5:$B$13,0),MATCH(Table1[[#This Row],[Complexidade]],Auxiliar!$D$4:$F$4,0))</f>
        <v>0.5</v>
      </c>
      <c r="P992" s="3"/>
      <c r="Q992" s="3"/>
      <c r="R992" s="173">
        <v>45261</v>
      </c>
      <c r="S992" s="173"/>
      <c r="T992" s="173"/>
      <c r="U992" s="173"/>
      <c r="V992" s="173"/>
      <c r="W992" s="3">
        <f>VLOOKUP(Table1[[#This Row],[Status]],Auxiliar!$B$16:$D$23,3,0)*Table1[[#This Row],[Estimação (horas)]]</f>
        <v>0.5</v>
      </c>
      <c r="X992" s="3" t="s">
        <v>1212</v>
      </c>
    </row>
    <row r="993" spans="2:24" ht="17.399999999999999" hidden="1" customHeight="1">
      <c r="B993" s="14" t="s">
        <v>28</v>
      </c>
      <c r="C993" s="14" t="s">
        <v>178</v>
      </c>
      <c r="D993" s="14" t="s">
        <v>1202</v>
      </c>
      <c r="E993" s="3" t="s">
        <v>38</v>
      </c>
      <c r="F993" s="14" t="s">
        <v>207</v>
      </c>
      <c r="G993" s="14" t="s">
        <v>230</v>
      </c>
      <c r="H993" s="66" t="str">
        <f>Table1[[#This Row],[Tabela]]&amp;Table1[[#This Row],[Campo]]</f>
        <v>modesg_inp_empr_excl_parisisin</v>
      </c>
      <c r="I993" s="4" t="s">
        <v>477</v>
      </c>
      <c r="J993" s="59">
        <f>VLOOKUP(Table1[[#This Row],[Status]],Auxiliar!$B$16:$C$23,2,0)</f>
        <v>1</v>
      </c>
      <c r="K993" s="22" t="s">
        <v>1141</v>
      </c>
      <c r="L993" s="3" t="s">
        <v>1144</v>
      </c>
      <c r="M993" s="22" t="s">
        <v>1155</v>
      </c>
      <c r="N993" s="53">
        <v>45485</v>
      </c>
      <c r="O993" s="22">
        <f>INDEX(Auxiliar!$D$5:$F$13,MATCH(Table1[[#This Row],[Tipologia_Testes]],Auxiliar!$B$5:$B$13,0),MATCH(Table1[[#This Row],[Complexidade]],Auxiliar!$D$4:$F$4,0))</f>
        <v>0.1</v>
      </c>
      <c r="P993" s="3" t="s">
        <v>1213</v>
      </c>
      <c r="Q993" s="3"/>
      <c r="R993" s="173">
        <v>45261</v>
      </c>
      <c r="S993" s="173"/>
      <c r="T993" s="173"/>
      <c r="U993" s="173"/>
      <c r="V993" s="173"/>
      <c r="W993" s="3">
        <f>VLOOKUP(Table1[[#This Row],[Status]],Auxiliar!$B$16:$D$23,3,0)*Table1[[#This Row],[Estimação (horas)]]</f>
        <v>0.1</v>
      </c>
      <c r="X993" s="3" t="s">
        <v>1212</v>
      </c>
    </row>
    <row r="994" spans="2:24" ht="17.399999999999999" hidden="1" customHeight="1">
      <c r="B994" s="14" t="s">
        <v>28</v>
      </c>
      <c r="C994" s="14" t="s">
        <v>178</v>
      </c>
      <c r="D994" s="14" t="s">
        <v>1202</v>
      </c>
      <c r="E994" s="3" t="s">
        <v>38</v>
      </c>
      <c r="F994" s="14" t="s">
        <v>207</v>
      </c>
      <c r="G994" s="14" t="s">
        <v>230</v>
      </c>
      <c r="H994" s="66" t="str">
        <f>Table1[[#This Row],[Tabela]]&amp;Table1[[#This Row],[Campo]]</f>
        <v>modesg_inp_empr_excl_parisisin</v>
      </c>
      <c r="I994" s="4" t="s">
        <v>477</v>
      </c>
      <c r="J994" s="59">
        <f>VLOOKUP(Table1[[#This Row],[Status]],Auxiliar!$B$16:$C$23,2,0)</f>
        <v>1</v>
      </c>
      <c r="K994" s="22" t="s">
        <v>1164</v>
      </c>
      <c r="L994" s="3" t="s">
        <v>1135</v>
      </c>
      <c r="M994" s="22" t="s">
        <v>1155</v>
      </c>
      <c r="N994" s="53">
        <v>45485</v>
      </c>
      <c r="O994" s="22">
        <f>INDEX(Auxiliar!$D$5:$F$13,MATCH(Table1[[#This Row],[Tipologia_Testes]],Auxiliar!$B$5:$B$13,0),MATCH(Table1[[#This Row],[Complexidade]],Auxiliar!$D$4:$F$4,0))</f>
        <v>0.5</v>
      </c>
      <c r="P994" s="3"/>
      <c r="Q994" s="3"/>
      <c r="R994" s="173">
        <v>45261</v>
      </c>
      <c r="S994" s="173"/>
      <c r="T994" s="173"/>
      <c r="U994" s="173"/>
      <c r="V994" s="173"/>
      <c r="W994" s="3">
        <f>VLOOKUP(Table1[[#This Row],[Status]],Auxiliar!$B$16:$D$23,3,0)*Table1[[#This Row],[Estimação (horas)]]</f>
        <v>0.5</v>
      </c>
      <c r="X994" s="3" t="s">
        <v>1212</v>
      </c>
    </row>
    <row r="995" spans="2:24" ht="17.399999999999999" hidden="1" customHeight="1">
      <c r="B995" s="14" t="s">
        <v>28</v>
      </c>
      <c r="C995" s="14" t="s">
        <v>178</v>
      </c>
      <c r="D995" s="14" t="s">
        <v>1202</v>
      </c>
      <c r="E995" s="3" t="s">
        <v>38</v>
      </c>
      <c r="F995" s="14" t="s">
        <v>207</v>
      </c>
      <c r="G995" s="14" t="s">
        <v>231</v>
      </c>
      <c r="H995" s="66" t="str">
        <f>Table1[[#This Row],[Tabela]]&amp;Table1[[#This Row],[Campo]]</f>
        <v>modesg_inp_empr_excl_parisclei</v>
      </c>
      <c r="I995" s="4" t="s">
        <v>477</v>
      </c>
      <c r="J995" s="59">
        <f>VLOOKUP(Table1[[#This Row],[Status]],Auxiliar!$B$16:$C$23,2,0)</f>
        <v>1</v>
      </c>
      <c r="K995" s="22" t="s">
        <v>1141</v>
      </c>
      <c r="L995" s="3" t="s">
        <v>1144</v>
      </c>
      <c r="M995" s="22" t="s">
        <v>1155</v>
      </c>
      <c r="N995" s="53">
        <v>45485</v>
      </c>
      <c r="O995" s="22">
        <f>INDEX(Auxiliar!$D$5:$F$13,MATCH(Table1[[#This Row],[Tipologia_Testes]],Auxiliar!$B$5:$B$13,0),MATCH(Table1[[#This Row],[Complexidade]],Auxiliar!$D$4:$F$4,0))</f>
        <v>0.1</v>
      </c>
      <c r="P995" s="3" t="s">
        <v>1213</v>
      </c>
      <c r="Q995" s="3"/>
      <c r="R995" s="173">
        <v>45261</v>
      </c>
      <c r="S995" s="173"/>
      <c r="T995" s="173"/>
      <c r="U995" s="173"/>
      <c r="V995" s="173"/>
      <c r="W995" s="3">
        <f>VLOOKUP(Table1[[#This Row],[Status]],Auxiliar!$B$16:$D$23,3,0)*Table1[[#This Row],[Estimação (horas)]]</f>
        <v>0.1</v>
      </c>
      <c r="X995" s="3" t="s">
        <v>1212</v>
      </c>
    </row>
    <row r="996" spans="2:24" ht="17.399999999999999" hidden="1" customHeight="1">
      <c r="B996" s="14" t="s">
        <v>28</v>
      </c>
      <c r="C996" s="14" t="s">
        <v>178</v>
      </c>
      <c r="D996" s="14" t="s">
        <v>1202</v>
      </c>
      <c r="E996" s="3" t="s">
        <v>38</v>
      </c>
      <c r="F996" s="14" t="s">
        <v>207</v>
      </c>
      <c r="G996" s="14" t="s">
        <v>231</v>
      </c>
      <c r="H996" s="66" t="str">
        <f>Table1[[#This Row],[Tabela]]&amp;Table1[[#This Row],[Campo]]</f>
        <v>modesg_inp_empr_excl_parisclei</v>
      </c>
      <c r="I996" s="4" t="s">
        <v>477</v>
      </c>
      <c r="J996" s="59">
        <f>VLOOKUP(Table1[[#This Row],[Status]],Auxiliar!$B$16:$C$23,2,0)</f>
        <v>1</v>
      </c>
      <c r="K996" s="22" t="s">
        <v>1164</v>
      </c>
      <c r="L996" s="3" t="s">
        <v>1144</v>
      </c>
      <c r="M996" s="22" t="s">
        <v>1155</v>
      </c>
      <c r="N996" s="53">
        <v>45485</v>
      </c>
      <c r="O996" s="22">
        <f>INDEX(Auxiliar!$D$5:$F$13,MATCH(Table1[[#This Row],[Tipologia_Testes]],Auxiliar!$B$5:$B$13,0),MATCH(Table1[[#This Row],[Complexidade]],Auxiliar!$D$4:$F$4,0))</f>
        <v>0.5</v>
      </c>
      <c r="P996" s="3"/>
      <c r="Q996" s="3"/>
      <c r="R996" s="173">
        <v>45261</v>
      </c>
      <c r="S996" s="173"/>
      <c r="T996" s="173"/>
      <c r="U996" s="173"/>
      <c r="V996" s="173"/>
      <c r="W996" s="3">
        <f>VLOOKUP(Table1[[#This Row],[Status]],Auxiliar!$B$16:$D$23,3,0)*Table1[[#This Row],[Estimação (horas)]]</f>
        <v>0.5</v>
      </c>
      <c r="X996" s="3" t="s">
        <v>1212</v>
      </c>
    </row>
    <row r="997" spans="2:24" ht="17.399999999999999" hidden="1" customHeight="1">
      <c r="B997" s="14" t="s">
        <v>28</v>
      </c>
      <c r="C997" s="14" t="s">
        <v>178</v>
      </c>
      <c r="D997" s="14" t="s">
        <v>1202</v>
      </c>
      <c r="E997" s="3" t="s">
        <v>38</v>
      </c>
      <c r="F997" s="14" t="s">
        <v>207</v>
      </c>
      <c r="G997" s="14" t="s">
        <v>232</v>
      </c>
      <c r="H997" s="66" t="str">
        <f>Table1[[#This Row],[Tabela]]&amp;Table1[[#This Row],[Campo]]</f>
        <v>modesg_inp_empr_excl_parisccli_kgl</v>
      </c>
      <c r="I997" s="4" t="s">
        <v>477</v>
      </c>
      <c r="J997" s="59">
        <f>VLOOKUP(Table1[[#This Row],[Status]],Auxiliar!$B$16:$C$23,2,0)</f>
        <v>1</v>
      </c>
      <c r="K997" s="22" t="s">
        <v>1141</v>
      </c>
      <c r="L997" s="3" t="s">
        <v>1144</v>
      </c>
      <c r="M997" s="22" t="s">
        <v>1155</v>
      </c>
      <c r="N997" s="53">
        <v>45485</v>
      </c>
      <c r="O997" s="22">
        <f>INDEX(Auxiliar!$D$5:$F$13,MATCH(Table1[[#This Row],[Tipologia_Testes]],Auxiliar!$B$5:$B$13,0),MATCH(Table1[[#This Row],[Complexidade]],Auxiliar!$D$4:$F$4,0))</f>
        <v>0.1</v>
      </c>
      <c r="P997" s="3" t="s">
        <v>1213</v>
      </c>
      <c r="Q997" s="3"/>
      <c r="R997" s="173">
        <v>45261</v>
      </c>
      <c r="S997" s="173"/>
      <c r="T997" s="173"/>
      <c r="U997" s="173"/>
      <c r="V997" s="173"/>
      <c r="W997" s="3">
        <f>VLOOKUP(Table1[[#This Row],[Status]],Auxiliar!$B$16:$D$23,3,0)*Table1[[#This Row],[Estimação (horas)]]</f>
        <v>0.1</v>
      </c>
      <c r="X997" s="3" t="s">
        <v>1212</v>
      </c>
    </row>
    <row r="998" spans="2:24" ht="17.399999999999999" hidden="1" customHeight="1">
      <c r="B998" s="14" t="s">
        <v>28</v>
      </c>
      <c r="C998" s="14" t="s">
        <v>178</v>
      </c>
      <c r="D998" s="14" t="s">
        <v>1202</v>
      </c>
      <c r="E998" s="3" t="s">
        <v>38</v>
      </c>
      <c r="F998" s="14" t="s">
        <v>207</v>
      </c>
      <c r="G998" s="14" t="s">
        <v>232</v>
      </c>
      <c r="H998" s="66" t="str">
        <f>Table1[[#This Row],[Tabela]]&amp;Table1[[#This Row],[Campo]]</f>
        <v>modesg_inp_empr_excl_parisccli_kgl</v>
      </c>
      <c r="I998" s="4" t="s">
        <v>477</v>
      </c>
      <c r="J998" s="59">
        <f>VLOOKUP(Table1[[#This Row],[Status]],Auxiliar!$B$16:$C$23,2,0)</f>
        <v>1</v>
      </c>
      <c r="K998" s="22" t="s">
        <v>1164</v>
      </c>
      <c r="L998" s="3" t="s">
        <v>1144</v>
      </c>
      <c r="M998" s="22" t="s">
        <v>1155</v>
      </c>
      <c r="N998" s="53">
        <v>45485</v>
      </c>
      <c r="O998" s="22">
        <f>INDEX(Auxiliar!$D$5:$F$13,MATCH(Table1[[#This Row],[Tipologia_Testes]],Auxiliar!$B$5:$B$13,0),MATCH(Table1[[#This Row],[Complexidade]],Auxiliar!$D$4:$F$4,0))</f>
        <v>0.5</v>
      </c>
      <c r="P998" s="3"/>
      <c r="Q998" s="3"/>
      <c r="R998" s="173">
        <v>45261</v>
      </c>
      <c r="S998" s="173"/>
      <c r="T998" s="173"/>
      <c r="U998" s="173"/>
      <c r="V998" s="173"/>
      <c r="W998" s="3">
        <f>VLOOKUP(Table1[[#This Row],[Status]],Auxiliar!$B$16:$D$23,3,0)*Table1[[#This Row],[Estimação (horas)]]</f>
        <v>0.5</v>
      </c>
      <c r="X998" s="3" t="s">
        <v>1212</v>
      </c>
    </row>
    <row r="999" spans="2:24" ht="17.399999999999999" hidden="1" customHeight="1">
      <c r="B999" s="14" t="s">
        <v>28</v>
      </c>
      <c r="C999" s="14" t="s">
        <v>178</v>
      </c>
      <c r="D999" s="14" t="s">
        <v>1202</v>
      </c>
      <c r="E999" s="3" t="s">
        <v>38</v>
      </c>
      <c r="F999" s="14" t="s">
        <v>207</v>
      </c>
      <c r="G999" s="14" t="s">
        <v>233</v>
      </c>
      <c r="H999" s="66" t="str">
        <f>Table1[[#This Row],[Tabela]]&amp;Table1[[#This Row],[Campo]]</f>
        <v>modesg_inp_empr_excl_parisnome_entidade</v>
      </c>
      <c r="I999" s="4" t="s">
        <v>477</v>
      </c>
      <c r="J999" s="59">
        <f>VLOOKUP(Table1[[#This Row],[Status]],Auxiliar!$B$16:$C$23,2,0)</f>
        <v>1</v>
      </c>
      <c r="K999" s="22" t="s">
        <v>1164</v>
      </c>
      <c r="L999" s="3" t="s">
        <v>1144</v>
      </c>
      <c r="M999" s="22" t="s">
        <v>1155</v>
      </c>
      <c r="N999" s="53">
        <v>45485</v>
      </c>
      <c r="O999" s="22">
        <f>INDEX(Auxiliar!$D$5:$F$13,MATCH(Table1[[#This Row],[Tipologia_Testes]],Auxiliar!$B$5:$B$13,0),MATCH(Table1[[#This Row],[Complexidade]],Auxiliar!$D$4:$F$4,0))</f>
        <v>0.5</v>
      </c>
      <c r="P999" s="3"/>
      <c r="Q999" s="3"/>
      <c r="R999" s="173">
        <v>45261</v>
      </c>
      <c r="S999" s="173"/>
      <c r="T999" s="173"/>
      <c r="U999" s="173"/>
      <c r="V999" s="173"/>
      <c r="W999" s="3">
        <f>VLOOKUP(Table1[[#This Row],[Status]],Auxiliar!$B$16:$D$23,3,0)*Table1[[#This Row],[Estimação (horas)]]</f>
        <v>0.5</v>
      </c>
      <c r="X999" s="3" t="s">
        <v>1212</v>
      </c>
    </row>
    <row r="1000" spans="2:24" ht="17.399999999999999" hidden="1" customHeight="1">
      <c r="B1000" s="14" t="s">
        <v>28</v>
      </c>
      <c r="C1000" s="14" t="s">
        <v>178</v>
      </c>
      <c r="D1000" s="14" t="s">
        <v>1202</v>
      </c>
      <c r="E1000" s="3" t="s">
        <v>38</v>
      </c>
      <c r="F1000" s="14" t="s">
        <v>207</v>
      </c>
      <c r="G1000" s="14" t="s">
        <v>234</v>
      </c>
      <c r="H1000" s="66" t="str">
        <f>Table1[[#This Row],[Tabela]]&amp;Table1[[#This Row],[Campo]]</f>
        <v>modesg_inp_empr_excl_parisflg_scib</v>
      </c>
      <c r="I1000" s="4" t="s">
        <v>477</v>
      </c>
      <c r="J1000" s="59">
        <f>VLOOKUP(Table1[[#This Row],[Status]],Auxiliar!$B$16:$C$23,2,0)</f>
        <v>1</v>
      </c>
      <c r="K1000" s="22" t="s">
        <v>1164</v>
      </c>
      <c r="L1000" s="3" t="s">
        <v>1144</v>
      </c>
      <c r="M1000" s="22" t="s">
        <v>1155</v>
      </c>
      <c r="N1000" s="53">
        <v>45485</v>
      </c>
      <c r="O1000" s="22">
        <f>INDEX(Auxiliar!$D$5:$F$13,MATCH(Table1[[#This Row],[Tipologia_Testes]],Auxiliar!$B$5:$B$13,0),MATCH(Table1[[#This Row],[Complexidade]],Auxiliar!$D$4:$F$4,0))</f>
        <v>0.5</v>
      </c>
      <c r="P1000" s="3"/>
      <c r="Q1000" s="3"/>
      <c r="R1000" s="173">
        <v>45261</v>
      </c>
      <c r="S1000" s="173"/>
      <c r="T1000" s="173"/>
      <c r="U1000" s="173"/>
      <c r="V1000" s="173"/>
      <c r="W1000" s="3">
        <f>VLOOKUP(Table1[[#This Row],[Status]],Auxiliar!$B$16:$D$23,3,0)*Table1[[#This Row],[Estimação (horas)]]</f>
        <v>0.5</v>
      </c>
      <c r="X1000" s="3" t="s">
        <v>1212</v>
      </c>
    </row>
    <row r="1001" spans="2:24" ht="17.399999999999999" hidden="1" customHeight="1">
      <c r="B1001" s="14" t="s">
        <v>28</v>
      </c>
      <c r="C1001" s="14" t="s">
        <v>178</v>
      </c>
      <c r="D1001" s="14" t="s">
        <v>1202</v>
      </c>
      <c r="E1001" s="3" t="s">
        <v>38</v>
      </c>
      <c r="F1001" s="14" t="s">
        <v>207</v>
      </c>
      <c r="G1001" s="14" t="s">
        <v>214</v>
      </c>
      <c r="H1001" s="66" t="str">
        <f>Table1[[#This Row],[Tabela]]&amp;Table1[[#This Row],[Campo]]</f>
        <v>modesg_inp_empr_excl_parisnome_pais</v>
      </c>
      <c r="I1001" s="4" t="s">
        <v>477</v>
      </c>
      <c r="J1001" s="59">
        <f>VLOOKUP(Table1[[#This Row],[Status]],Auxiliar!$B$16:$C$23,2,0)</f>
        <v>1</v>
      </c>
      <c r="K1001" s="22" t="s">
        <v>1164</v>
      </c>
      <c r="L1001" s="29"/>
      <c r="M1001" s="22" t="s">
        <v>1155</v>
      </c>
      <c r="N1001" s="53">
        <v>45485</v>
      </c>
      <c r="O1001" s="22">
        <f>INDEX(Auxiliar!$D$5:$F$13,MATCH(Table1[[#This Row],[Tipologia_Testes]],Auxiliar!$B$5:$B$13,0),MATCH(Table1[[#This Row],[Complexidade]],Auxiliar!$D$4:$F$4,0))</f>
        <v>0.5</v>
      </c>
      <c r="P1001" s="3"/>
      <c r="Q1001" s="3"/>
      <c r="R1001" s="173">
        <v>45261</v>
      </c>
      <c r="S1001" s="173"/>
      <c r="T1001" s="173"/>
      <c r="U1001" s="173"/>
      <c r="V1001" s="173"/>
      <c r="W1001" s="3">
        <f>VLOOKUP(Table1[[#This Row],[Status]],Auxiliar!$B$16:$D$23,3,0)*Table1[[#This Row],[Estimação (horas)]]</f>
        <v>0.5</v>
      </c>
      <c r="X1001" s="3" t="s">
        <v>1212</v>
      </c>
    </row>
    <row r="1002" spans="2:24" ht="17.399999999999999" hidden="1" customHeight="1">
      <c r="B1002" s="14" t="s">
        <v>28</v>
      </c>
      <c r="C1002" s="14" t="s">
        <v>178</v>
      </c>
      <c r="D1002" s="14" t="s">
        <v>1205</v>
      </c>
      <c r="E1002" s="3" t="s">
        <v>38</v>
      </c>
      <c r="F1002" s="14" t="s">
        <v>208</v>
      </c>
      <c r="G1002" s="14" t="s">
        <v>73</v>
      </c>
      <c r="H1002" s="66" t="str">
        <f>Table1[[#This Row],[Tabela]]&amp;Table1[[#This Row],[Campo]]</f>
        <v>modesg_inp_nfrd_alinhamento_taxref_date</v>
      </c>
      <c r="I1002" s="3" t="s">
        <v>477</v>
      </c>
      <c r="J1002" s="48">
        <f>VLOOKUP(Table1[[#This Row],[Status]],Auxiliar!$B$16:$C$23,2,0)</f>
        <v>1</v>
      </c>
      <c r="K1002" s="22" t="s">
        <v>1164</v>
      </c>
      <c r="L1002" s="29"/>
      <c r="M1002" s="22" t="s">
        <v>1155</v>
      </c>
      <c r="N1002" s="53">
        <v>45540</v>
      </c>
      <c r="O1002" s="22">
        <f>INDEX(Auxiliar!$D$5:$F$13,MATCH(Table1[[#This Row],[Tipologia_Testes]],Auxiliar!$B$5:$B$13,0),MATCH(Table1[[#This Row],[Complexidade]],Auxiliar!$D$4:$F$4,0))</f>
        <v>0.5</v>
      </c>
      <c r="P1002" s="3"/>
      <c r="Q1002" s="3"/>
      <c r="R1002" s="173">
        <v>45261</v>
      </c>
      <c r="S1002" s="173"/>
      <c r="T1002" s="173"/>
      <c r="U1002" s="173">
        <v>45534</v>
      </c>
      <c r="V1002" s="173">
        <v>45534</v>
      </c>
      <c r="W1002" s="3">
        <f>VLOOKUP(Table1[[#This Row],[Status]],Auxiliar!$B$16:$D$23,3,0)*Table1[[#This Row],[Estimação (horas)]]</f>
        <v>0.5</v>
      </c>
      <c r="X1002" s="3"/>
    </row>
    <row r="1003" spans="2:24" ht="17.399999999999999" hidden="1" customHeight="1">
      <c r="B1003" s="14" t="s">
        <v>28</v>
      </c>
      <c r="C1003" s="14" t="s">
        <v>178</v>
      </c>
      <c r="D1003" s="14" t="s">
        <v>1205</v>
      </c>
      <c r="E1003" s="3" t="s">
        <v>38</v>
      </c>
      <c r="F1003" s="14" t="s">
        <v>208</v>
      </c>
      <c r="G1003" s="14" t="s">
        <v>232</v>
      </c>
      <c r="H1003" s="66" t="str">
        <f>Table1[[#This Row],[Tabela]]&amp;Table1[[#This Row],[Campo]]</f>
        <v>modesg_inp_nfrd_alinhamento_taxccli_kgl</v>
      </c>
      <c r="I1003" s="3" t="s">
        <v>477</v>
      </c>
      <c r="J1003" s="48">
        <f>VLOOKUP(Table1[[#This Row],[Status]],Auxiliar!$B$16:$C$23,2,0)</f>
        <v>1</v>
      </c>
      <c r="K1003" s="22" t="s">
        <v>1141</v>
      </c>
      <c r="L1003" s="29"/>
      <c r="M1003" s="22" t="s">
        <v>1155</v>
      </c>
      <c r="N1003" s="53">
        <v>45540</v>
      </c>
      <c r="O1003" s="22">
        <f>INDEX(Auxiliar!$D$5:$F$13,MATCH(Table1[[#This Row],[Tipologia_Testes]],Auxiliar!$B$5:$B$13,0),MATCH(Table1[[#This Row],[Complexidade]],Auxiliar!$D$4:$F$4,0))</f>
        <v>0.1</v>
      </c>
      <c r="P1003" s="3" t="s">
        <v>1214</v>
      </c>
      <c r="Q1003" s="3"/>
      <c r="R1003" s="173">
        <v>45261</v>
      </c>
      <c r="S1003" s="173"/>
      <c r="T1003" s="173"/>
      <c r="U1003" s="173">
        <v>45534</v>
      </c>
      <c r="V1003" s="173">
        <v>45534</v>
      </c>
      <c r="W1003" s="3">
        <f>VLOOKUP(Table1[[#This Row],[Status]],Auxiliar!$B$16:$D$23,3,0)*Table1[[#This Row],[Estimação (horas)]]</f>
        <v>0.1</v>
      </c>
      <c r="X1003" s="3"/>
    </row>
    <row r="1004" spans="2:24" ht="17.399999999999999" hidden="1" customHeight="1">
      <c r="B1004" s="14" t="s">
        <v>28</v>
      </c>
      <c r="C1004" s="14" t="s">
        <v>178</v>
      </c>
      <c r="D1004" s="14" t="s">
        <v>1205</v>
      </c>
      <c r="E1004" s="3" t="s">
        <v>38</v>
      </c>
      <c r="F1004" s="14" t="s">
        <v>208</v>
      </c>
      <c r="G1004" s="14" t="s">
        <v>232</v>
      </c>
      <c r="H1004" s="66" t="str">
        <f>Table1[[#This Row],[Tabela]]&amp;Table1[[#This Row],[Campo]]</f>
        <v>modesg_inp_nfrd_alinhamento_taxccli_kgl</v>
      </c>
      <c r="I1004" s="3" t="s">
        <v>477</v>
      </c>
      <c r="J1004" s="48">
        <f>VLOOKUP(Table1[[#This Row],[Status]],Auxiliar!$B$16:$C$23,2,0)</f>
        <v>1</v>
      </c>
      <c r="K1004" s="22" t="s">
        <v>1164</v>
      </c>
      <c r="L1004" s="29"/>
      <c r="M1004" s="22" t="s">
        <v>1155</v>
      </c>
      <c r="N1004" s="53">
        <v>45540</v>
      </c>
      <c r="O1004" s="22">
        <f>INDEX(Auxiliar!$D$5:$F$13,MATCH(Table1[[#This Row],[Tipologia_Testes]],Auxiliar!$B$5:$B$13,0),MATCH(Table1[[#This Row],[Complexidade]],Auxiliar!$D$4:$F$4,0))</f>
        <v>0.5</v>
      </c>
      <c r="P1004" s="3"/>
      <c r="Q1004" s="3"/>
      <c r="R1004" s="173">
        <v>45261</v>
      </c>
      <c r="S1004" s="173"/>
      <c r="T1004" s="173"/>
      <c r="U1004" s="173">
        <v>45534</v>
      </c>
      <c r="V1004" s="173">
        <v>45534</v>
      </c>
      <c r="W1004" s="3">
        <f>VLOOKUP(Table1[[#This Row],[Status]],Auxiliar!$B$16:$D$23,3,0)*Table1[[#This Row],[Estimação (horas)]]</f>
        <v>0.5</v>
      </c>
      <c r="X1004" s="3"/>
    </row>
    <row r="1005" spans="2:24" ht="17.399999999999999" hidden="1" customHeight="1">
      <c r="B1005" s="14" t="s">
        <v>28</v>
      </c>
      <c r="C1005" s="14" t="s">
        <v>178</v>
      </c>
      <c r="D1005" s="14" t="s">
        <v>1205</v>
      </c>
      <c r="E1005" s="3" t="s">
        <v>38</v>
      </c>
      <c r="F1005" s="14" t="s">
        <v>208</v>
      </c>
      <c r="G1005" s="14" t="s">
        <v>231</v>
      </c>
      <c r="H1005" s="66" t="str">
        <f>Table1[[#This Row],[Tabela]]&amp;Table1[[#This Row],[Campo]]</f>
        <v>modesg_inp_nfrd_alinhamento_taxclei</v>
      </c>
      <c r="I1005" s="3" t="s">
        <v>477</v>
      </c>
      <c r="J1005" s="48">
        <f>VLOOKUP(Table1[[#This Row],[Status]],Auxiliar!$B$16:$C$23,2,0)</f>
        <v>1</v>
      </c>
      <c r="K1005" s="22" t="s">
        <v>1141</v>
      </c>
      <c r="L1005" s="29"/>
      <c r="M1005" s="22" t="s">
        <v>1155</v>
      </c>
      <c r="N1005" s="53">
        <v>45540</v>
      </c>
      <c r="O1005" s="22">
        <f>INDEX(Auxiliar!$D$5:$F$13,MATCH(Table1[[#This Row],[Tipologia_Testes]],Auxiliar!$B$5:$B$13,0),MATCH(Table1[[#This Row],[Complexidade]],Auxiliar!$D$4:$F$4,0))</f>
        <v>0.1</v>
      </c>
      <c r="P1005" s="3" t="s">
        <v>1214</v>
      </c>
      <c r="Q1005" s="3"/>
      <c r="R1005" s="173">
        <v>45261</v>
      </c>
      <c r="S1005" s="173"/>
      <c r="T1005" s="173"/>
      <c r="U1005" s="173">
        <v>45534</v>
      </c>
      <c r="V1005" s="173">
        <v>45534</v>
      </c>
      <c r="W1005" s="3">
        <f>VLOOKUP(Table1[[#This Row],[Status]],Auxiliar!$B$16:$D$23,3,0)*Table1[[#This Row],[Estimação (horas)]]</f>
        <v>0.1</v>
      </c>
      <c r="X1005" s="3"/>
    </row>
    <row r="1006" spans="2:24" ht="17.399999999999999" hidden="1" customHeight="1">
      <c r="B1006" s="14" t="s">
        <v>28</v>
      </c>
      <c r="C1006" s="14" t="s">
        <v>178</v>
      </c>
      <c r="D1006" s="14" t="s">
        <v>1205</v>
      </c>
      <c r="E1006" s="3" t="s">
        <v>38</v>
      </c>
      <c r="F1006" s="14" t="s">
        <v>208</v>
      </c>
      <c r="G1006" s="14" t="s">
        <v>231</v>
      </c>
      <c r="H1006" s="66" t="str">
        <f>Table1[[#This Row],[Tabela]]&amp;Table1[[#This Row],[Campo]]</f>
        <v>modesg_inp_nfrd_alinhamento_taxclei</v>
      </c>
      <c r="I1006" s="3" t="s">
        <v>477</v>
      </c>
      <c r="J1006" s="48">
        <f>VLOOKUP(Table1[[#This Row],[Status]],Auxiliar!$B$16:$C$23,2,0)</f>
        <v>1</v>
      </c>
      <c r="K1006" s="22" t="s">
        <v>1164</v>
      </c>
      <c r="L1006" s="29"/>
      <c r="M1006" s="22" t="s">
        <v>1155</v>
      </c>
      <c r="N1006" s="53">
        <v>45540</v>
      </c>
      <c r="O1006" s="22">
        <f>INDEX(Auxiliar!$D$5:$F$13,MATCH(Table1[[#This Row],[Tipologia_Testes]],Auxiliar!$B$5:$B$13,0),MATCH(Table1[[#This Row],[Complexidade]],Auxiliar!$D$4:$F$4,0))</f>
        <v>0.5</v>
      </c>
      <c r="P1006" s="3"/>
      <c r="Q1006" s="3"/>
      <c r="R1006" s="173">
        <v>45261</v>
      </c>
      <c r="S1006" s="173"/>
      <c r="T1006" s="173"/>
      <c r="U1006" s="173">
        <v>45534</v>
      </c>
      <c r="V1006" s="173">
        <v>45534</v>
      </c>
      <c r="W1006" s="3">
        <f>VLOOKUP(Table1[[#This Row],[Status]],Auxiliar!$B$16:$D$23,3,0)*Table1[[#This Row],[Estimação (horas)]]</f>
        <v>0.5</v>
      </c>
      <c r="X1006" s="3"/>
    </row>
    <row r="1007" spans="2:24" ht="17.399999999999999" hidden="1" customHeight="1">
      <c r="B1007" s="14" t="s">
        <v>28</v>
      </c>
      <c r="C1007" s="14" t="s">
        <v>178</v>
      </c>
      <c r="D1007" s="14" t="s">
        <v>1205</v>
      </c>
      <c r="E1007" s="3" t="s">
        <v>38</v>
      </c>
      <c r="F1007" s="14" t="s">
        <v>208</v>
      </c>
      <c r="G1007" s="14" t="s">
        <v>235</v>
      </c>
      <c r="H1007" s="66" t="str">
        <f>Table1[[#This Row],[Tabela]]&amp;Table1[[#This Row],[Campo]]</f>
        <v>modesg_inp_nfrd_alinhamento_taxperm_id</v>
      </c>
      <c r="I1007" s="3" t="s">
        <v>477</v>
      </c>
      <c r="J1007" s="48">
        <f>VLOOKUP(Table1[[#This Row],[Status]],Auxiliar!$B$16:$C$23,2,0)</f>
        <v>1</v>
      </c>
      <c r="K1007" s="22" t="s">
        <v>1164</v>
      </c>
      <c r="L1007" s="29"/>
      <c r="M1007" s="22" t="s">
        <v>1155</v>
      </c>
      <c r="N1007" s="53">
        <v>45540</v>
      </c>
      <c r="O1007" s="22">
        <f>INDEX(Auxiliar!$D$5:$F$13,MATCH(Table1[[#This Row],[Tipologia_Testes]],Auxiliar!$B$5:$B$13,0),MATCH(Table1[[#This Row],[Complexidade]],Auxiliar!$D$4:$F$4,0))</f>
        <v>0.5</v>
      </c>
      <c r="P1007" s="3"/>
      <c r="Q1007" s="3"/>
      <c r="R1007" s="173">
        <v>45261</v>
      </c>
      <c r="S1007" s="173"/>
      <c r="T1007" s="173"/>
      <c r="U1007" s="173">
        <v>45534</v>
      </c>
      <c r="V1007" s="173">
        <v>45534</v>
      </c>
      <c r="W1007" s="3">
        <f>VLOOKUP(Table1[[#This Row],[Status]],Auxiliar!$B$16:$D$23,3,0)*Table1[[#This Row],[Estimação (horas)]]</f>
        <v>0.5</v>
      </c>
      <c r="X1007" s="3"/>
    </row>
    <row r="1008" spans="2:24" ht="17.399999999999999" hidden="1" customHeight="1">
      <c r="B1008" s="14" t="s">
        <v>28</v>
      </c>
      <c r="C1008" s="14" t="s">
        <v>178</v>
      </c>
      <c r="D1008" s="14" t="s">
        <v>1205</v>
      </c>
      <c r="E1008" s="3" t="s">
        <v>38</v>
      </c>
      <c r="F1008" s="14" t="s">
        <v>208</v>
      </c>
      <c r="G1008" s="14" t="s">
        <v>233</v>
      </c>
      <c r="H1008" s="66" t="str">
        <f>Table1[[#This Row],[Tabela]]&amp;Table1[[#This Row],[Campo]]</f>
        <v>modesg_inp_nfrd_alinhamento_taxnome_entidade</v>
      </c>
      <c r="I1008" s="3" t="s">
        <v>477</v>
      </c>
      <c r="J1008" s="48">
        <f>VLOOKUP(Table1[[#This Row],[Status]],Auxiliar!$B$16:$C$23,2,0)</f>
        <v>1</v>
      </c>
      <c r="K1008" s="22" t="s">
        <v>1164</v>
      </c>
      <c r="L1008" s="29"/>
      <c r="M1008" s="22" t="s">
        <v>1155</v>
      </c>
      <c r="N1008" s="53">
        <v>45540</v>
      </c>
      <c r="O1008" s="22">
        <f>INDEX(Auxiliar!$D$5:$F$13,MATCH(Table1[[#This Row],[Tipologia_Testes]],Auxiliar!$B$5:$B$13,0),MATCH(Table1[[#This Row],[Complexidade]],Auxiliar!$D$4:$F$4,0))</f>
        <v>0.5</v>
      </c>
      <c r="P1008" s="3"/>
      <c r="Q1008" s="3"/>
      <c r="R1008" s="173">
        <v>45261</v>
      </c>
      <c r="S1008" s="173"/>
      <c r="T1008" s="173"/>
      <c r="U1008" s="173">
        <v>45534</v>
      </c>
      <c r="V1008" s="173">
        <v>45534</v>
      </c>
      <c r="W1008" s="3">
        <f>VLOOKUP(Table1[[#This Row],[Status]],Auxiliar!$B$16:$D$23,3,0)*Table1[[#This Row],[Estimação (horas)]]</f>
        <v>0.5</v>
      </c>
      <c r="X1008" s="3"/>
    </row>
    <row r="1009" spans="2:24" ht="17.399999999999999" hidden="1" customHeight="1">
      <c r="B1009" s="14" t="s">
        <v>28</v>
      </c>
      <c r="C1009" s="14" t="s">
        <v>178</v>
      </c>
      <c r="D1009" s="14" t="s">
        <v>1205</v>
      </c>
      <c r="E1009" s="3" t="s">
        <v>38</v>
      </c>
      <c r="F1009" s="14" t="s">
        <v>208</v>
      </c>
      <c r="G1009" s="14" t="s">
        <v>214</v>
      </c>
      <c r="H1009" s="66" t="str">
        <f>Table1[[#This Row],[Tabela]]&amp;Table1[[#This Row],[Campo]]</f>
        <v>modesg_inp_nfrd_alinhamento_taxnome_pais</v>
      </c>
      <c r="I1009" s="3" t="s">
        <v>477</v>
      </c>
      <c r="J1009" s="48">
        <f>VLOOKUP(Table1[[#This Row],[Status]],Auxiliar!$B$16:$C$23,2,0)</f>
        <v>1</v>
      </c>
      <c r="K1009" s="22" t="s">
        <v>1164</v>
      </c>
      <c r="L1009" s="29"/>
      <c r="M1009" s="22" t="s">
        <v>1155</v>
      </c>
      <c r="N1009" s="53">
        <v>45540</v>
      </c>
      <c r="O1009" s="22">
        <f>INDEX(Auxiliar!$D$5:$F$13,MATCH(Table1[[#This Row],[Tipologia_Testes]],Auxiliar!$B$5:$B$13,0),MATCH(Table1[[#This Row],[Complexidade]],Auxiliar!$D$4:$F$4,0))</f>
        <v>0.5</v>
      </c>
      <c r="P1009" s="3"/>
      <c r="Q1009" s="3"/>
      <c r="R1009" s="173">
        <v>45261</v>
      </c>
      <c r="S1009" s="173"/>
      <c r="T1009" s="173"/>
      <c r="U1009" s="173">
        <v>45534</v>
      </c>
      <c r="V1009" s="173">
        <v>45534</v>
      </c>
      <c r="W1009" s="3">
        <f>VLOOKUP(Table1[[#This Row],[Status]],Auxiliar!$B$16:$D$23,3,0)*Table1[[#This Row],[Estimação (horas)]]</f>
        <v>0.5</v>
      </c>
      <c r="X1009" s="3"/>
    </row>
    <row r="1010" spans="2:24" ht="17.399999999999999" hidden="1" customHeight="1">
      <c r="B1010" s="14" t="s">
        <v>28</v>
      </c>
      <c r="C1010" s="14" t="s">
        <v>178</v>
      </c>
      <c r="D1010" s="14" t="s">
        <v>1205</v>
      </c>
      <c r="E1010" s="3" t="s">
        <v>38</v>
      </c>
      <c r="F1010" s="14" t="s">
        <v>208</v>
      </c>
      <c r="G1010" s="14" t="s">
        <v>236</v>
      </c>
      <c r="H1010" s="66" t="str">
        <f>Table1[[#This Row],[Tabela]]&amp;Table1[[#This Row],[Campo]]</f>
        <v>modesg_inp_nfrd_alinhamento_taxflg_nfrd</v>
      </c>
      <c r="I1010" s="3" t="s">
        <v>477</v>
      </c>
      <c r="J1010" s="48">
        <f>VLOOKUP(Table1[[#This Row],[Status]],Auxiliar!$B$16:$C$23,2,0)</f>
        <v>1</v>
      </c>
      <c r="K1010" s="22" t="s">
        <v>1164</v>
      </c>
      <c r="L1010" s="29"/>
      <c r="M1010" s="22" t="s">
        <v>1155</v>
      </c>
      <c r="N1010" s="53">
        <v>45540</v>
      </c>
      <c r="O1010" s="22">
        <f>INDEX(Auxiliar!$D$5:$F$13,MATCH(Table1[[#This Row],[Tipologia_Testes]],Auxiliar!$B$5:$B$13,0),MATCH(Table1[[#This Row],[Complexidade]],Auxiliar!$D$4:$F$4,0))</f>
        <v>0.5</v>
      </c>
      <c r="P1010" s="3"/>
      <c r="Q1010" s="3"/>
      <c r="R1010" s="173">
        <v>45261</v>
      </c>
      <c r="S1010" s="173"/>
      <c r="T1010" s="173"/>
      <c r="U1010" s="173">
        <v>45534</v>
      </c>
      <c r="V1010" s="173">
        <v>45534</v>
      </c>
      <c r="W1010" s="3">
        <f>VLOOKUP(Table1[[#This Row],[Status]],Auxiliar!$B$16:$D$23,3,0)*Table1[[#This Row],[Estimação (horas)]]</f>
        <v>0.5</v>
      </c>
      <c r="X1010" s="3"/>
    </row>
    <row r="1011" spans="2:24" ht="17.399999999999999" hidden="1" customHeight="1">
      <c r="B1011" s="14" t="s">
        <v>28</v>
      </c>
      <c r="C1011" s="14" t="s">
        <v>178</v>
      </c>
      <c r="D1011" s="14" t="s">
        <v>1205</v>
      </c>
      <c r="E1011" s="3" t="s">
        <v>38</v>
      </c>
      <c r="F1011" s="14" t="s">
        <v>208</v>
      </c>
      <c r="G1011" s="14" t="s">
        <v>237</v>
      </c>
      <c r="H1011" s="66" t="str">
        <f>Table1[[#This Row],[Tabela]]&amp;Table1[[#This Row],[Campo]]</f>
        <v>modesg_inp_nfrd_alinhamento_taxcca_trnvr_ttl_elgbl</v>
      </c>
      <c r="I1011" s="3" t="s">
        <v>477</v>
      </c>
      <c r="J1011" s="48">
        <f>VLOOKUP(Table1[[#This Row],[Status]],Auxiliar!$B$16:$C$23,2,0)</f>
        <v>1</v>
      </c>
      <c r="K1011" s="22" t="s">
        <v>1141</v>
      </c>
      <c r="L1011" s="29"/>
      <c r="M1011" s="22" t="s">
        <v>1155</v>
      </c>
      <c r="N1011" s="53">
        <v>45540</v>
      </c>
      <c r="O1011" s="22">
        <f>INDEX(Auxiliar!$D$5:$F$13,MATCH(Table1[[#This Row],[Tipologia_Testes]],Auxiliar!$B$5:$B$13,0),MATCH(Table1[[#This Row],[Complexidade]],Auxiliar!$D$4:$F$4,0))</f>
        <v>0.1</v>
      </c>
      <c r="P1011" s="3" t="s">
        <v>1215</v>
      </c>
      <c r="Q1011" s="3"/>
      <c r="R1011" s="173">
        <v>45261</v>
      </c>
      <c r="S1011" s="173"/>
      <c r="T1011" s="173"/>
      <c r="U1011" s="173">
        <v>45534</v>
      </c>
      <c r="V1011" s="173">
        <v>45534</v>
      </c>
      <c r="W1011" s="3">
        <f>VLOOKUP(Table1[[#This Row],[Status]],Auxiliar!$B$16:$D$23,3,0)*Table1[[#This Row],[Estimação (horas)]]</f>
        <v>0.1</v>
      </c>
      <c r="X1011" s="3"/>
    </row>
    <row r="1012" spans="2:24" ht="17.399999999999999" hidden="1" customHeight="1">
      <c r="B1012" s="14" t="s">
        <v>28</v>
      </c>
      <c r="C1012" s="14" t="s">
        <v>178</v>
      </c>
      <c r="D1012" s="14" t="s">
        <v>1205</v>
      </c>
      <c r="E1012" s="3" t="s">
        <v>38</v>
      </c>
      <c r="F1012" s="14" t="s">
        <v>208</v>
      </c>
      <c r="G1012" s="14" t="s">
        <v>237</v>
      </c>
      <c r="H1012" s="66" t="str">
        <f>Table1[[#This Row],[Tabela]]&amp;Table1[[#This Row],[Campo]]</f>
        <v>modesg_inp_nfrd_alinhamento_taxcca_trnvr_ttl_elgbl</v>
      </c>
      <c r="I1012" s="3" t="s">
        <v>477</v>
      </c>
      <c r="J1012" s="48">
        <f>VLOOKUP(Table1[[#This Row],[Status]],Auxiliar!$B$16:$C$23,2,0)</f>
        <v>1</v>
      </c>
      <c r="K1012" s="22" t="s">
        <v>1164</v>
      </c>
      <c r="L1012" s="29"/>
      <c r="M1012" s="22" t="s">
        <v>1155</v>
      </c>
      <c r="N1012" s="53">
        <v>45540</v>
      </c>
      <c r="O1012" s="22">
        <f>INDEX(Auxiliar!$D$5:$F$13,MATCH(Table1[[#This Row],[Tipologia_Testes]],Auxiliar!$B$5:$B$13,0),MATCH(Table1[[#This Row],[Complexidade]],Auxiliar!$D$4:$F$4,0))</f>
        <v>0.5</v>
      </c>
      <c r="P1012" s="3"/>
      <c r="Q1012" s="3"/>
      <c r="R1012" s="173">
        <v>45261</v>
      </c>
      <c r="S1012" s="173"/>
      <c r="T1012" s="173"/>
      <c r="U1012" s="173">
        <v>45534</v>
      </c>
      <c r="V1012" s="173">
        <v>45534</v>
      </c>
      <c r="W1012" s="3">
        <f>VLOOKUP(Table1[[#This Row],[Status]],Auxiliar!$B$16:$D$23,3,0)*Table1[[#This Row],[Estimação (horas)]]</f>
        <v>0.5</v>
      </c>
      <c r="X1012" s="3"/>
    </row>
    <row r="1013" spans="2:24" ht="17.399999999999999" hidden="1" customHeight="1">
      <c r="B1013" s="14" t="s">
        <v>28</v>
      </c>
      <c r="C1013" s="14" t="s">
        <v>178</v>
      </c>
      <c r="D1013" s="14" t="s">
        <v>1205</v>
      </c>
      <c r="E1013" s="3" t="s">
        <v>38</v>
      </c>
      <c r="F1013" s="14" t="s">
        <v>208</v>
      </c>
      <c r="G1013" s="14" t="s">
        <v>238</v>
      </c>
      <c r="H1013" s="66" t="str">
        <f>Table1[[#This Row],[Tabela]]&amp;Table1[[#This Row],[Campo]]</f>
        <v>modesg_inp_nfrd_alinhamento_taxcca_trnvr_enblng_alignd</v>
      </c>
      <c r="I1013" s="3" t="s">
        <v>477</v>
      </c>
      <c r="J1013" s="48">
        <f>VLOOKUP(Table1[[#This Row],[Status]],Auxiliar!$B$16:$C$23,2,0)</f>
        <v>1</v>
      </c>
      <c r="K1013" s="22" t="s">
        <v>1141</v>
      </c>
      <c r="L1013" s="29"/>
      <c r="M1013" s="22" t="s">
        <v>1155</v>
      </c>
      <c r="N1013" s="53">
        <v>45540</v>
      </c>
      <c r="O1013" s="22">
        <f>INDEX(Auxiliar!$D$5:$F$13,MATCH(Table1[[#This Row],[Tipologia_Testes]],Auxiliar!$B$5:$B$13,0),MATCH(Table1[[#This Row],[Complexidade]],Auxiliar!$D$4:$F$4,0))</f>
        <v>0.1</v>
      </c>
      <c r="P1013" s="3" t="s">
        <v>1215</v>
      </c>
      <c r="Q1013" s="3"/>
      <c r="R1013" s="173">
        <v>45261</v>
      </c>
      <c r="S1013" s="173"/>
      <c r="T1013" s="173"/>
      <c r="U1013" s="173">
        <v>45534</v>
      </c>
      <c r="V1013" s="173">
        <v>45534</v>
      </c>
      <c r="W1013" s="3">
        <f>VLOOKUP(Table1[[#This Row],[Status]],Auxiliar!$B$16:$D$23,3,0)*Table1[[#This Row],[Estimação (horas)]]</f>
        <v>0.1</v>
      </c>
      <c r="X1013" s="3"/>
    </row>
    <row r="1014" spans="2:24" ht="17.399999999999999" hidden="1" customHeight="1">
      <c r="B1014" s="14" t="s">
        <v>28</v>
      </c>
      <c r="C1014" s="14" t="s">
        <v>178</v>
      </c>
      <c r="D1014" s="14" t="s">
        <v>1205</v>
      </c>
      <c r="E1014" s="3" t="s">
        <v>38</v>
      </c>
      <c r="F1014" s="14" t="s">
        <v>208</v>
      </c>
      <c r="G1014" s="14" t="s">
        <v>238</v>
      </c>
      <c r="H1014" s="66" t="str">
        <f>Table1[[#This Row],[Tabela]]&amp;Table1[[#This Row],[Campo]]</f>
        <v>modesg_inp_nfrd_alinhamento_taxcca_trnvr_enblng_alignd</v>
      </c>
      <c r="I1014" s="3" t="s">
        <v>477</v>
      </c>
      <c r="J1014" s="48">
        <f>VLOOKUP(Table1[[#This Row],[Status]],Auxiliar!$B$16:$C$23,2,0)</f>
        <v>1</v>
      </c>
      <c r="K1014" s="22" t="s">
        <v>1164</v>
      </c>
      <c r="L1014" s="29"/>
      <c r="M1014" s="22" t="s">
        <v>1155</v>
      </c>
      <c r="N1014" s="53">
        <v>45540</v>
      </c>
      <c r="O1014" s="22">
        <f>INDEX(Auxiliar!$D$5:$F$13,MATCH(Table1[[#This Row],[Tipologia_Testes]],Auxiliar!$B$5:$B$13,0),MATCH(Table1[[#This Row],[Complexidade]],Auxiliar!$D$4:$F$4,0))</f>
        <v>0.5</v>
      </c>
      <c r="P1014" s="3"/>
      <c r="Q1014" s="3"/>
      <c r="R1014" s="173">
        <v>45261</v>
      </c>
      <c r="S1014" s="173"/>
      <c r="T1014" s="173"/>
      <c r="U1014" s="173">
        <v>45534</v>
      </c>
      <c r="V1014" s="173">
        <v>45534</v>
      </c>
      <c r="W1014" s="3">
        <f>VLOOKUP(Table1[[#This Row],[Status]],Auxiliar!$B$16:$D$23,3,0)*Table1[[#This Row],[Estimação (horas)]]</f>
        <v>0.5</v>
      </c>
      <c r="X1014" s="3"/>
    </row>
    <row r="1015" spans="2:24" ht="17.399999999999999" hidden="1" customHeight="1">
      <c r="B1015" s="14" t="s">
        <v>28</v>
      </c>
      <c r="C1015" s="14" t="s">
        <v>178</v>
      </c>
      <c r="D1015" s="14" t="s">
        <v>1205</v>
      </c>
      <c r="E1015" s="3" t="s">
        <v>38</v>
      </c>
      <c r="F1015" s="14" t="s">
        <v>208</v>
      </c>
      <c r="G1015" s="14" t="s">
        <v>239</v>
      </c>
      <c r="H1015" s="66" t="str">
        <f>Table1[[#This Row],[Tabela]]&amp;Table1[[#This Row],[Campo]]</f>
        <v>modesg_inp_nfrd_alinhamento_taxcca_turnover_own_prfrmnce_algnd</v>
      </c>
      <c r="I1015" s="3" t="s">
        <v>477</v>
      </c>
      <c r="J1015" s="48">
        <f>VLOOKUP(Table1[[#This Row],[Status]],Auxiliar!$B$16:$C$23,2,0)</f>
        <v>1</v>
      </c>
      <c r="K1015" s="22" t="s">
        <v>1141</v>
      </c>
      <c r="L1015" s="29"/>
      <c r="M1015" s="22" t="s">
        <v>1155</v>
      </c>
      <c r="N1015" s="53">
        <v>45540</v>
      </c>
      <c r="O1015" s="22">
        <f>INDEX(Auxiliar!$D$5:$F$13,MATCH(Table1[[#This Row],[Tipologia_Testes]],Auxiliar!$B$5:$B$13,0),MATCH(Table1[[#This Row],[Complexidade]],Auxiliar!$D$4:$F$4,0))</f>
        <v>0.1</v>
      </c>
      <c r="P1015" s="3" t="s">
        <v>1215</v>
      </c>
      <c r="Q1015" s="3"/>
      <c r="R1015" s="173">
        <v>45261</v>
      </c>
      <c r="S1015" s="173"/>
      <c r="T1015" s="173"/>
      <c r="U1015" s="173">
        <v>45534</v>
      </c>
      <c r="V1015" s="173">
        <v>45534</v>
      </c>
      <c r="W1015" s="3">
        <f>VLOOKUP(Table1[[#This Row],[Status]],Auxiliar!$B$16:$D$23,3,0)*Table1[[#This Row],[Estimação (horas)]]</f>
        <v>0.1</v>
      </c>
      <c r="X1015" s="3"/>
    </row>
    <row r="1016" spans="2:24" ht="17.399999999999999" hidden="1" customHeight="1">
      <c r="B1016" s="14" t="s">
        <v>28</v>
      </c>
      <c r="C1016" s="14" t="s">
        <v>178</v>
      </c>
      <c r="D1016" s="14" t="s">
        <v>1205</v>
      </c>
      <c r="E1016" s="3" t="s">
        <v>38</v>
      </c>
      <c r="F1016" s="14" t="s">
        <v>208</v>
      </c>
      <c r="G1016" s="14" t="s">
        <v>239</v>
      </c>
      <c r="H1016" s="66" t="str">
        <f>Table1[[#This Row],[Tabela]]&amp;Table1[[#This Row],[Campo]]</f>
        <v>modesg_inp_nfrd_alinhamento_taxcca_turnover_own_prfrmnce_algnd</v>
      </c>
      <c r="I1016" s="3" t="s">
        <v>477</v>
      </c>
      <c r="J1016" s="48">
        <f>VLOOKUP(Table1[[#This Row],[Status]],Auxiliar!$B$16:$C$23,2,0)</f>
        <v>1</v>
      </c>
      <c r="K1016" s="22" t="s">
        <v>1164</v>
      </c>
      <c r="L1016" s="29"/>
      <c r="M1016" s="22" t="s">
        <v>1155</v>
      </c>
      <c r="N1016" s="53">
        <v>45540</v>
      </c>
      <c r="O1016" s="22">
        <f>INDEX(Auxiliar!$D$5:$F$13,MATCH(Table1[[#This Row],[Tipologia_Testes]],Auxiliar!$B$5:$B$13,0),MATCH(Table1[[#This Row],[Complexidade]],Auxiliar!$D$4:$F$4,0))</f>
        <v>0.5</v>
      </c>
      <c r="P1016" s="3"/>
      <c r="Q1016" s="3"/>
      <c r="R1016" s="173">
        <v>45261</v>
      </c>
      <c r="S1016" s="173"/>
      <c r="T1016" s="173"/>
      <c r="U1016" s="173">
        <v>45534</v>
      </c>
      <c r="V1016" s="173">
        <v>45534</v>
      </c>
      <c r="W1016" s="3">
        <f>VLOOKUP(Table1[[#This Row],[Status]],Auxiliar!$B$16:$D$23,3,0)*Table1[[#This Row],[Estimação (horas)]]</f>
        <v>0.5</v>
      </c>
      <c r="X1016" s="3"/>
    </row>
    <row r="1017" spans="2:24" ht="17.399999999999999" hidden="1" customHeight="1">
      <c r="B1017" s="14" t="s">
        <v>28</v>
      </c>
      <c r="C1017" s="14" t="s">
        <v>178</v>
      </c>
      <c r="D1017" s="14" t="s">
        <v>1205</v>
      </c>
      <c r="E1017" s="3" t="s">
        <v>38</v>
      </c>
      <c r="F1017" s="14" t="s">
        <v>208</v>
      </c>
      <c r="G1017" s="14" t="s">
        <v>240</v>
      </c>
      <c r="H1017" s="66" t="str">
        <f>Table1[[#This Row],[Tabela]]&amp;Table1[[#This Row],[Campo]]</f>
        <v>modesg_inp_nfrd_alinhamento_taxcca_capex_ttl_elgbl</v>
      </c>
      <c r="I1017" s="3" t="s">
        <v>477</v>
      </c>
      <c r="J1017" s="48">
        <f>VLOOKUP(Table1[[#This Row],[Status]],Auxiliar!$B$16:$C$23,2,0)</f>
        <v>1</v>
      </c>
      <c r="K1017" s="22" t="s">
        <v>1141</v>
      </c>
      <c r="L1017" s="29"/>
      <c r="M1017" s="22" t="s">
        <v>1155</v>
      </c>
      <c r="N1017" s="53">
        <v>45540</v>
      </c>
      <c r="O1017" s="22">
        <f>INDEX(Auxiliar!$D$5:$F$13,MATCH(Table1[[#This Row],[Tipologia_Testes]],Auxiliar!$B$5:$B$13,0),MATCH(Table1[[#This Row],[Complexidade]],Auxiliar!$D$4:$F$4,0))</f>
        <v>0.1</v>
      </c>
      <c r="P1017" s="3" t="s">
        <v>1215</v>
      </c>
      <c r="Q1017" s="3"/>
      <c r="R1017" s="173">
        <v>45261</v>
      </c>
      <c r="S1017" s="173"/>
      <c r="T1017" s="173"/>
      <c r="U1017" s="173">
        <v>45534</v>
      </c>
      <c r="V1017" s="173">
        <v>45534</v>
      </c>
      <c r="W1017" s="3">
        <f>VLOOKUP(Table1[[#This Row],[Status]],Auxiliar!$B$16:$D$23,3,0)*Table1[[#This Row],[Estimação (horas)]]</f>
        <v>0.1</v>
      </c>
      <c r="X1017" s="3"/>
    </row>
    <row r="1018" spans="2:24" ht="17.399999999999999" hidden="1" customHeight="1">
      <c r="B1018" s="14" t="s">
        <v>28</v>
      </c>
      <c r="C1018" s="14" t="s">
        <v>178</v>
      </c>
      <c r="D1018" s="14" t="s">
        <v>1205</v>
      </c>
      <c r="E1018" s="3" t="s">
        <v>38</v>
      </c>
      <c r="F1018" s="14" t="s">
        <v>208</v>
      </c>
      <c r="G1018" s="14" t="s">
        <v>240</v>
      </c>
      <c r="H1018" s="66" t="str">
        <f>Table1[[#This Row],[Tabela]]&amp;Table1[[#This Row],[Campo]]</f>
        <v>modesg_inp_nfrd_alinhamento_taxcca_capex_ttl_elgbl</v>
      </c>
      <c r="I1018" s="3" t="s">
        <v>477</v>
      </c>
      <c r="J1018" s="48">
        <f>VLOOKUP(Table1[[#This Row],[Status]],Auxiliar!$B$16:$C$23,2,0)</f>
        <v>1</v>
      </c>
      <c r="K1018" s="22" t="s">
        <v>1164</v>
      </c>
      <c r="L1018" s="29"/>
      <c r="M1018" s="22" t="s">
        <v>1155</v>
      </c>
      <c r="N1018" s="53">
        <v>45540</v>
      </c>
      <c r="O1018" s="22">
        <f>INDEX(Auxiliar!$D$5:$F$13,MATCH(Table1[[#This Row],[Tipologia_Testes]],Auxiliar!$B$5:$B$13,0),MATCH(Table1[[#This Row],[Complexidade]],Auxiliar!$D$4:$F$4,0))</f>
        <v>0.5</v>
      </c>
      <c r="P1018" s="3"/>
      <c r="Q1018" s="3"/>
      <c r="R1018" s="173">
        <v>45261</v>
      </c>
      <c r="S1018" s="173"/>
      <c r="T1018" s="173"/>
      <c r="U1018" s="173">
        <v>45534</v>
      </c>
      <c r="V1018" s="173">
        <v>45534</v>
      </c>
      <c r="W1018" s="3">
        <f>VLOOKUP(Table1[[#This Row],[Status]],Auxiliar!$B$16:$D$23,3,0)*Table1[[#This Row],[Estimação (horas)]]</f>
        <v>0.5</v>
      </c>
      <c r="X1018" s="3"/>
    </row>
    <row r="1019" spans="2:24" ht="17.399999999999999" hidden="1" customHeight="1">
      <c r="B1019" s="14" t="s">
        <v>28</v>
      </c>
      <c r="C1019" s="14" t="s">
        <v>178</v>
      </c>
      <c r="D1019" s="14" t="s">
        <v>1205</v>
      </c>
      <c r="E1019" s="3" t="s">
        <v>38</v>
      </c>
      <c r="F1019" s="14" t="s">
        <v>208</v>
      </c>
      <c r="G1019" s="14" t="s">
        <v>241</v>
      </c>
      <c r="H1019" s="66" t="str">
        <f>Table1[[#This Row],[Tabela]]&amp;Table1[[#This Row],[Campo]]</f>
        <v>modesg_inp_nfrd_alinhamento_taxcca_capex_enblng_algnd</v>
      </c>
      <c r="I1019" s="3" t="s">
        <v>477</v>
      </c>
      <c r="J1019" s="48">
        <f>VLOOKUP(Table1[[#This Row],[Status]],Auxiliar!$B$16:$C$23,2,0)</f>
        <v>1</v>
      </c>
      <c r="K1019" s="22" t="s">
        <v>1141</v>
      </c>
      <c r="L1019" s="29"/>
      <c r="M1019" s="22" t="s">
        <v>1155</v>
      </c>
      <c r="N1019" s="53">
        <v>45540</v>
      </c>
      <c r="O1019" s="22">
        <f>INDEX(Auxiliar!$D$5:$F$13,MATCH(Table1[[#This Row],[Tipologia_Testes]],Auxiliar!$B$5:$B$13,0),MATCH(Table1[[#This Row],[Complexidade]],Auxiliar!$D$4:$F$4,0))</f>
        <v>0.1</v>
      </c>
      <c r="P1019" s="3" t="s">
        <v>1215</v>
      </c>
      <c r="Q1019" s="3"/>
      <c r="R1019" s="173">
        <v>45261</v>
      </c>
      <c r="S1019" s="173"/>
      <c r="T1019" s="173"/>
      <c r="U1019" s="173">
        <v>45534</v>
      </c>
      <c r="V1019" s="173">
        <v>45534</v>
      </c>
      <c r="W1019" s="3">
        <f>VLOOKUP(Table1[[#This Row],[Status]],Auxiliar!$B$16:$D$23,3,0)*Table1[[#This Row],[Estimação (horas)]]</f>
        <v>0.1</v>
      </c>
      <c r="X1019" s="3"/>
    </row>
    <row r="1020" spans="2:24" ht="17.399999999999999" hidden="1" customHeight="1">
      <c r="B1020" s="14" t="s">
        <v>28</v>
      </c>
      <c r="C1020" s="14" t="s">
        <v>178</v>
      </c>
      <c r="D1020" s="14" t="s">
        <v>1205</v>
      </c>
      <c r="E1020" s="3" t="s">
        <v>38</v>
      </c>
      <c r="F1020" s="14" t="s">
        <v>208</v>
      </c>
      <c r="G1020" s="14" t="s">
        <v>241</v>
      </c>
      <c r="H1020" s="66" t="str">
        <f>Table1[[#This Row],[Tabela]]&amp;Table1[[#This Row],[Campo]]</f>
        <v>modesg_inp_nfrd_alinhamento_taxcca_capex_enblng_algnd</v>
      </c>
      <c r="I1020" s="3" t="s">
        <v>477</v>
      </c>
      <c r="J1020" s="48">
        <f>VLOOKUP(Table1[[#This Row],[Status]],Auxiliar!$B$16:$C$23,2,0)</f>
        <v>1</v>
      </c>
      <c r="K1020" s="22" t="s">
        <v>1164</v>
      </c>
      <c r="L1020" s="29"/>
      <c r="M1020" s="22" t="s">
        <v>1155</v>
      </c>
      <c r="N1020" s="53">
        <v>45540</v>
      </c>
      <c r="O1020" s="22">
        <f>INDEX(Auxiliar!$D$5:$F$13,MATCH(Table1[[#This Row],[Tipologia_Testes]],Auxiliar!$B$5:$B$13,0),MATCH(Table1[[#This Row],[Complexidade]],Auxiliar!$D$4:$F$4,0))</f>
        <v>0.5</v>
      </c>
      <c r="P1020" s="3"/>
      <c r="Q1020" s="3"/>
      <c r="R1020" s="173">
        <v>45261</v>
      </c>
      <c r="S1020" s="173"/>
      <c r="T1020" s="173"/>
      <c r="U1020" s="173">
        <v>45534</v>
      </c>
      <c r="V1020" s="173">
        <v>45534</v>
      </c>
      <c r="W1020" s="3">
        <f>VLOOKUP(Table1[[#This Row],[Status]],Auxiliar!$B$16:$D$23,3,0)*Table1[[#This Row],[Estimação (horas)]]</f>
        <v>0.5</v>
      </c>
      <c r="X1020" s="3"/>
    </row>
    <row r="1021" spans="2:24" ht="17.399999999999999" hidden="1" customHeight="1">
      <c r="B1021" s="14" t="s">
        <v>28</v>
      </c>
      <c r="C1021" s="14" t="s">
        <v>178</v>
      </c>
      <c r="D1021" s="14" t="s">
        <v>1205</v>
      </c>
      <c r="E1021" s="3" t="s">
        <v>38</v>
      </c>
      <c r="F1021" s="14" t="s">
        <v>208</v>
      </c>
      <c r="G1021" s="14" t="s">
        <v>242</v>
      </c>
      <c r="H1021" s="66" t="str">
        <f>Table1[[#This Row],[Tabela]]&amp;Table1[[#This Row],[Campo]]</f>
        <v>modesg_inp_nfrd_alinhamento_taxcca_capex_own_prfrmnce_algnd</v>
      </c>
      <c r="I1021" s="3" t="s">
        <v>477</v>
      </c>
      <c r="J1021" s="48">
        <f>VLOOKUP(Table1[[#This Row],[Status]],Auxiliar!$B$16:$C$23,2,0)</f>
        <v>1</v>
      </c>
      <c r="K1021" s="22" t="s">
        <v>1141</v>
      </c>
      <c r="L1021" s="29"/>
      <c r="M1021" s="22" t="s">
        <v>1155</v>
      </c>
      <c r="N1021" s="53">
        <v>45540</v>
      </c>
      <c r="O1021" s="22">
        <f>INDEX(Auxiliar!$D$5:$F$13,MATCH(Table1[[#This Row],[Tipologia_Testes]],Auxiliar!$B$5:$B$13,0),MATCH(Table1[[#This Row],[Complexidade]],Auxiliar!$D$4:$F$4,0))</f>
        <v>0.1</v>
      </c>
      <c r="P1021" s="3" t="s">
        <v>1215</v>
      </c>
      <c r="Q1021" s="3"/>
      <c r="R1021" s="173">
        <v>45261</v>
      </c>
      <c r="S1021" s="173"/>
      <c r="T1021" s="173"/>
      <c r="U1021" s="173">
        <v>45534</v>
      </c>
      <c r="V1021" s="173">
        <v>45534</v>
      </c>
      <c r="W1021" s="3">
        <f>VLOOKUP(Table1[[#This Row],[Status]],Auxiliar!$B$16:$D$23,3,0)*Table1[[#This Row],[Estimação (horas)]]</f>
        <v>0.1</v>
      </c>
      <c r="X1021" s="3"/>
    </row>
    <row r="1022" spans="2:24" ht="17.399999999999999" hidden="1" customHeight="1">
      <c r="B1022" s="14" t="s">
        <v>28</v>
      </c>
      <c r="C1022" s="14" t="s">
        <v>178</v>
      </c>
      <c r="D1022" s="14" t="s">
        <v>1205</v>
      </c>
      <c r="E1022" s="3" t="s">
        <v>38</v>
      </c>
      <c r="F1022" s="14" t="s">
        <v>208</v>
      </c>
      <c r="G1022" s="14" t="s">
        <v>242</v>
      </c>
      <c r="H1022" s="66" t="str">
        <f>Table1[[#This Row],[Tabela]]&amp;Table1[[#This Row],[Campo]]</f>
        <v>modesg_inp_nfrd_alinhamento_taxcca_capex_own_prfrmnce_algnd</v>
      </c>
      <c r="I1022" s="3" t="s">
        <v>477</v>
      </c>
      <c r="J1022" s="48">
        <f>VLOOKUP(Table1[[#This Row],[Status]],Auxiliar!$B$16:$C$23,2,0)</f>
        <v>1</v>
      </c>
      <c r="K1022" s="22" t="s">
        <v>1164</v>
      </c>
      <c r="L1022" s="29"/>
      <c r="M1022" s="22" t="s">
        <v>1155</v>
      </c>
      <c r="N1022" s="53">
        <v>45540</v>
      </c>
      <c r="O1022" s="22">
        <f>INDEX(Auxiliar!$D$5:$F$13,MATCH(Table1[[#This Row],[Tipologia_Testes]],Auxiliar!$B$5:$B$13,0),MATCH(Table1[[#This Row],[Complexidade]],Auxiliar!$D$4:$F$4,0))</f>
        <v>0.5</v>
      </c>
      <c r="P1022" s="3"/>
      <c r="Q1022" s="3"/>
      <c r="R1022" s="173">
        <v>45261</v>
      </c>
      <c r="S1022" s="173"/>
      <c r="T1022" s="173"/>
      <c r="U1022" s="173">
        <v>45534</v>
      </c>
      <c r="V1022" s="173">
        <v>45534</v>
      </c>
      <c r="W1022" s="3">
        <f>VLOOKUP(Table1[[#This Row],[Status]],Auxiliar!$B$16:$D$23,3,0)*Table1[[#This Row],[Estimação (horas)]]</f>
        <v>0.5</v>
      </c>
      <c r="X1022" s="3"/>
    </row>
    <row r="1023" spans="2:24" ht="17.399999999999999" hidden="1" customHeight="1">
      <c r="B1023" s="14" t="s">
        <v>28</v>
      </c>
      <c r="C1023" s="14" t="s">
        <v>178</v>
      </c>
      <c r="D1023" s="14" t="s">
        <v>1205</v>
      </c>
      <c r="E1023" s="3" t="s">
        <v>38</v>
      </c>
      <c r="F1023" s="14" t="s">
        <v>208</v>
      </c>
      <c r="G1023" s="14" t="s">
        <v>243</v>
      </c>
      <c r="H1023" s="66" t="str">
        <f>Table1[[#This Row],[Tabela]]&amp;Table1[[#This Row],[Campo]]</f>
        <v>modesg_inp_nfrd_alinhamento_taxccm_trnvr_ttl_elgbl</v>
      </c>
      <c r="I1023" s="3" t="s">
        <v>477</v>
      </c>
      <c r="J1023" s="48">
        <f>VLOOKUP(Table1[[#This Row],[Status]],Auxiliar!$B$16:$C$23,2,0)</f>
        <v>1</v>
      </c>
      <c r="K1023" s="22" t="s">
        <v>1141</v>
      </c>
      <c r="L1023" s="29"/>
      <c r="M1023" s="22" t="s">
        <v>1155</v>
      </c>
      <c r="N1023" s="53">
        <v>45540</v>
      </c>
      <c r="O1023" s="22">
        <f>INDEX(Auxiliar!$D$5:$F$13,MATCH(Table1[[#This Row],[Tipologia_Testes]],Auxiliar!$B$5:$B$13,0),MATCH(Table1[[#This Row],[Complexidade]],Auxiliar!$D$4:$F$4,0))</f>
        <v>0.1</v>
      </c>
      <c r="P1023" s="3" t="s">
        <v>1215</v>
      </c>
      <c r="Q1023" s="3"/>
      <c r="R1023" s="173">
        <v>45261</v>
      </c>
      <c r="S1023" s="173"/>
      <c r="T1023" s="173"/>
      <c r="U1023" s="173">
        <v>45534</v>
      </c>
      <c r="V1023" s="173">
        <v>45534</v>
      </c>
      <c r="W1023" s="3">
        <f>VLOOKUP(Table1[[#This Row],[Status]],Auxiliar!$B$16:$D$23,3,0)*Table1[[#This Row],[Estimação (horas)]]</f>
        <v>0.1</v>
      </c>
      <c r="X1023" s="3"/>
    </row>
    <row r="1024" spans="2:24" ht="17.399999999999999" hidden="1" customHeight="1">
      <c r="B1024" s="14" t="s">
        <v>28</v>
      </c>
      <c r="C1024" s="14" t="s">
        <v>178</v>
      </c>
      <c r="D1024" s="14" t="s">
        <v>1205</v>
      </c>
      <c r="E1024" s="3" t="s">
        <v>38</v>
      </c>
      <c r="F1024" s="14" t="s">
        <v>208</v>
      </c>
      <c r="G1024" s="14" t="s">
        <v>243</v>
      </c>
      <c r="H1024" s="66" t="str">
        <f>Table1[[#This Row],[Tabela]]&amp;Table1[[#This Row],[Campo]]</f>
        <v>modesg_inp_nfrd_alinhamento_taxccm_trnvr_ttl_elgbl</v>
      </c>
      <c r="I1024" s="3" t="s">
        <v>477</v>
      </c>
      <c r="J1024" s="48">
        <f>VLOOKUP(Table1[[#This Row],[Status]],Auxiliar!$B$16:$C$23,2,0)</f>
        <v>1</v>
      </c>
      <c r="K1024" s="22" t="s">
        <v>1164</v>
      </c>
      <c r="L1024" s="29"/>
      <c r="M1024" s="22" t="s">
        <v>1155</v>
      </c>
      <c r="N1024" s="53">
        <v>45540</v>
      </c>
      <c r="O1024" s="22">
        <f>INDEX(Auxiliar!$D$5:$F$13,MATCH(Table1[[#This Row],[Tipologia_Testes]],Auxiliar!$B$5:$B$13,0),MATCH(Table1[[#This Row],[Complexidade]],Auxiliar!$D$4:$F$4,0))</f>
        <v>0.5</v>
      </c>
      <c r="P1024" s="3"/>
      <c r="Q1024" s="3"/>
      <c r="R1024" s="173">
        <v>45261</v>
      </c>
      <c r="S1024" s="173"/>
      <c r="T1024" s="173"/>
      <c r="U1024" s="173">
        <v>45534</v>
      </c>
      <c r="V1024" s="173">
        <v>45534</v>
      </c>
      <c r="W1024" s="3">
        <f>VLOOKUP(Table1[[#This Row],[Status]],Auxiliar!$B$16:$D$23,3,0)*Table1[[#This Row],[Estimação (horas)]]</f>
        <v>0.5</v>
      </c>
      <c r="X1024" s="3"/>
    </row>
    <row r="1025" spans="2:24" ht="17.399999999999999" hidden="1" customHeight="1">
      <c r="B1025" s="14" t="s">
        <v>28</v>
      </c>
      <c r="C1025" s="14" t="s">
        <v>178</v>
      </c>
      <c r="D1025" s="14" t="s">
        <v>1205</v>
      </c>
      <c r="E1025" s="3" t="s">
        <v>38</v>
      </c>
      <c r="F1025" s="14" t="s">
        <v>208</v>
      </c>
      <c r="G1025" s="14" t="s">
        <v>244</v>
      </c>
      <c r="H1025" s="66" t="str">
        <f>Table1[[#This Row],[Tabela]]&amp;Table1[[#This Row],[Campo]]</f>
        <v>modesg_inp_nfrd_alinhamento_taxccm_trnvr_enblng_algnd</v>
      </c>
      <c r="I1025" s="3" t="s">
        <v>477</v>
      </c>
      <c r="J1025" s="48">
        <f>VLOOKUP(Table1[[#This Row],[Status]],Auxiliar!$B$16:$C$23,2,0)</f>
        <v>1</v>
      </c>
      <c r="K1025" s="22" t="s">
        <v>1141</v>
      </c>
      <c r="L1025" s="29"/>
      <c r="M1025" s="22" t="s">
        <v>1155</v>
      </c>
      <c r="N1025" s="53">
        <v>45540</v>
      </c>
      <c r="O1025" s="22">
        <f>INDEX(Auxiliar!$D$5:$F$13,MATCH(Table1[[#This Row],[Tipologia_Testes]],Auxiliar!$B$5:$B$13,0),MATCH(Table1[[#This Row],[Complexidade]],Auxiliar!$D$4:$F$4,0))</f>
        <v>0.1</v>
      </c>
      <c r="P1025" s="3" t="s">
        <v>1215</v>
      </c>
      <c r="Q1025" s="3"/>
      <c r="R1025" s="173">
        <v>45261</v>
      </c>
      <c r="S1025" s="173"/>
      <c r="T1025" s="173"/>
      <c r="U1025" s="173">
        <v>45534</v>
      </c>
      <c r="V1025" s="173">
        <v>45534</v>
      </c>
      <c r="W1025" s="3">
        <f>VLOOKUP(Table1[[#This Row],[Status]],Auxiliar!$B$16:$D$23,3,0)*Table1[[#This Row],[Estimação (horas)]]</f>
        <v>0.1</v>
      </c>
      <c r="X1025" s="3"/>
    </row>
    <row r="1026" spans="2:24" ht="17.399999999999999" hidden="1" customHeight="1">
      <c r="B1026" s="14" t="s">
        <v>28</v>
      </c>
      <c r="C1026" s="14" t="s">
        <v>178</v>
      </c>
      <c r="D1026" s="14" t="s">
        <v>1205</v>
      </c>
      <c r="E1026" s="3" t="s">
        <v>38</v>
      </c>
      <c r="F1026" s="14" t="s">
        <v>208</v>
      </c>
      <c r="G1026" s="14" t="s">
        <v>244</v>
      </c>
      <c r="H1026" s="66" t="str">
        <f>Table1[[#This Row],[Tabela]]&amp;Table1[[#This Row],[Campo]]</f>
        <v>modesg_inp_nfrd_alinhamento_taxccm_trnvr_enblng_algnd</v>
      </c>
      <c r="I1026" s="3" t="s">
        <v>477</v>
      </c>
      <c r="J1026" s="48">
        <f>VLOOKUP(Table1[[#This Row],[Status]],Auxiliar!$B$16:$C$23,2,0)</f>
        <v>1</v>
      </c>
      <c r="K1026" s="22" t="s">
        <v>1164</v>
      </c>
      <c r="L1026" s="29"/>
      <c r="M1026" s="22" t="s">
        <v>1155</v>
      </c>
      <c r="N1026" s="53">
        <v>45540</v>
      </c>
      <c r="O1026" s="22">
        <f>INDEX(Auxiliar!$D$5:$F$13,MATCH(Table1[[#This Row],[Tipologia_Testes]],Auxiliar!$B$5:$B$13,0),MATCH(Table1[[#This Row],[Complexidade]],Auxiliar!$D$4:$F$4,0))</f>
        <v>0.5</v>
      </c>
      <c r="P1026" s="3"/>
      <c r="Q1026" s="3"/>
      <c r="R1026" s="173">
        <v>45261</v>
      </c>
      <c r="S1026" s="173"/>
      <c r="T1026" s="173"/>
      <c r="U1026" s="173">
        <v>45534</v>
      </c>
      <c r="V1026" s="173">
        <v>45534</v>
      </c>
      <c r="W1026" s="3">
        <f>VLOOKUP(Table1[[#This Row],[Status]],Auxiliar!$B$16:$D$23,3,0)*Table1[[#This Row],[Estimação (horas)]]</f>
        <v>0.5</v>
      </c>
      <c r="X1026" s="3"/>
    </row>
    <row r="1027" spans="2:24" ht="17.399999999999999" hidden="1" customHeight="1">
      <c r="B1027" s="14" t="s">
        <v>28</v>
      </c>
      <c r="C1027" s="14" t="s">
        <v>178</v>
      </c>
      <c r="D1027" s="14" t="s">
        <v>1205</v>
      </c>
      <c r="E1027" s="3" t="s">
        <v>38</v>
      </c>
      <c r="F1027" s="14" t="s">
        <v>208</v>
      </c>
      <c r="G1027" s="14" t="s">
        <v>245</v>
      </c>
      <c r="H1027" s="66" t="str">
        <f>Table1[[#This Row],[Tabela]]&amp;Table1[[#This Row],[Campo]]</f>
        <v>modesg_inp_nfrd_alinhamento_taxccm_trnvr_trnstn_alignd</v>
      </c>
      <c r="I1027" s="3" t="s">
        <v>477</v>
      </c>
      <c r="J1027" s="48">
        <f>VLOOKUP(Table1[[#This Row],[Status]],Auxiliar!$B$16:$C$23,2,0)</f>
        <v>1</v>
      </c>
      <c r="K1027" s="22" t="s">
        <v>1141</v>
      </c>
      <c r="L1027" s="29"/>
      <c r="M1027" s="22" t="s">
        <v>1155</v>
      </c>
      <c r="N1027" s="53">
        <v>45540</v>
      </c>
      <c r="O1027" s="22">
        <f>INDEX(Auxiliar!$D$5:$F$13,MATCH(Table1[[#This Row],[Tipologia_Testes]],Auxiliar!$B$5:$B$13,0),MATCH(Table1[[#This Row],[Complexidade]],Auxiliar!$D$4:$F$4,0))</f>
        <v>0.1</v>
      </c>
      <c r="P1027" s="3" t="s">
        <v>1215</v>
      </c>
      <c r="Q1027" s="3"/>
      <c r="R1027" s="173">
        <v>45261</v>
      </c>
      <c r="S1027" s="173"/>
      <c r="T1027" s="173"/>
      <c r="U1027" s="173">
        <v>45534</v>
      </c>
      <c r="V1027" s="173">
        <v>45534</v>
      </c>
      <c r="W1027" s="3">
        <f>VLOOKUP(Table1[[#This Row],[Status]],Auxiliar!$B$16:$D$23,3,0)*Table1[[#This Row],[Estimação (horas)]]</f>
        <v>0.1</v>
      </c>
      <c r="X1027" s="3"/>
    </row>
    <row r="1028" spans="2:24" ht="17.399999999999999" hidden="1" customHeight="1">
      <c r="B1028" s="14" t="s">
        <v>28</v>
      </c>
      <c r="C1028" s="14" t="s">
        <v>178</v>
      </c>
      <c r="D1028" s="14" t="s">
        <v>1205</v>
      </c>
      <c r="E1028" s="3" t="s">
        <v>38</v>
      </c>
      <c r="F1028" s="14" t="s">
        <v>208</v>
      </c>
      <c r="G1028" s="14" t="s">
        <v>245</v>
      </c>
      <c r="H1028" s="66" t="str">
        <f>Table1[[#This Row],[Tabela]]&amp;Table1[[#This Row],[Campo]]</f>
        <v>modesg_inp_nfrd_alinhamento_taxccm_trnvr_trnstn_alignd</v>
      </c>
      <c r="I1028" s="3" t="s">
        <v>477</v>
      </c>
      <c r="J1028" s="48">
        <f>VLOOKUP(Table1[[#This Row],[Status]],Auxiliar!$B$16:$C$23,2,0)</f>
        <v>1</v>
      </c>
      <c r="K1028" s="22" t="s">
        <v>1164</v>
      </c>
      <c r="L1028" s="29"/>
      <c r="M1028" s="22" t="s">
        <v>1155</v>
      </c>
      <c r="N1028" s="53">
        <v>45540</v>
      </c>
      <c r="O1028" s="22">
        <f>INDEX(Auxiliar!$D$5:$F$13,MATCH(Table1[[#This Row],[Tipologia_Testes]],Auxiliar!$B$5:$B$13,0),MATCH(Table1[[#This Row],[Complexidade]],Auxiliar!$D$4:$F$4,0))</f>
        <v>0.5</v>
      </c>
      <c r="P1028" s="3"/>
      <c r="Q1028" s="3"/>
      <c r="R1028" s="173">
        <v>45261</v>
      </c>
      <c r="S1028" s="173"/>
      <c r="T1028" s="173"/>
      <c r="U1028" s="173">
        <v>45534</v>
      </c>
      <c r="V1028" s="173">
        <v>45534</v>
      </c>
      <c r="W1028" s="3">
        <f>VLOOKUP(Table1[[#This Row],[Status]],Auxiliar!$B$16:$D$23,3,0)*Table1[[#This Row],[Estimação (horas)]]</f>
        <v>0.5</v>
      </c>
      <c r="X1028" s="3"/>
    </row>
    <row r="1029" spans="2:24" ht="17.399999999999999" hidden="1" customHeight="1">
      <c r="B1029" s="14" t="s">
        <v>28</v>
      </c>
      <c r="C1029" s="14" t="s">
        <v>178</v>
      </c>
      <c r="D1029" s="14" t="s">
        <v>1205</v>
      </c>
      <c r="E1029" s="3" t="s">
        <v>38</v>
      </c>
      <c r="F1029" s="14" t="s">
        <v>208</v>
      </c>
      <c r="G1029" s="14" t="s">
        <v>246</v>
      </c>
      <c r="H1029" s="66" t="str">
        <f>Table1[[#This Row],[Tabela]]&amp;Table1[[#This Row],[Campo]]</f>
        <v>modesg_inp_nfrd_alinhamento_taxccm_trnvr_own_prfrmnce_algnd</v>
      </c>
      <c r="I1029" s="3" t="s">
        <v>477</v>
      </c>
      <c r="J1029" s="48">
        <f>VLOOKUP(Table1[[#This Row],[Status]],Auxiliar!$B$16:$C$23,2,0)</f>
        <v>1</v>
      </c>
      <c r="K1029" s="22" t="s">
        <v>1141</v>
      </c>
      <c r="L1029" s="29"/>
      <c r="M1029" s="22" t="s">
        <v>1155</v>
      </c>
      <c r="N1029" s="53">
        <v>45540</v>
      </c>
      <c r="O1029" s="22">
        <f>INDEX(Auxiliar!$D$5:$F$13,MATCH(Table1[[#This Row],[Tipologia_Testes]],Auxiliar!$B$5:$B$13,0),MATCH(Table1[[#This Row],[Complexidade]],Auxiliar!$D$4:$F$4,0))</f>
        <v>0.1</v>
      </c>
      <c r="P1029" s="3" t="s">
        <v>1215</v>
      </c>
      <c r="Q1029" s="3"/>
      <c r="R1029" s="173">
        <v>45261</v>
      </c>
      <c r="S1029" s="173"/>
      <c r="T1029" s="173"/>
      <c r="U1029" s="173">
        <v>45534</v>
      </c>
      <c r="V1029" s="173">
        <v>45534</v>
      </c>
      <c r="W1029" s="3">
        <f>VLOOKUP(Table1[[#This Row],[Status]],Auxiliar!$B$16:$D$23,3,0)*Table1[[#This Row],[Estimação (horas)]]</f>
        <v>0.1</v>
      </c>
      <c r="X1029" s="3"/>
    </row>
    <row r="1030" spans="2:24" ht="17.399999999999999" hidden="1" customHeight="1">
      <c r="B1030" s="14" t="s">
        <v>28</v>
      </c>
      <c r="C1030" s="14" t="s">
        <v>178</v>
      </c>
      <c r="D1030" s="14" t="s">
        <v>1205</v>
      </c>
      <c r="E1030" s="3" t="s">
        <v>38</v>
      </c>
      <c r="F1030" s="14" t="s">
        <v>208</v>
      </c>
      <c r="G1030" s="14" t="s">
        <v>246</v>
      </c>
      <c r="H1030" s="66" t="str">
        <f>Table1[[#This Row],[Tabela]]&amp;Table1[[#This Row],[Campo]]</f>
        <v>modesg_inp_nfrd_alinhamento_taxccm_trnvr_own_prfrmnce_algnd</v>
      </c>
      <c r="I1030" s="3" t="s">
        <v>477</v>
      </c>
      <c r="J1030" s="48">
        <f>VLOOKUP(Table1[[#This Row],[Status]],Auxiliar!$B$16:$C$23,2,0)</f>
        <v>1</v>
      </c>
      <c r="K1030" s="22" t="s">
        <v>1164</v>
      </c>
      <c r="L1030" s="29"/>
      <c r="M1030" s="22" t="s">
        <v>1155</v>
      </c>
      <c r="N1030" s="53">
        <v>45540</v>
      </c>
      <c r="O1030" s="22">
        <f>INDEX(Auxiliar!$D$5:$F$13,MATCH(Table1[[#This Row],[Tipologia_Testes]],Auxiliar!$B$5:$B$13,0),MATCH(Table1[[#This Row],[Complexidade]],Auxiliar!$D$4:$F$4,0))</f>
        <v>0.5</v>
      </c>
      <c r="P1030" s="3"/>
      <c r="Q1030" s="3"/>
      <c r="R1030" s="173">
        <v>45261</v>
      </c>
      <c r="S1030" s="173"/>
      <c r="T1030" s="173"/>
      <c r="U1030" s="173">
        <v>45534</v>
      </c>
      <c r="V1030" s="173">
        <v>45534</v>
      </c>
      <c r="W1030" s="3">
        <f>VLOOKUP(Table1[[#This Row],[Status]],Auxiliar!$B$16:$D$23,3,0)*Table1[[#This Row],[Estimação (horas)]]</f>
        <v>0.5</v>
      </c>
      <c r="X1030" s="3"/>
    </row>
    <row r="1031" spans="2:24" ht="17.399999999999999" hidden="1" customHeight="1">
      <c r="B1031" s="14" t="s">
        <v>28</v>
      </c>
      <c r="C1031" s="14" t="s">
        <v>178</v>
      </c>
      <c r="D1031" s="14" t="s">
        <v>1205</v>
      </c>
      <c r="E1031" s="3" t="s">
        <v>38</v>
      </c>
      <c r="F1031" s="14" t="s">
        <v>208</v>
      </c>
      <c r="G1031" s="14" t="s">
        <v>247</v>
      </c>
      <c r="H1031" s="66" t="str">
        <f>Table1[[#This Row],[Tabela]]&amp;Table1[[#This Row],[Campo]]</f>
        <v>modesg_inp_nfrd_alinhamento_taxccm_capex_ttl_elgbl</v>
      </c>
      <c r="I1031" s="3" t="s">
        <v>477</v>
      </c>
      <c r="J1031" s="48">
        <f>VLOOKUP(Table1[[#This Row],[Status]],Auxiliar!$B$16:$C$23,2,0)</f>
        <v>1</v>
      </c>
      <c r="K1031" s="22" t="s">
        <v>1141</v>
      </c>
      <c r="L1031" s="29"/>
      <c r="M1031" s="22" t="s">
        <v>1155</v>
      </c>
      <c r="N1031" s="53">
        <v>45540</v>
      </c>
      <c r="O1031" s="22">
        <f>INDEX(Auxiliar!$D$5:$F$13,MATCH(Table1[[#This Row],[Tipologia_Testes]],Auxiliar!$B$5:$B$13,0),MATCH(Table1[[#This Row],[Complexidade]],Auxiliar!$D$4:$F$4,0))</f>
        <v>0.1</v>
      </c>
      <c r="P1031" s="3" t="s">
        <v>1215</v>
      </c>
      <c r="Q1031" s="3"/>
      <c r="R1031" s="173">
        <v>45261</v>
      </c>
      <c r="S1031" s="173"/>
      <c r="T1031" s="173"/>
      <c r="U1031" s="173">
        <v>45534</v>
      </c>
      <c r="V1031" s="173">
        <v>45534</v>
      </c>
      <c r="W1031" s="3">
        <f>VLOOKUP(Table1[[#This Row],[Status]],Auxiliar!$B$16:$D$23,3,0)*Table1[[#This Row],[Estimação (horas)]]</f>
        <v>0.1</v>
      </c>
      <c r="X1031" s="3"/>
    </row>
    <row r="1032" spans="2:24" ht="17.399999999999999" hidden="1" customHeight="1">
      <c r="B1032" s="14" t="s">
        <v>28</v>
      </c>
      <c r="C1032" s="14" t="s">
        <v>178</v>
      </c>
      <c r="D1032" s="14" t="s">
        <v>1205</v>
      </c>
      <c r="E1032" s="3" t="s">
        <v>38</v>
      </c>
      <c r="F1032" s="14" t="s">
        <v>208</v>
      </c>
      <c r="G1032" s="14" t="s">
        <v>247</v>
      </c>
      <c r="H1032" s="66" t="str">
        <f>Table1[[#This Row],[Tabela]]&amp;Table1[[#This Row],[Campo]]</f>
        <v>modesg_inp_nfrd_alinhamento_taxccm_capex_ttl_elgbl</v>
      </c>
      <c r="I1032" s="3" t="s">
        <v>477</v>
      </c>
      <c r="J1032" s="48">
        <f>VLOOKUP(Table1[[#This Row],[Status]],Auxiliar!$B$16:$C$23,2,0)</f>
        <v>1</v>
      </c>
      <c r="K1032" s="22" t="s">
        <v>1164</v>
      </c>
      <c r="L1032" s="29"/>
      <c r="M1032" s="22" t="s">
        <v>1155</v>
      </c>
      <c r="N1032" s="53">
        <v>45540</v>
      </c>
      <c r="O1032" s="22">
        <f>INDEX(Auxiliar!$D$5:$F$13,MATCH(Table1[[#This Row],[Tipologia_Testes]],Auxiliar!$B$5:$B$13,0),MATCH(Table1[[#This Row],[Complexidade]],Auxiliar!$D$4:$F$4,0))</f>
        <v>0.5</v>
      </c>
      <c r="P1032" s="3"/>
      <c r="Q1032" s="3"/>
      <c r="R1032" s="173">
        <v>45261</v>
      </c>
      <c r="S1032" s="173"/>
      <c r="T1032" s="173"/>
      <c r="U1032" s="173">
        <v>45534</v>
      </c>
      <c r="V1032" s="173">
        <v>45534</v>
      </c>
      <c r="W1032" s="3">
        <f>VLOOKUP(Table1[[#This Row],[Status]],Auxiliar!$B$16:$D$23,3,0)*Table1[[#This Row],[Estimação (horas)]]</f>
        <v>0.5</v>
      </c>
      <c r="X1032" s="3"/>
    </row>
    <row r="1033" spans="2:24" ht="17.399999999999999" hidden="1" customHeight="1">
      <c r="B1033" s="14" t="s">
        <v>28</v>
      </c>
      <c r="C1033" s="14" t="s">
        <v>178</v>
      </c>
      <c r="D1033" s="14" t="s">
        <v>1205</v>
      </c>
      <c r="E1033" s="3" t="s">
        <v>38</v>
      </c>
      <c r="F1033" s="14" t="s">
        <v>208</v>
      </c>
      <c r="G1033" s="14" t="s">
        <v>248</v>
      </c>
      <c r="H1033" s="66" t="str">
        <f>Table1[[#This Row],[Tabela]]&amp;Table1[[#This Row],[Campo]]</f>
        <v>modesg_inp_nfrd_alinhamento_taxccm_capex_enblng_algnd</v>
      </c>
      <c r="I1033" s="3" t="s">
        <v>477</v>
      </c>
      <c r="J1033" s="48">
        <f>VLOOKUP(Table1[[#This Row],[Status]],Auxiliar!$B$16:$C$23,2,0)</f>
        <v>1</v>
      </c>
      <c r="K1033" s="22" t="s">
        <v>1141</v>
      </c>
      <c r="L1033" s="29"/>
      <c r="M1033" s="22" t="s">
        <v>1155</v>
      </c>
      <c r="N1033" s="53">
        <v>45540</v>
      </c>
      <c r="O1033" s="22">
        <f>INDEX(Auxiliar!$D$5:$F$13,MATCH(Table1[[#This Row],[Tipologia_Testes]],Auxiliar!$B$5:$B$13,0),MATCH(Table1[[#This Row],[Complexidade]],Auxiliar!$D$4:$F$4,0))</f>
        <v>0.1</v>
      </c>
      <c r="P1033" s="3" t="s">
        <v>1215</v>
      </c>
      <c r="Q1033" s="3"/>
      <c r="R1033" s="173">
        <v>45261</v>
      </c>
      <c r="S1033" s="173"/>
      <c r="T1033" s="173"/>
      <c r="U1033" s="173">
        <v>45534</v>
      </c>
      <c r="V1033" s="173">
        <v>45534</v>
      </c>
      <c r="W1033" s="3">
        <f>VLOOKUP(Table1[[#This Row],[Status]],Auxiliar!$B$16:$D$23,3,0)*Table1[[#This Row],[Estimação (horas)]]</f>
        <v>0.1</v>
      </c>
      <c r="X1033" s="3"/>
    </row>
    <row r="1034" spans="2:24" ht="17.399999999999999" hidden="1" customHeight="1">
      <c r="B1034" s="14" t="s">
        <v>28</v>
      </c>
      <c r="C1034" s="14" t="s">
        <v>178</v>
      </c>
      <c r="D1034" s="14" t="s">
        <v>1205</v>
      </c>
      <c r="E1034" s="3" t="s">
        <v>38</v>
      </c>
      <c r="F1034" s="14" t="s">
        <v>208</v>
      </c>
      <c r="G1034" s="14" t="s">
        <v>248</v>
      </c>
      <c r="H1034" s="66" t="str">
        <f>Table1[[#This Row],[Tabela]]&amp;Table1[[#This Row],[Campo]]</f>
        <v>modesg_inp_nfrd_alinhamento_taxccm_capex_enblng_algnd</v>
      </c>
      <c r="I1034" s="3" t="s">
        <v>477</v>
      </c>
      <c r="J1034" s="48">
        <f>VLOOKUP(Table1[[#This Row],[Status]],Auxiliar!$B$16:$C$23,2,0)</f>
        <v>1</v>
      </c>
      <c r="K1034" s="22" t="s">
        <v>1164</v>
      </c>
      <c r="L1034" s="29"/>
      <c r="M1034" s="22" t="s">
        <v>1155</v>
      </c>
      <c r="N1034" s="53">
        <v>45540</v>
      </c>
      <c r="O1034" s="22">
        <f>INDEX(Auxiliar!$D$5:$F$13,MATCH(Table1[[#This Row],[Tipologia_Testes]],Auxiliar!$B$5:$B$13,0),MATCH(Table1[[#This Row],[Complexidade]],Auxiliar!$D$4:$F$4,0))</f>
        <v>0.5</v>
      </c>
      <c r="P1034" s="3"/>
      <c r="Q1034" s="3"/>
      <c r="R1034" s="173">
        <v>45261</v>
      </c>
      <c r="S1034" s="173"/>
      <c r="T1034" s="173"/>
      <c r="U1034" s="173">
        <v>45534</v>
      </c>
      <c r="V1034" s="173">
        <v>45534</v>
      </c>
      <c r="W1034" s="3">
        <f>VLOOKUP(Table1[[#This Row],[Status]],Auxiliar!$B$16:$D$23,3,0)*Table1[[#This Row],[Estimação (horas)]]</f>
        <v>0.5</v>
      </c>
      <c r="X1034" s="3"/>
    </row>
    <row r="1035" spans="2:24" ht="17.399999999999999" hidden="1" customHeight="1">
      <c r="B1035" s="14" t="s">
        <v>28</v>
      </c>
      <c r="C1035" s="14" t="s">
        <v>178</v>
      </c>
      <c r="D1035" s="14" t="s">
        <v>1205</v>
      </c>
      <c r="E1035" s="3" t="s">
        <v>38</v>
      </c>
      <c r="F1035" s="14" t="s">
        <v>208</v>
      </c>
      <c r="G1035" s="14" t="s">
        <v>249</v>
      </c>
      <c r="H1035" s="66" t="str">
        <f>Table1[[#This Row],[Tabela]]&amp;Table1[[#This Row],[Campo]]</f>
        <v>modesg_inp_nfrd_alinhamento_taxccm_capex_trnstn_algnd</v>
      </c>
      <c r="I1035" s="3" t="s">
        <v>477</v>
      </c>
      <c r="J1035" s="48">
        <f>VLOOKUP(Table1[[#This Row],[Status]],Auxiliar!$B$16:$C$23,2,0)</f>
        <v>1</v>
      </c>
      <c r="K1035" s="22" t="s">
        <v>1141</v>
      </c>
      <c r="L1035" s="29"/>
      <c r="M1035" s="22" t="s">
        <v>1155</v>
      </c>
      <c r="N1035" s="53">
        <v>45540</v>
      </c>
      <c r="O1035" s="22">
        <f>INDEX(Auxiliar!$D$5:$F$13,MATCH(Table1[[#This Row],[Tipologia_Testes]],Auxiliar!$B$5:$B$13,0),MATCH(Table1[[#This Row],[Complexidade]],Auxiliar!$D$4:$F$4,0))</f>
        <v>0.1</v>
      </c>
      <c r="P1035" s="3" t="s">
        <v>1215</v>
      </c>
      <c r="Q1035" s="3"/>
      <c r="R1035" s="173">
        <v>45261</v>
      </c>
      <c r="S1035" s="173"/>
      <c r="T1035" s="173"/>
      <c r="U1035" s="173">
        <v>45534</v>
      </c>
      <c r="V1035" s="173">
        <v>45534</v>
      </c>
      <c r="W1035" s="3">
        <f>VLOOKUP(Table1[[#This Row],[Status]],Auxiliar!$B$16:$D$23,3,0)*Table1[[#This Row],[Estimação (horas)]]</f>
        <v>0.1</v>
      </c>
      <c r="X1035" s="3"/>
    </row>
    <row r="1036" spans="2:24" ht="17.399999999999999" hidden="1" customHeight="1">
      <c r="B1036" s="14" t="s">
        <v>28</v>
      </c>
      <c r="C1036" s="14" t="s">
        <v>178</v>
      </c>
      <c r="D1036" s="14" t="s">
        <v>1205</v>
      </c>
      <c r="E1036" s="3" t="s">
        <v>38</v>
      </c>
      <c r="F1036" s="14" t="s">
        <v>208</v>
      </c>
      <c r="G1036" s="14" t="s">
        <v>249</v>
      </c>
      <c r="H1036" s="66" t="str">
        <f>Table1[[#This Row],[Tabela]]&amp;Table1[[#This Row],[Campo]]</f>
        <v>modesg_inp_nfrd_alinhamento_taxccm_capex_trnstn_algnd</v>
      </c>
      <c r="I1036" s="3" t="s">
        <v>477</v>
      </c>
      <c r="J1036" s="48">
        <f>VLOOKUP(Table1[[#This Row],[Status]],Auxiliar!$B$16:$C$23,2,0)</f>
        <v>1</v>
      </c>
      <c r="K1036" s="22" t="s">
        <v>1164</v>
      </c>
      <c r="L1036" s="29"/>
      <c r="M1036" s="22" t="s">
        <v>1155</v>
      </c>
      <c r="N1036" s="53">
        <v>45540</v>
      </c>
      <c r="O1036" s="22">
        <f>INDEX(Auxiliar!$D$5:$F$13,MATCH(Table1[[#This Row],[Tipologia_Testes]],Auxiliar!$B$5:$B$13,0),MATCH(Table1[[#This Row],[Complexidade]],Auxiliar!$D$4:$F$4,0))</f>
        <v>0.5</v>
      </c>
      <c r="P1036" s="3"/>
      <c r="Q1036" s="3"/>
      <c r="R1036" s="173">
        <v>45261</v>
      </c>
      <c r="S1036" s="173"/>
      <c r="T1036" s="173"/>
      <c r="U1036" s="173">
        <v>45534</v>
      </c>
      <c r="V1036" s="173">
        <v>45534</v>
      </c>
      <c r="W1036" s="3">
        <f>VLOOKUP(Table1[[#This Row],[Status]],Auxiliar!$B$16:$D$23,3,0)*Table1[[#This Row],[Estimação (horas)]]</f>
        <v>0.5</v>
      </c>
      <c r="X1036" s="3"/>
    </row>
    <row r="1037" spans="2:24" ht="17.399999999999999" hidden="1" customHeight="1">
      <c r="B1037" s="14" t="s">
        <v>28</v>
      </c>
      <c r="C1037" s="14" t="s">
        <v>178</v>
      </c>
      <c r="D1037" s="14" t="s">
        <v>1205</v>
      </c>
      <c r="E1037" s="3" t="s">
        <v>38</v>
      </c>
      <c r="F1037" s="14" t="s">
        <v>208</v>
      </c>
      <c r="G1037" s="14" t="s">
        <v>250</v>
      </c>
      <c r="H1037" s="66" t="str">
        <f>Table1[[#This Row],[Tabela]]&amp;Table1[[#This Row],[Campo]]</f>
        <v>modesg_inp_nfrd_alinhamento_taxccm_capex_own_prfrmnce_algnd</v>
      </c>
      <c r="I1037" s="3" t="s">
        <v>477</v>
      </c>
      <c r="J1037" s="48">
        <f>VLOOKUP(Table1[[#This Row],[Status]],Auxiliar!$B$16:$C$23,2,0)</f>
        <v>1</v>
      </c>
      <c r="K1037" s="22" t="s">
        <v>1141</v>
      </c>
      <c r="L1037" s="29"/>
      <c r="M1037" s="22" t="s">
        <v>1155</v>
      </c>
      <c r="N1037" s="53">
        <v>45540</v>
      </c>
      <c r="O1037" s="22">
        <f>INDEX(Auxiliar!$D$5:$F$13,MATCH(Table1[[#This Row],[Tipologia_Testes]],Auxiliar!$B$5:$B$13,0),MATCH(Table1[[#This Row],[Complexidade]],Auxiliar!$D$4:$F$4,0))</f>
        <v>0.1</v>
      </c>
      <c r="P1037" s="3" t="s">
        <v>1216</v>
      </c>
      <c r="Q1037" s="3"/>
      <c r="R1037" s="173">
        <v>45261</v>
      </c>
      <c r="S1037" s="173"/>
      <c r="T1037" s="173"/>
      <c r="U1037" s="173">
        <v>45534</v>
      </c>
      <c r="V1037" s="173">
        <v>45534</v>
      </c>
      <c r="W1037" s="3">
        <f>VLOOKUP(Table1[[#This Row],[Status]],Auxiliar!$B$16:$D$23,3,0)*Table1[[#This Row],[Estimação (horas)]]</f>
        <v>0.1</v>
      </c>
      <c r="X1037" s="3"/>
    </row>
    <row r="1038" spans="2:24" ht="17.399999999999999" hidden="1" customHeight="1">
      <c r="B1038" s="14" t="s">
        <v>28</v>
      </c>
      <c r="C1038" s="14" t="s">
        <v>178</v>
      </c>
      <c r="D1038" s="14" t="s">
        <v>1205</v>
      </c>
      <c r="E1038" s="3" t="s">
        <v>38</v>
      </c>
      <c r="F1038" s="14" t="s">
        <v>208</v>
      </c>
      <c r="G1038" s="14" t="s">
        <v>250</v>
      </c>
      <c r="H1038" s="66" t="str">
        <f>Table1[[#This Row],[Tabela]]&amp;Table1[[#This Row],[Campo]]</f>
        <v>modesg_inp_nfrd_alinhamento_taxccm_capex_own_prfrmnce_algnd</v>
      </c>
      <c r="I1038" s="3" t="s">
        <v>477</v>
      </c>
      <c r="J1038" s="48">
        <f>VLOOKUP(Table1[[#This Row],[Status]],Auxiliar!$B$16:$C$23,2,0)</f>
        <v>1</v>
      </c>
      <c r="K1038" s="22" t="s">
        <v>1164</v>
      </c>
      <c r="L1038" s="29"/>
      <c r="M1038" s="22" t="s">
        <v>1155</v>
      </c>
      <c r="N1038" s="53">
        <v>45540</v>
      </c>
      <c r="O1038" s="22">
        <f>INDEX(Auxiliar!$D$5:$F$13,MATCH(Table1[[#This Row],[Tipologia_Testes]],Auxiliar!$B$5:$B$13,0),MATCH(Table1[[#This Row],[Complexidade]],Auxiliar!$D$4:$F$4,0))</f>
        <v>0.5</v>
      </c>
      <c r="P1038" s="3"/>
      <c r="Q1038" s="3"/>
      <c r="R1038" s="173">
        <v>45261</v>
      </c>
      <c r="S1038" s="173"/>
      <c r="T1038" s="173"/>
      <c r="U1038" s="173">
        <v>45534</v>
      </c>
      <c r="V1038" s="173">
        <v>45534</v>
      </c>
      <c r="W1038" s="3">
        <f>VLOOKUP(Table1[[#This Row],[Status]],Auxiliar!$B$16:$D$23,3,0)*Table1[[#This Row],[Estimação (horas)]]</f>
        <v>0.5</v>
      </c>
      <c r="X1038" s="3"/>
    </row>
    <row r="1039" spans="2:24" ht="17.399999999999999" hidden="1" customHeight="1">
      <c r="B1039" s="14" t="s">
        <v>28</v>
      </c>
      <c r="C1039" s="14" t="s">
        <v>178</v>
      </c>
      <c r="D1039" s="14" t="s">
        <v>1205</v>
      </c>
      <c r="E1039" s="3" t="s">
        <v>38</v>
      </c>
      <c r="F1039" s="14" t="s">
        <v>208</v>
      </c>
      <c r="G1039" s="14" t="s">
        <v>251</v>
      </c>
      <c r="H1039" s="66" t="str">
        <f>Table1[[#This Row],[Tabela]]&amp;Table1[[#This Row],[Campo]]</f>
        <v>modesg_inp_nfrd_alinhamento_taxppc_trnvr_ttl_elgbl</v>
      </c>
      <c r="I1039" s="3" t="s">
        <v>477</v>
      </c>
      <c r="J1039" s="48">
        <f>VLOOKUP(Table1[[#This Row],[Status]],Auxiliar!$B$16:$C$23,2,0)</f>
        <v>1</v>
      </c>
      <c r="K1039" s="22" t="s">
        <v>1141</v>
      </c>
      <c r="L1039" s="3" t="s">
        <v>502</v>
      </c>
      <c r="M1039" s="22" t="s">
        <v>1155</v>
      </c>
      <c r="N1039" s="53">
        <v>45540</v>
      </c>
      <c r="O1039" s="22">
        <f>INDEX(Auxiliar!$D$5:$F$13,MATCH(Table1[[#This Row],[Tipologia_Testes]],Auxiliar!$B$5:$B$13,0),MATCH(Table1[[#This Row],[Complexidade]],Auxiliar!$D$4:$F$4,0))</f>
        <v>0.1</v>
      </c>
      <c r="P1039" s="3" t="s">
        <v>1217</v>
      </c>
      <c r="Q1039" s="3"/>
      <c r="R1039" s="173">
        <v>45261</v>
      </c>
      <c r="S1039" s="173"/>
      <c r="T1039" s="173"/>
      <c r="U1039" s="173">
        <v>45534</v>
      </c>
      <c r="V1039" s="173">
        <v>45534</v>
      </c>
      <c r="W1039" s="3">
        <f>VLOOKUP(Table1[[#This Row],[Status]],Auxiliar!$B$16:$D$23,3,0)*Table1[[#This Row],[Estimação (horas)]]</f>
        <v>0.1</v>
      </c>
      <c r="X1039" s="3"/>
    </row>
    <row r="1040" spans="2:24" ht="17.399999999999999" hidden="1" customHeight="1">
      <c r="B1040" s="14" t="s">
        <v>28</v>
      </c>
      <c r="C1040" s="14" t="s">
        <v>178</v>
      </c>
      <c r="D1040" s="14" t="s">
        <v>1205</v>
      </c>
      <c r="E1040" s="3" t="s">
        <v>38</v>
      </c>
      <c r="F1040" s="14" t="s">
        <v>208</v>
      </c>
      <c r="G1040" s="14" t="s">
        <v>251</v>
      </c>
      <c r="H1040" s="66" t="str">
        <f>Table1[[#This Row],[Tabela]]&amp;Table1[[#This Row],[Campo]]</f>
        <v>modesg_inp_nfrd_alinhamento_taxppc_trnvr_ttl_elgbl</v>
      </c>
      <c r="I1040" s="3" t="s">
        <v>477</v>
      </c>
      <c r="J1040" s="48">
        <f>VLOOKUP(Table1[[#This Row],[Status]],Auxiliar!$B$16:$C$23,2,0)</f>
        <v>1</v>
      </c>
      <c r="K1040" s="22" t="s">
        <v>1164</v>
      </c>
      <c r="L1040" s="3" t="s">
        <v>502</v>
      </c>
      <c r="M1040" s="22" t="s">
        <v>1155</v>
      </c>
      <c r="N1040" s="53">
        <v>45540</v>
      </c>
      <c r="O1040" s="22">
        <f>INDEX(Auxiliar!$D$5:$F$13,MATCH(Table1[[#This Row],[Tipologia_Testes]],Auxiliar!$B$5:$B$13,0),MATCH(Table1[[#This Row],[Complexidade]],Auxiliar!$D$4:$F$4,0))</f>
        <v>0.5</v>
      </c>
      <c r="P1040" s="3"/>
      <c r="Q1040" s="3"/>
      <c r="R1040" s="173">
        <v>45261</v>
      </c>
      <c r="S1040" s="173"/>
      <c r="T1040" s="173"/>
      <c r="U1040" s="173">
        <v>45534</v>
      </c>
      <c r="V1040" s="173">
        <v>45534</v>
      </c>
      <c r="W1040" s="3">
        <f>VLOOKUP(Table1[[#This Row],[Status]],Auxiliar!$B$16:$D$23,3,0)*Table1[[#This Row],[Estimação (horas)]]</f>
        <v>0.5</v>
      </c>
      <c r="X1040" s="3"/>
    </row>
    <row r="1041" spans="2:24" ht="17.399999999999999" hidden="1" customHeight="1">
      <c r="B1041" s="14" t="s">
        <v>28</v>
      </c>
      <c r="C1041" s="14" t="s">
        <v>178</v>
      </c>
      <c r="D1041" s="14" t="s">
        <v>1205</v>
      </c>
      <c r="E1041" s="3" t="s">
        <v>38</v>
      </c>
      <c r="F1041" s="14" t="s">
        <v>208</v>
      </c>
      <c r="G1041" s="14" t="s">
        <v>252</v>
      </c>
      <c r="H1041" s="66" t="str">
        <f>Table1[[#This Row],[Tabela]]&amp;Table1[[#This Row],[Campo]]</f>
        <v>modesg_inp_nfrd_alinhamento_taxppc_turnover_own_prfrmnce_algnd</v>
      </c>
      <c r="I1041" s="3" t="s">
        <v>477</v>
      </c>
      <c r="J1041" s="48">
        <f>VLOOKUP(Table1[[#This Row],[Status]],Auxiliar!$B$16:$C$23,2,0)</f>
        <v>1</v>
      </c>
      <c r="K1041" s="22" t="s">
        <v>1141</v>
      </c>
      <c r="L1041" s="3" t="s">
        <v>502</v>
      </c>
      <c r="M1041" s="22" t="s">
        <v>1155</v>
      </c>
      <c r="N1041" s="53">
        <v>45540</v>
      </c>
      <c r="O1041" s="22">
        <f>INDEX(Auxiliar!$D$5:$F$13,MATCH(Table1[[#This Row],[Tipologia_Testes]],Auxiliar!$B$5:$B$13,0),MATCH(Table1[[#This Row],[Complexidade]],Auxiliar!$D$4:$F$4,0))</f>
        <v>0.1</v>
      </c>
      <c r="P1041" s="3" t="s">
        <v>1217</v>
      </c>
      <c r="Q1041" s="3"/>
      <c r="R1041" s="173">
        <v>45261</v>
      </c>
      <c r="S1041" s="173"/>
      <c r="T1041" s="173"/>
      <c r="U1041" s="173">
        <v>45534</v>
      </c>
      <c r="V1041" s="173">
        <v>45534</v>
      </c>
      <c r="W1041" s="3">
        <f>VLOOKUP(Table1[[#This Row],[Status]],Auxiliar!$B$16:$D$23,3,0)*Table1[[#This Row],[Estimação (horas)]]</f>
        <v>0.1</v>
      </c>
      <c r="X1041" s="3"/>
    </row>
    <row r="1042" spans="2:24" ht="17.399999999999999" hidden="1" customHeight="1">
      <c r="B1042" s="14" t="s">
        <v>28</v>
      </c>
      <c r="C1042" s="14" t="s">
        <v>178</v>
      </c>
      <c r="D1042" s="14" t="s">
        <v>1205</v>
      </c>
      <c r="E1042" s="3" t="s">
        <v>38</v>
      </c>
      <c r="F1042" s="14" t="s">
        <v>208</v>
      </c>
      <c r="G1042" s="14" t="s">
        <v>252</v>
      </c>
      <c r="H1042" s="66" t="str">
        <f>Table1[[#This Row],[Tabela]]&amp;Table1[[#This Row],[Campo]]</f>
        <v>modesg_inp_nfrd_alinhamento_taxppc_turnover_own_prfrmnce_algnd</v>
      </c>
      <c r="I1042" s="3" t="s">
        <v>477</v>
      </c>
      <c r="J1042" s="48">
        <f>VLOOKUP(Table1[[#This Row],[Status]],Auxiliar!$B$16:$C$23,2,0)</f>
        <v>1</v>
      </c>
      <c r="K1042" s="22" t="s">
        <v>1164</v>
      </c>
      <c r="L1042" s="3" t="s">
        <v>502</v>
      </c>
      <c r="M1042" s="22" t="s">
        <v>1155</v>
      </c>
      <c r="N1042" s="53">
        <v>45540</v>
      </c>
      <c r="O1042" s="22">
        <f>INDEX(Auxiliar!$D$5:$F$13,MATCH(Table1[[#This Row],[Tipologia_Testes]],Auxiliar!$B$5:$B$13,0),MATCH(Table1[[#This Row],[Complexidade]],Auxiliar!$D$4:$F$4,0))</f>
        <v>0.5</v>
      </c>
      <c r="P1042" s="3"/>
      <c r="Q1042" s="3"/>
      <c r="R1042" s="173">
        <v>45261</v>
      </c>
      <c r="S1042" s="173"/>
      <c r="T1042" s="173"/>
      <c r="U1042" s="173">
        <v>45534</v>
      </c>
      <c r="V1042" s="173">
        <v>45534</v>
      </c>
      <c r="W1042" s="3">
        <f>VLOOKUP(Table1[[#This Row],[Status]],Auxiliar!$B$16:$D$23,3,0)*Table1[[#This Row],[Estimação (horas)]]</f>
        <v>0.5</v>
      </c>
      <c r="X1042" s="3"/>
    </row>
    <row r="1043" spans="2:24" ht="17.399999999999999" hidden="1" customHeight="1">
      <c r="B1043" s="14" t="s">
        <v>28</v>
      </c>
      <c r="C1043" s="14" t="s">
        <v>178</v>
      </c>
      <c r="D1043" s="14" t="s">
        <v>1205</v>
      </c>
      <c r="E1043" s="3" t="s">
        <v>38</v>
      </c>
      <c r="F1043" s="14" t="s">
        <v>208</v>
      </c>
      <c r="G1043" s="14" t="s">
        <v>253</v>
      </c>
      <c r="H1043" s="66" t="str">
        <f>Table1[[#This Row],[Tabela]]&amp;Table1[[#This Row],[Campo]]</f>
        <v>modesg_inp_nfrd_alinhamento_taxppc_capex_ttl_elgbl</v>
      </c>
      <c r="I1043" s="3" t="s">
        <v>477</v>
      </c>
      <c r="J1043" s="48">
        <f>VLOOKUP(Table1[[#This Row],[Status]],Auxiliar!$B$16:$C$23,2,0)</f>
        <v>1</v>
      </c>
      <c r="K1043" s="22" t="s">
        <v>1141</v>
      </c>
      <c r="L1043" s="3" t="s">
        <v>502</v>
      </c>
      <c r="M1043" s="22" t="s">
        <v>1155</v>
      </c>
      <c r="N1043" s="53">
        <v>45540</v>
      </c>
      <c r="O1043" s="22">
        <f>INDEX(Auxiliar!$D$5:$F$13,MATCH(Table1[[#This Row],[Tipologia_Testes]],Auxiliar!$B$5:$B$13,0),MATCH(Table1[[#This Row],[Complexidade]],Auxiliar!$D$4:$F$4,0))</f>
        <v>0.1</v>
      </c>
      <c r="P1043" s="3" t="s">
        <v>1217</v>
      </c>
      <c r="Q1043" s="3"/>
      <c r="R1043" s="173">
        <v>45261</v>
      </c>
      <c r="S1043" s="173"/>
      <c r="T1043" s="173"/>
      <c r="U1043" s="173">
        <v>45534</v>
      </c>
      <c r="V1043" s="173">
        <v>45534</v>
      </c>
      <c r="W1043" s="3">
        <f>VLOOKUP(Table1[[#This Row],[Status]],Auxiliar!$B$16:$D$23,3,0)*Table1[[#This Row],[Estimação (horas)]]</f>
        <v>0.1</v>
      </c>
      <c r="X1043" s="3"/>
    </row>
    <row r="1044" spans="2:24" ht="17.399999999999999" hidden="1" customHeight="1">
      <c r="B1044" s="14" t="s">
        <v>28</v>
      </c>
      <c r="C1044" s="14" t="s">
        <v>178</v>
      </c>
      <c r="D1044" s="14" t="s">
        <v>1205</v>
      </c>
      <c r="E1044" s="3" t="s">
        <v>38</v>
      </c>
      <c r="F1044" s="14" t="s">
        <v>208</v>
      </c>
      <c r="G1044" s="14" t="s">
        <v>253</v>
      </c>
      <c r="H1044" s="66" t="str">
        <f>Table1[[#This Row],[Tabela]]&amp;Table1[[#This Row],[Campo]]</f>
        <v>modesg_inp_nfrd_alinhamento_taxppc_capex_ttl_elgbl</v>
      </c>
      <c r="I1044" s="3" t="s">
        <v>477</v>
      </c>
      <c r="J1044" s="48">
        <f>VLOOKUP(Table1[[#This Row],[Status]],Auxiliar!$B$16:$C$23,2,0)</f>
        <v>1</v>
      </c>
      <c r="K1044" s="22" t="s">
        <v>1164</v>
      </c>
      <c r="L1044" s="3" t="s">
        <v>502</v>
      </c>
      <c r="M1044" s="22" t="s">
        <v>1155</v>
      </c>
      <c r="N1044" s="53">
        <v>45540</v>
      </c>
      <c r="O1044" s="22">
        <f>INDEX(Auxiliar!$D$5:$F$13,MATCH(Table1[[#This Row],[Tipologia_Testes]],Auxiliar!$B$5:$B$13,0),MATCH(Table1[[#This Row],[Complexidade]],Auxiliar!$D$4:$F$4,0))</f>
        <v>0.5</v>
      </c>
      <c r="P1044" s="3"/>
      <c r="Q1044" s="3"/>
      <c r="R1044" s="173">
        <v>45261</v>
      </c>
      <c r="S1044" s="173"/>
      <c r="T1044" s="173"/>
      <c r="U1044" s="173">
        <v>45534</v>
      </c>
      <c r="V1044" s="173">
        <v>45534</v>
      </c>
      <c r="W1044" s="3">
        <f>VLOOKUP(Table1[[#This Row],[Status]],Auxiliar!$B$16:$D$23,3,0)*Table1[[#This Row],[Estimação (horas)]]</f>
        <v>0.5</v>
      </c>
      <c r="X1044" s="3"/>
    </row>
    <row r="1045" spans="2:24" ht="17.399999999999999" hidden="1" customHeight="1">
      <c r="B1045" s="14" t="s">
        <v>28</v>
      </c>
      <c r="C1045" s="14" t="s">
        <v>178</v>
      </c>
      <c r="D1045" s="14" t="s">
        <v>1205</v>
      </c>
      <c r="E1045" s="3" t="s">
        <v>38</v>
      </c>
      <c r="F1045" s="14" t="s">
        <v>208</v>
      </c>
      <c r="G1045" s="14" t="s">
        <v>254</v>
      </c>
      <c r="H1045" s="66" t="str">
        <f>Table1[[#This Row],[Tabela]]&amp;Table1[[#This Row],[Campo]]</f>
        <v>modesg_inp_nfrd_alinhamento_taxppc_capex_own_prfrmnce_algnd</v>
      </c>
      <c r="I1045" s="3" t="s">
        <v>477</v>
      </c>
      <c r="J1045" s="48">
        <f>VLOOKUP(Table1[[#This Row],[Status]],Auxiliar!$B$16:$C$23,2,0)</f>
        <v>1</v>
      </c>
      <c r="K1045" s="22" t="s">
        <v>1141</v>
      </c>
      <c r="L1045" s="3" t="s">
        <v>502</v>
      </c>
      <c r="M1045" s="22" t="s">
        <v>1155</v>
      </c>
      <c r="N1045" s="53">
        <v>45540</v>
      </c>
      <c r="O1045" s="22">
        <f>INDEX(Auxiliar!$D$5:$F$13,MATCH(Table1[[#This Row],[Tipologia_Testes]],Auxiliar!$B$5:$B$13,0),MATCH(Table1[[#This Row],[Complexidade]],Auxiliar!$D$4:$F$4,0))</f>
        <v>0.1</v>
      </c>
      <c r="P1045" s="3" t="s">
        <v>1217</v>
      </c>
      <c r="Q1045" s="3"/>
      <c r="R1045" s="173">
        <v>45261</v>
      </c>
      <c r="S1045" s="173"/>
      <c r="T1045" s="173"/>
      <c r="U1045" s="173">
        <v>45534</v>
      </c>
      <c r="V1045" s="173">
        <v>45534</v>
      </c>
      <c r="W1045" s="3">
        <f>VLOOKUP(Table1[[#This Row],[Status]],Auxiliar!$B$16:$D$23,3,0)*Table1[[#This Row],[Estimação (horas)]]</f>
        <v>0.1</v>
      </c>
      <c r="X1045" s="3"/>
    </row>
    <row r="1046" spans="2:24" ht="17.399999999999999" hidden="1" customHeight="1">
      <c r="B1046" s="14" t="s">
        <v>28</v>
      </c>
      <c r="C1046" s="14" t="s">
        <v>178</v>
      </c>
      <c r="D1046" s="14" t="s">
        <v>1205</v>
      </c>
      <c r="E1046" s="3" t="s">
        <v>38</v>
      </c>
      <c r="F1046" s="14" t="s">
        <v>208</v>
      </c>
      <c r="G1046" s="14" t="s">
        <v>254</v>
      </c>
      <c r="H1046" s="66" t="str">
        <f>Table1[[#This Row],[Tabela]]&amp;Table1[[#This Row],[Campo]]</f>
        <v>modesg_inp_nfrd_alinhamento_taxppc_capex_own_prfrmnce_algnd</v>
      </c>
      <c r="I1046" s="3" t="s">
        <v>477</v>
      </c>
      <c r="J1046" s="48">
        <f>VLOOKUP(Table1[[#This Row],[Status]],Auxiliar!$B$16:$C$23,2,0)</f>
        <v>1</v>
      </c>
      <c r="K1046" s="22" t="s">
        <v>1164</v>
      </c>
      <c r="L1046" s="3" t="s">
        <v>502</v>
      </c>
      <c r="M1046" s="22" t="s">
        <v>1155</v>
      </c>
      <c r="N1046" s="53">
        <v>45540</v>
      </c>
      <c r="O1046" s="22">
        <f>INDEX(Auxiliar!$D$5:$F$13,MATCH(Table1[[#This Row],[Tipologia_Testes]],Auxiliar!$B$5:$B$13,0),MATCH(Table1[[#This Row],[Complexidade]],Auxiliar!$D$4:$F$4,0))</f>
        <v>0.5</v>
      </c>
      <c r="P1046" s="3"/>
      <c r="Q1046" s="3"/>
      <c r="R1046" s="173">
        <v>45261</v>
      </c>
      <c r="S1046" s="173"/>
      <c r="T1046" s="173"/>
      <c r="U1046" s="173">
        <v>45534</v>
      </c>
      <c r="V1046" s="173">
        <v>45534</v>
      </c>
      <c r="W1046" s="3">
        <f>VLOOKUP(Table1[[#This Row],[Status]],Auxiliar!$B$16:$D$23,3,0)*Table1[[#This Row],[Estimação (horas)]]</f>
        <v>0.5</v>
      </c>
      <c r="X1046" s="3"/>
    </row>
    <row r="1047" spans="2:24" ht="17.399999999999999" hidden="1" customHeight="1">
      <c r="B1047" s="14" t="s">
        <v>28</v>
      </c>
      <c r="C1047" s="14" t="s">
        <v>178</v>
      </c>
      <c r="D1047" s="14" t="s">
        <v>1205</v>
      </c>
      <c r="E1047" s="3" t="s">
        <v>38</v>
      </c>
      <c r="F1047" s="14" t="s">
        <v>208</v>
      </c>
      <c r="G1047" s="14" t="s">
        <v>255</v>
      </c>
      <c r="H1047" s="66" t="str">
        <f>Table1[[#This Row],[Tabela]]&amp;Table1[[#This Row],[Campo]]</f>
        <v>modesg_inp_nfrd_alinhamento_taxbio_trnvr_ttl_elgbl</v>
      </c>
      <c r="I1047" s="3" t="s">
        <v>477</v>
      </c>
      <c r="J1047" s="48">
        <f>VLOOKUP(Table1[[#This Row],[Status]],Auxiliar!$B$16:$C$23,2,0)</f>
        <v>1</v>
      </c>
      <c r="K1047" s="22" t="s">
        <v>1141</v>
      </c>
      <c r="L1047" s="3" t="s">
        <v>502</v>
      </c>
      <c r="M1047" s="22" t="s">
        <v>1155</v>
      </c>
      <c r="N1047" s="53">
        <v>45540</v>
      </c>
      <c r="O1047" s="22">
        <f>INDEX(Auxiliar!$D$5:$F$13,MATCH(Table1[[#This Row],[Tipologia_Testes]],Auxiliar!$B$5:$B$13,0),MATCH(Table1[[#This Row],[Complexidade]],Auxiliar!$D$4:$F$4,0))</f>
        <v>0.1</v>
      </c>
      <c r="P1047" s="3" t="s">
        <v>1217</v>
      </c>
      <c r="Q1047" s="3"/>
      <c r="R1047" s="173">
        <v>45261</v>
      </c>
      <c r="S1047" s="173"/>
      <c r="T1047" s="173"/>
      <c r="U1047" s="173">
        <v>45534</v>
      </c>
      <c r="V1047" s="173">
        <v>45534</v>
      </c>
      <c r="W1047" s="3">
        <f>VLOOKUP(Table1[[#This Row],[Status]],Auxiliar!$B$16:$D$23,3,0)*Table1[[#This Row],[Estimação (horas)]]</f>
        <v>0.1</v>
      </c>
      <c r="X1047" s="3"/>
    </row>
    <row r="1048" spans="2:24" ht="17.399999999999999" hidden="1" customHeight="1">
      <c r="B1048" s="14" t="s">
        <v>28</v>
      </c>
      <c r="C1048" s="14" t="s">
        <v>178</v>
      </c>
      <c r="D1048" s="14" t="s">
        <v>1205</v>
      </c>
      <c r="E1048" s="3" t="s">
        <v>38</v>
      </c>
      <c r="F1048" s="14" t="s">
        <v>208</v>
      </c>
      <c r="G1048" s="14" t="s">
        <v>255</v>
      </c>
      <c r="H1048" s="66" t="str">
        <f>Table1[[#This Row],[Tabela]]&amp;Table1[[#This Row],[Campo]]</f>
        <v>modesg_inp_nfrd_alinhamento_taxbio_trnvr_ttl_elgbl</v>
      </c>
      <c r="I1048" s="3" t="s">
        <v>477</v>
      </c>
      <c r="J1048" s="48">
        <f>VLOOKUP(Table1[[#This Row],[Status]],Auxiliar!$B$16:$C$23,2,0)</f>
        <v>1</v>
      </c>
      <c r="K1048" s="22" t="s">
        <v>1164</v>
      </c>
      <c r="L1048" s="3" t="s">
        <v>502</v>
      </c>
      <c r="M1048" s="22" t="s">
        <v>1155</v>
      </c>
      <c r="N1048" s="53">
        <v>45540</v>
      </c>
      <c r="O1048" s="22">
        <f>INDEX(Auxiliar!$D$5:$F$13,MATCH(Table1[[#This Row],[Tipologia_Testes]],Auxiliar!$B$5:$B$13,0),MATCH(Table1[[#This Row],[Complexidade]],Auxiliar!$D$4:$F$4,0))</f>
        <v>0.5</v>
      </c>
      <c r="P1048" s="3"/>
      <c r="Q1048" s="3"/>
      <c r="R1048" s="173">
        <v>45261</v>
      </c>
      <c r="S1048" s="173"/>
      <c r="T1048" s="173"/>
      <c r="U1048" s="173">
        <v>45534</v>
      </c>
      <c r="V1048" s="173">
        <v>45534</v>
      </c>
      <c r="W1048" s="3">
        <f>VLOOKUP(Table1[[#This Row],[Status]],Auxiliar!$B$16:$D$23,3,0)*Table1[[#This Row],[Estimação (horas)]]</f>
        <v>0.5</v>
      </c>
      <c r="X1048" s="3"/>
    </row>
    <row r="1049" spans="2:24" ht="17.399999999999999" hidden="1" customHeight="1">
      <c r="B1049" s="14" t="s">
        <v>28</v>
      </c>
      <c r="C1049" s="14" t="s">
        <v>178</v>
      </c>
      <c r="D1049" s="14" t="s">
        <v>1205</v>
      </c>
      <c r="E1049" s="3" t="s">
        <v>38</v>
      </c>
      <c r="F1049" s="14" t="s">
        <v>208</v>
      </c>
      <c r="G1049" s="14" t="s">
        <v>256</v>
      </c>
      <c r="H1049" s="66" t="str">
        <f>Table1[[#This Row],[Tabela]]&amp;Table1[[#This Row],[Campo]]</f>
        <v>modesg_inp_nfrd_alinhamento_taxbio_turnover_own_prfrmnce_algnd</v>
      </c>
      <c r="I1049" s="3" t="s">
        <v>477</v>
      </c>
      <c r="J1049" s="48">
        <f>VLOOKUP(Table1[[#This Row],[Status]],Auxiliar!$B$16:$C$23,2,0)</f>
        <v>1</v>
      </c>
      <c r="K1049" s="22" t="s">
        <v>1141</v>
      </c>
      <c r="L1049" s="3" t="s">
        <v>502</v>
      </c>
      <c r="M1049" s="22" t="s">
        <v>1155</v>
      </c>
      <c r="N1049" s="53">
        <v>45540</v>
      </c>
      <c r="O1049" s="22">
        <f>INDEX(Auxiliar!$D$5:$F$13,MATCH(Table1[[#This Row],[Tipologia_Testes]],Auxiliar!$B$5:$B$13,0),MATCH(Table1[[#This Row],[Complexidade]],Auxiliar!$D$4:$F$4,0))</f>
        <v>0.1</v>
      </c>
      <c r="P1049" s="3" t="s">
        <v>1217</v>
      </c>
      <c r="Q1049" s="3"/>
      <c r="R1049" s="173">
        <v>45261</v>
      </c>
      <c r="S1049" s="173"/>
      <c r="T1049" s="173"/>
      <c r="U1049" s="173">
        <v>45534</v>
      </c>
      <c r="V1049" s="173">
        <v>45534</v>
      </c>
      <c r="W1049" s="3">
        <f>VLOOKUP(Table1[[#This Row],[Status]],Auxiliar!$B$16:$D$23,3,0)*Table1[[#This Row],[Estimação (horas)]]</f>
        <v>0.1</v>
      </c>
      <c r="X1049" s="3"/>
    </row>
    <row r="1050" spans="2:24" ht="17.399999999999999" hidden="1" customHeight="1">
      <c r="B1050" s="14" t="s">
        <v>28</v>
      </c>
      <c r="C1050" s="14" t="s">
        <v>178</v>
      </c>
      <c r="D1050" s="14" t="s">
        <v>1205</v>
      </c>
      <c r="E1050" s="3" t="s">
        <v>38</v>
      </c>
      <c r="F1050" s="14" t="s">
        <v>208</v>
      </c>
      <c r="G1050" s="14" t="s">
        <v>256</v>
      </c>
      <c r="H1050" s="66" t="str">
        <f>Table1[[#This Row],[Tabela]]&amp;Table1[[#This Row],[Campo]]</f>
        <v>modesg_inp_nfrd_alinhamento_taxbio_turnover_own_prfrmnce_algnd</v>
      </c>
      <c r="I1050" s="3" t="s">
        <v>477</v>
      </c>
      <c r="J1050" s="48">
        <f>VLOOKUP(Table1[[#This Row],[Status]],Auxiliar!$B$16:$C$23,2,0)</f>
        <v>1</v>
      </c>
      <c r="K1050" s="22" t="s">
        <v>1164</v>
      </c>
      <c r="L1050" s="3" t="s">
        <v>502</v>
      </c>
      <c r="M1050" s="22" t="s">
        <v>1155</v>
      </c>
      <c r="N1050" s="53">
        <v>45540</v>
      </c>
      <c r="O1050" s="22">
        <f>INDEX(Auxiliar!$D$5:$F$13,MATCH(Table1[[#This Row],[Tipologia_Testes]],Auxiliar!$B$5:$B$13,0),MATCH(Table1[[#This Row],[Complexidade]],Auxiliar!$D$4:$F$4,0))</f>
        <v>0.5</v>
      </c>
      <c r="P1050" s="3"/>
      <c r="Q1050" s="3"/>
      <c r="R1050" s="173">
        <v>45261</v>
      </c>
      <c r="S1050" s="173"/>
      <c r="T1050" s="173"/>
      <c r="U1050" s="173">
        <v>45534</v>
      </c>
      <c r="V1050" s="173">
        <v>45534</v>
      </c>
      <c r="W1050" s="3">
        <f>VLOOKUP(Table1[[#This Row],[Status]],Auxiliar!$B$16:$D$23,3,0)*Table1[[#This Row],[Estimação (horas)]]</f>
        <v>0.5</v>
      </c>
      <c r="X1050" s="3"/>
    </row>
    <row r="1051" spans="2:24" ht="17.399999999999999" hidden="1" customHeight="1">
      <c r="B1051" s="14" t="s">
        <v>28</v>
      </c>
      <c r="C1051" s="14" t="s">
        <v>178</v>
      </c>
      <c r="D1051" s="14" t="s">
        <v>1205</v>
      </c>
      <c r="E1051" s="3" t="s">
        <v>38</v>
      </c>
      <c r="F1051" s="14" t="s">
        <v>208</v>
      </c>
      <c r="G1051" s="14" t="s">
        <v>257</v>
      </c>
      <c r="H1051" s="66" t="str">
        <f>Table1[[#This Row],[Tabela]]&amp;Table1[[#This Row],[Campo]]</f>
        <v>modesg_inp_nfrd_alinhamento_taxbio_capex_ttl_elgbl</v>
      </c>
      <c r="I1051" s="3" t="s">
        <v>477</v>
      </c>
      <c r="J1051" s="48">
        <f>VLOOKUP(Table1[[#This Row],[Status]],Auxiliar!$B$16:$C$23,2,0)</f>
        <v>1</v>
      </c>
      <c r="K1051" s="22" t="s">
        <v>1141</v>
      </c>
      <c r="L1051" s="3" t="s">
        <v>502</v>
      </c>
      <c r="M1051" s="22" t="s">
        <v>1155</v>
      </c>
      <c r="N1051" s="53">
        <v>45540</v>
      </c>
      <c r="O1051" s="22">
        <f>INDEX(Auxiliar!$D$5:$F$13,MATCH(Table1[[#This Row],[Tipologia_Testes]],Auxiliar!$B$5:$B$13,0),MATCH(Table1[[#This Row],[Complexidade]],Auxiliar!$D$4:$F$4,0))</f>
        <v>0.1</v>
      </c>
      <c r="P1051" s="3" t="s">
        <v>1217</v>
      </c>
      <c r="Q1051" s="3"/>
      <c r="R1051" s="173">
        <v>45261</v>
      </c>
      <c r="S1051" s="173"/>
      <c r="T1051" s="173"/>
      <c r="U1051" s="173">
        <v>45534</v>
      </c>
      <c r="V1051" s="173">
        <v>45534</v>
      </c>
      <c r="W1051" s="3">
        <f>VLOOKUP(Table1[[#This Row],[Status]],Auxiliar!$B$16:$D$23,3,0)*Table1[[#This Row],[Estimação (horas)]]</f>
        <v>0.1</v>
      </c>
      <c r="X1051" s="3"/>
    </row>
    <row r="1052" spans="2:24" ht="17.399999999999999" hidden="1" customHeight="1">
      <c r="B1052" s="14" t="s">
        <v>28</v>
      </c>
      <c r="C1052" s="14" t="s">
        <v>178</v>
      </c>
      <c r="D1052" s="14" t="s">
        <v>1205</v>
      </c>
      <c r="E1052" s="3" t="s">
        <v>38</v>
      </c>
      <c r="F1052" s="14" t="s">
        <v>208</v>
      </c>
      <c r="G1052" s="14" t="s">
        <v>257</v>
      </c>
      <c r="H1052" s="66" t="str">
        <f>Table1[[#This Row],[Tabela]]&amp;Table1[[#This Row],[Campo]]</f>
        <v>modesg_inp_nfrd_alinhamento_taxbio_capex_ttl_elgbl</v>
      </c>
      <c r="I1052" s="3" t="s">
        <v>477</v>
      </c>
      <c r="J1052" s="48">
        <f>VLOOKUP(Table1[[#This Row],[Status]],Auxiliar!$B$16:$C$23,2,0)</f>
        <v>1</v>
      </c>
      <c r="K1052" s="22" t="s">
        <v>1164</v>
      </c>
      <c r="L1052" s="3" t="s">
        <v>502</v>
      </c>
      <c r="M1052" s="22" t="s">
        <v>1155</v>
      </c>
      <c r="N1052" s="53">
        <v>45540</v>
      </c>
      <c r="O1052" s="22">
        <f>INDEX(Auxiliar!$D$5:$F$13,MATCH(Table1[[#This Row],[Tipologia_Testes]],Auxiliar!$B$5:$B$13,0),MATCH(Table1[[#This Row],[Complexidade]],Auxiliar!$D$4:$F$4,0))</f>
        <v>0.5</v>
      </c>
      <c r="P1052" s="3"/>
      <c r="Q1052" s="3"/>
      <c r="R1052" s="173">
        <v>45261</v>
      </c>
      <c r="S1052" s="173"/>
      <c r="T1052" s="173"/>
      <c r="U1052" s="173">
        <v>45534</v>
      </c>
      <c r="V1052" s="173">
        <v>45534</v>
      </c>
      <c r="W1052" s="3">
        <f>VLOOKUP(Table1[[#This Row],[Status]],Auxiliar!$B$16:$D$23,3,0)*Table1[[#This Row],[Estimação (horas)]]</f>
        <v>0.5</v>
      </c>
      <c r="X1052" s="3"/>
    </row>
    <row r="1053" spans="2:24" ht="17.399999999999999" hidden="1" customHeight="1">
      <c r="B1053" s="14" t="s">
        <v>28</v>
      </c>
      <c r="C1053" s="14" t="s">
        <v>178</v>
      </c>
      <c r="D1053" s="14" t="s">
        <v>1205</v>
      </c>
      <c r="E1053" s="3" t="s">
        <v>38</v>
      </c>
      <c r="F1053" s="14" t="s">
        <v>208</v>
      </c>
      <c r="G1053" s="14" t="s">
        <v>258</v>
      </c>
      <c r="H1053" s="66" t="str">
        <f>Table1[[#This Row],[Tabela]]&amp;Table1[[#This Row],[Campo]]</f>
        <v>modesg_inp_nfrd_alinhamento_taxbio_capex_own_prfrmnce_algnd</v>
      </c>
      <c r="I1053" s="3" t="s">
        <v>477</v>
      </c>
      <c r="J1053" s="48">
        <f>VLOOKUP(Table1[[#This Row],[Status]],Auxiliar!$B$16:$C$23,2,0)</f>
        <v>1</v>
      </c>
      <c r="K1053" s="22" t="s">
        <v>1141</v>
      </c>
      <c r="L1053" s="3" t="s">
        <v>502</v>
      </c>
      <c r="M1053" s="22" t="s">
        <v>1155</v>
      </c>
      <c r="N1053" s="53">
        <v>45540</v>
      </c>
      <c r="O1053" s="22">
        <f>INDEX(Auxiliar!$D$5:$F$13,MATCH(Table1[[#This Row],[Tipologia_Testes]],Auxiliar!$B$5:$B$13,0),MATCH(Table1[[#This Row],[Complexidade]],Auxiliar!$D$4:$F$4,0))</f>
        <v>0.1</v>
      </c>
      <c r="P1053" s="3" t="s">
        <v>1217</v>
      </c>
      <c r="Q1053" s="3"/>
      <c r="R1053" s="173">
        <v>45261</v>
      </c>
      <c r="S1053" s="173"/>
      <c r="T1053" s="173"/>
      <c r="U1053" s="173">
        <v>45534</v>
      </c>
      <c r="V1053" s="173">
        <v>45534</v>
      </c>
      <c r="W1053" s="3">
        <f>VLOOKUP(Table1[[#This Row],[Status]],Auxiliar!$B$16:$D$23,3,0)*Table1[[#This Row],[Estimação (horas)]]</f>
        <v>0.1</v>
      </c>
      <c r="X1053" s="3"/>
    </row>
    <row r="1054" spans="2:24" ht="17.399999999999999" hidden="1" customHeight="1">
      <c r="B1054" s="14" t="s">
        <v>28</v>
      </c>
      <c r="C1054" s="14" t="s">
        <v>178</v>
      </c>
      <c r="D1054" s="14" t="s">
        <v>1205</v>
      </c>
      <c r="E1054" s="3" t="s">
        <v>38</v>
      </c>
      <c r="F1054" s="14" t="s">
        <v>208</v>
      </c>
      <c r="G1054" s="14" t="s">
        <v>258</v>
      </c>
      <c r="H1054" s="66" t="str">
        <f>Table1[[#This Row],[Tabela]]&amp;Table1[[#This Row],[Campo]]</f>
        <v>modesg_inp_nfrd_alinhamento_taxbio_capex_own_prfrmnce_algnd</v>
      </c>
      <c r="I1054" s="3" t="s">
        <v>477</v>
      </c>
      <c r="J1054" s="48">
        <f>VLOOKUP(Table1[[#This Row],[Status]],Auxiliar!$B$16:$C$23,2,0)</f>
        <v>1</v>
      </c>
      <c r="K1054" s="22" t="s">
        <v>1164</v>
      </c>
      <c r="L1054" s="3" t="s">
        <v>502</v>
      </c>
      <c r="M1054" s="22" t="s">
        <v>1155</v>
      </c>
      <c r="N1054" s="53">
        <v>45540</v>
      </c>
      <c r="O1054" s="22">
        <f>INDEX(Auxiliar!$D$5:$F$13,MATCH(Table1[[#This Row],[Tipologia_Testes]],Auxiliar!$B$5:$B$13,0),MATCH(Table1[[#This Row],[Complexidade]],Auxiliar!$D$4:$F$4,0))</f>
        <v>0.5</v>
      </c>
      <c r="P1054" s="3"/>
      <c r="Q1054" s="3"/>
      <c r="R1054" s="173">
        <v>45261</v>
      </c>
      <c r="S1054" s="173"/>
      <c r="T1054" s="173"/>
      <c r="U1054" s="173">
        <v>45534</v>
      </c>
      <c r="V1054" s="173">
        <v>45534</v>
      </c>
      <c r="W1054" s="3">
        <f>VLOOKUP(Table1[[#This Row],[Status]],Auxiliar!$B$16:$D$23,3,0)*Table1[[#This Row],[Estimação (horas)]]</f>
        <v>0.5</v>
      </c>
      <c r="X1054" s="3"/>
    </row>
    <row r="1055" spans="2:24" ht="17.399999999999999" hidden="1" customHeight="1">
      <c r="B1055" s="14" t="s">
        <v>28</v>
      </c>
      <c r="C1055" s="14" t="s">
        <v>178</v>
      </c>
      <c r="D1055" s="14" t="s">
        <v>1205</v>
      </c>
      <c r="E1055" s="3" t="s">
        <v>38</v>
      </c>
      <c r="F1055" s="14" t="s">
        <v>208</v>
      </c>
      <c r="G1055" s="14" t="s">
        <v>259</v>
      </c>
      <c r="H1055" s="66" t="str">
        <f>Table1[[#This Row],[Tabela]]&amp;Table1[[#This Row],[Campo]]</f>
        <v>modesg_inp_nfrd_alinhamento_taxwtr_trnvr_ttl_elgbl</v>
      </c>
      <c r="I1055" s="3" t="s">
        <v>477</v>
      </c>
      <c r="J1055" s="48">
        <f>VLOOKUP(Table1[[#This Row],[Status]],Auxiliar!$B$16:$C$23,2,0)</f>
        <v>1</v>
      </c>
      <c r="K1055" s="22" t="s">
        <v>1141</v>
      </c>
      <c r="L1055" s="3" t="s">
        <v>502</v>
      </c>
      <c r="M1055" s="22" t="s">
        <v>1155</v>
      </c>
      <c r="N1055" s="53">
        <v>45540</v>
      </c>
      <c r="O1055" s="22">
        <f>INDEX(Auxiliar!$D$5:$F$13,MATCH(Table1[[#This Row],[Tipologia_Testes]],Auxiliar!$B$5:$B$13,0),MATCH(Table1[[#This Row],[Complexidade]],Auxiliar!$D$4:$F$4,0))</f>
        <v>0.1</v>
      </c>
      <c r="P1055" s="3" t="s">
        <v>1217</v>
      </c>
      <c r="Q1055" s="3"/>
      <c r="R1055" s="173">
        <v>45261</v>
      </c>
      <c r="S1055" s="173"/>
      <c r="T1055" s="173"/>
      <c r="U1055" s="173">
        <v>45534</v>
      </c>
      <c r="V1055" s="173">
        <v>45534</v>
      </c>
      <c r="W1055" s="3">
        <f>VLOOKUP(Table1[[#This Row],[Status]],Auxiliar!$B$16:$D$23,3,0)*Table1[[#This Row],[Estimação (horas)]]</f>
        <v>0.1</v>
      </c>
      <c r="X1055" s="3"/>
    </row>
    <row r="1056" spans="2:24" ht="17.399999999999999" hidden="1" customHeight="1">
      <c r="B1056" s="14" t="s">
        <v>28</v>
      </c>
      <c r="C1056" s="14" t="s">
        <v>178</v>
      </c>
      <c r="D1056" s="14" t="s">
        <v>1205</v>
      </c>
      <c r="E1056" s="3" t="s">
        <v>38</v>
      </c>
      <c r="F1056" s="14" t="s">
        <v>208</v>
      </c>
      <c r="G1056" s="14" t="s">
        <v>259</v>
      </c>
      <c r="H1056" s="66" t="str">
        <f>Table1[[#This Row],[Tabela]]&amp;Table1[[#This Row],[Campo]]</f>
        <v>modesg_inp_nfrd_alinhamento_taxwtr_trnvr_ttl_elgbl</v>
      </c>
      <c r="I1056" s="3" t="s">
        <v>477</v>
      </c>
      <c r="J1056" s="48">
        <f>VLOOKUP(Table1[[#This Row],[Status]],Auxiliar!$B$16:$C$23,2,0)</f>
        <v>1</v>
      </c>
      <c r="K1056" s="22" t="s">
        <v>1164</v>
      </c>
      <c r="L1056" s="3" t="s">
        <v>502</v>
      </c>
      <c r="M1056" s="22" t="s">
        <v>1155</v>
      </c>
      <c r="N1056" s="53">
        <v>45540</v>
      </c>
      <c r="O1056" s="22">
        <f>INDEX(Auxiliar!$D$5:$F$13,MATCH(Table1[[#This Row],[Tipologia_Testes]],Auxiliar!$B$5:$B$13,0),MATCH(Table1[[#This Row],[Complexidade]],Auxiliar!$D$4:$F$4,0))</f>
        <v>0.5</v>
      </c>
      <c r="P1056" s="3"/>
      <c r="Q1056" s="3"/>
      <c r="R1056" s="173">
        <v>45261</v>
      </c>
      <c r="S1056" s="173"/>
      <c r="T1056" s="173"/>
      <c r="U1056" s="173">
        <v>45534</v>
      </c>
      <c r="V1056" s="173">
        <v>45534</v>
      </c>
      <c r="W1056" s="3">
        <f>VLOOKUP(Table1[[#This Row],[Status]],Auxiliar!$B$16:$D$23,3,0)*Table1[[#This Row],[Estimação (horas)]]</f>
        <v>0.5</v>
      </c>
      <c r="X1056" s="3"/>
    </row>
    <row r="1057" spans="2:24" ht="17.399999999999999" hidden="1" customHeight="1">
      <c r="B1057" s="14" t="s">
        <v>28</v>
      </c>
      <c r="C1057" s="14" t="s">
        <v>178</v>
      </c>
      <c r="D1057" s="14" t="s">
        <v>1205</v>
      </c>
      <c r="E1057" s="3" t="s">
        <v>38</v>
      </c>
      <c r="F1057" s="14" t="s">
        <v>208</v>
      </c>
      <c r="G1057" s="14" t="s">
        <v>260</v>
      </c>
      <c r="H1057" s="66" t="str">
        <f>Table1[[#This Row],[Tabela]]&amp;Table1[[#This Row],[Campo]]</f>
        <v>modesg_inp_nfrd_alinhamento_taxwtr_trnvr_enblng_alignd</v>
      </c>
      <c r="I1057" s="3" t="s">
        <v>477</v>
      </c>
      <c r="J1057" s="48">
        <f>VLOOKUP(Table1[[#This Row],[Status]],Auxiliar!$B$16:$C$23,2,0)</f>
        <v>1</v>
      </c>
      <c r="K1057" s="22" t="s">
        <v>1141</v>
      </c>
      <c r="L1057" s="3" t="s">
        <v>502</v>
      </c>
      <c r="M1057" s="22" t="s">
        <v>1155</v>
      </c>
      <c r="N1057" s="53">
        <v>45540</v>
      </c>
      <c r="O1057" s="22">
        <f>INDEX(Auxiliar!$D$5:$F$13,MATCH(Table1[[#This Row],[Tipologia_Testes]],Auxiliar!$B$5:$B$13,0),MATCH(Table1[[#This Row],[Complexidade]],Auxiliar!$D$4:$F$4,0))</f>
        <v>0.1</v>
      </c>
      <c r="P1057" s="3" t="s">
        <v>1217</v>
      </c>
      <c r="Q1057" s="3"/>
      <c r="R1057" s="173">
        <v>45261</v>
      </c>
      <c r="S1057" s="173"/>
      <c r="T1057" s="173"/>
      <c r="U1057" s="173">
        <v>45534</v>
      </c>
      <c r="V1057" s="173">
        <v>45534</v>
      </c>
      <c r="W1057" s="3">
        <f>VLOOKUP(Table1[[#This Row],[Status]],Auxiliar!$B$16:$D$23,3,0)*Table1[[#This Row],[Estimação (horas)]]</f>
        <v>0.1</v>
      </c>
      <c r="X1057" s="3"/>
    </row>
    <row r="1058" spans="2:24" ht="17.399999999999999" hidden="1" customHeight="1">
      <c r="B1058" s="14" t="s">
        <v>28</v>
      </c>
      <c r="C1058" s="14" t="s">
        <v>178</v>
      </c>
      <c r="D1058" s="14" t="s">
        <v>1205</v>
      </c>
      <c r="E1058" s="3" t="s">
        <v>38</v>
      </c>
      <c r="F1058" s="14" t="s">
        <v>208</v>
      </c>
      <c r="G1058" s="14" t="s">
        <v>260</v>
      </c>
      <c r="H1058" s="66" t="str">
        <f>Table1[[#This Row],[Tabela]]&amp;Table1[[#This Row],[Campo]]</f>
        <v>modesg_inp_nfrd_alinhamento_taxwtr_trnvr_enblng_alignd</v>
      </c>
      <c r="I1058" s="3" t="s">
        <v>477</v>
      </c>
      <c r="J1058" s="48">
        <f>VLOOKUP(Table1[[#This Row],[Status]],Auxiliar!$B$16:$C$23,2,0)</f>
        <v>1</v>
      </c>
      <c r="K1058" s="22" t="s">
        <v>1164</v>
      </c>
      <c r="L1058" s="3" t="s">
        <v>502</v>
      </c>
      <c r="M1058" s="22" t="s">
        <v>1155</v>
      </c>
      <c r="N1058" s="53">
        <v>45540</v>
      </c>
      <c r="O1058" s="22">
        <f>INDEX(Auxiliar!$D$5:$F$13,MATCH(Table1[[#This Row],[Tipologia_Testes]],Auxiliar!$B$5:$B$13,0),MATCH(Table1[[#This Row],[Complexidade]],Auxiliar!$D$4:$F$4,0))</f>
        <v>0.5</v>
      </c>
      <c r="P1058" s="3"/>
      <c r="Q1058" s="3"/>
      <c r="R1058" s="173">
        <v>45261</v>
      </c>
      <c r="S1058" s="173"/>
      <c r="T1058" s="173"/>
      <c r="U1058" s="173">
        <v>45534</v>
      </c>
      <c r="V1058" s="173">
        <v>45534</v>
      </c>
      <c r="W1058" s="3">
        <f>VLOOKUP(Table1[[#This Row],[Status]],Auxiliar!$B$16:$D$23,3,0)*Table1[[#This Row],[Estimação (horas)]]</f>
        <v>0.5</v>
      </c>
      <c r="X1058" s="3"/>
    </row>
    <row r="1059" spans="2:24" ht="17.399999999999999" hidden="1" customHeight="1">
      <c r="B1059" s="14" t="s">
        <v>28</v>
      </c>
      <c r="C1059" s="14" t="s">
        <v>178</v>
      </c>
      <c r="D1059" s="14" t="s">
        <v>1205</v>
      </c>
      <c r="E1059" s="3" t="s">
        <v>38</v>
      </c>
      <c r="F1059" s="14" t="s">
        <v>208</v>
      </c>
      <c r="G1059" s="14" t="s">
        <v>261</v>
      </c>
      <c r="H1059" s="66" t="str">
        <f>Table1[[#This Row],[Tabela]]&amp;Table1[[#This Row],[Campo]]</f>
        <v>modesg_inp_nfrd_alinhamento_taxwtr_turnover_own_prfrmnce_algnd</v>
      </c>
      <c r="I1059" s="3" t="s">
        <v>477</v>
      </c>
      <c r="J1059" s="48">
        <f>VLOOKUP(Table1[[#This Row],[Status]],Auxiliar!$B$16:$C$23,2,0)</f>
        <v>1</v>
      </c>
      <c r="K1059" s="22" t="s">
        <v>1141</v>
      </c>
      <c r="L1059" s="3" t="s">
        <v>502</v>
      </c>
      <c r="M1059" s="22" t="s">
        <v>1155</v>
      </c>
      <c r="N1059" s="53">
        <v>45540</v>
      </c>
      <c r="O1059" s="22">
        <f>INDEX(Auxiliar!$D$5:$F$13,MATCH(Table1[[#This Row],[Tipologia_Testes]],Auxiliar!$B$5:$B$13,0),MATCH(Table1[[#This Row],[Complexidade]],Auxiliar!$D$4:$F$4,0))</f>
        <v>0.1</v>
      </c>
      <c r="P1059" s="3" t="s">
        <v>1217</v>
      </c>
      <c r="Q1059" s="3"/>
      <c r="R1059" s="173">
        <v>45261</v>
      </c>
      <c r="S1059" s="173"/>
      <c r="T1059" s="173"/>
      <c r="U1059" s="173">
        <v>45534</v>
      </c>
      <c r="V1059" s="173">
        <v>45534</v>
      </c>
      <c r="W1059" s="3">
        <f>VLOOKUP(Table1[[#This Row],[Status]],Auxiliar!$B$16:$D$23,3,0)*Table1[[#This Row],[Estimação (horas)]]</f>
        <v>0.1</v>
      </c>
      <c r="X1059" s="3"/>
    </row>
    <row r="1060" spans="2:24" ht="17.399999999999999" hidden="1" customHeight="1">
      <c r="B1060" s="14" t="s">
        <v>28</v>
      </c>
      <c r="C1060" s="14" t="s">
        <v>178</v>
      </c>
      <c r="D1060" s="14" t="s">
        <v>1205</v>
      </c>
      <c r="E1060" s="3" t="s">
        <v>38</v>
      </c>
      <c r="F1060" s="14" t="s">
        <v>208</v>
      </c>
      <c r="G1060" s="14" t="s">
        <v>261</v>
      </c>
      <c r="H1060" s="66" t="str">
        <f>Table1[[#This Row],[Tabela]]&amp;Table1[[#This Row],[Campo]]</f>
        <v>modesg_inp_nfrd_alinhamento_taxwtr_turnover_own_prfrmnce_algnd</v>
      </c>
      <c r="I1060" s="3" t="s">
        <v>477</v>
      </c>
      <c r="J1060" s="48">
        <f>VLOOKUP(Table1[[#This Row],[Status]],Auxiliar!$B$16:$C$23,2,0)</f>
        <v>1</v>
      </c>
      <c r="K1060" s="22" t="s">
        <v>1164</v>
      </c>
      <c r="L1060" s="3" t="s">
        <v>502</v>
      </c>
      <c r="M1060" s="22" t="s">
        <v>1155</v>
      </c>
      <c r="N1060" s="53">
        <v>45540</v>
      </c>
      <c r="O1060" s="22">
        <f>INDEX(Auxiliar!$D$5:$F$13,MATCH(Table1[[#This Row],[Tipologia_Testes]],Auxiliar!$B$5:$B$13,0),MATCH(Table1[[#This Row],[Complexidade]],Auxiliar!$D$4:$F$4,0))</f>
        <v>0.5</v>
      </c>
      <c r="P1060" s="3"/>
      <c r="Q1060" s="3"/>
      <c r="R1060" s="173">
        <v>45261</v>
      </c>
      <c r="S1060" s="173"/>
      <c r="T1060" s="173"/>
      <c r="U1060" s="173">
        <v>45534</v>
      </c>
      <c r="V1060" s="173">
        <v>45534</v>
      </c>
      <c r="W1060" s="3">
        <f>VLOOKUP(Table1[[#This Row],[Status]],Auxiliar!$B$16:$D$23,3,0)*Table1[[#This Row],[Estimação (horas)]]</f>
        <v>0.5</v>
      </c>
      <c r="X1060" s="3"/>
    </row>
    <row r="1061" spans="2:24" ht="17.399999999999999" hidden="1" customHeight="1">
      <c r="B1061" s="14" t="s">
        <v>28</v>
      </c>
      <c r="C1061" s="14" t="s">
        <v>178</v>
      </c>
      <c r="D1061" s="14" t="s">
        <v>1205</v>
      </c>
      <c r="E1061" s="3" t="s">
        <v>38</v>
      </c>
      <c r="F1061" s="14" t="s">
        <v>208</v>
      </c>
      <c r="G1061" s="14" t="s">
        <v>262</v>
      </c>
      <c r="H1061" s="66" t="str">
        <f>Table1[[#This Row],[Tabela]]&amp;Table1[[#This Row],[Campo]]</f>
        <v>modesg_inp_nfrd_alinhamento_taxwtr_capex_ttl_elgbl</v>
      </c>
      <c r="I1061" s="3" t="s">
        <v>477</v>
      </c>
      <c r="J1061" s="48">
        <f>VLOOKUP(Table1[[#This Row],[Status]],Auxiliar!$B$16:$C$23,2,0)</f>
        <v>1</v>
      </c>
      <c r="K1061" s="22" t="s">
        <v>1141</v>
      </c>
      <c r="L1061" s="3" t="s">
        <v>502</v>
      </c>
      <c r="M1061" s="22" t="s">
        <v>1155</v>
      </c>
      <c r="N1061" s="53">
        <v>45540</v>
      </c>
      <c r="O1061" s="22">
        <f>INDEX(Auxiliar!$D$5:$F$13,MATCH(Table1[[#This Row],[Tipologia_Testes]],Auxiliar!$B$5:$B$13,0),MATCH(Table1[[#This Row],[Complexidade]],Auxiliar!$D$4:$F$4,0))</f>
        <v>0.1</v>
      </c>
      <c r="P1061" s="3" t="s">
        <v>1217</v>
      </c>
      <c r="Q1061" s="3"/>
      <c r="R1061" s="173">
        <v>45261</v>
      </c>
      <c r="S1061" s="173"/>
      <c r="T1061" s="173"/>
      <c r="U1061" s="173">
        <v>45534</v>
      </c>
      <c r="V1061" s="173">
        <v>45534</v>
      </c>
      <c r="W1061" s="3">
        <f>VLOOKUP(Table1[[#This Row],[Status]],Auxiliar!$B$16:$D$23,3,0)*Table1[[#This Row],[Estimação (horas)]]</f>
        <v>0.1</v>
      </c>
      <c r="X1061" s="3"/>
    </row>
    <row r="1062" spans="2:24" ht="17.399999999999999" hidden="1" customHeight="1">
      <c r="B1062" s="14" t="s">
        <v>28</v>
      </c>
      <c r="C1062" s="14" t="s">
        <v>178</v>
      </c>
      <c r="D1062" s="14" t="s">
        <v>1205</v>
      </c>
      <c r="E1062" s="3" t="s">
        <v>38</v>
      </c>
      <c r="F1062" s="14" t="s">
        <v>208</v>
      </c>
      <c r="G1062" s="14" t="s">
        <v>262</v>
      </c>
      <c r="H1062" s="66" t="str">
        <f>Table1[[#This Row],[Tabela]]&amp;Table1[[#This Row],[Campo]]</f>
        <v>modesg_inp_nfrd_alinhamento_taxwtr_capex_ttl_elgbl</v>
      </c>
      <c r="I1062" s="3" t="s">
        <v>477</v>
      </c>
      <c r="J1062" s="48">
        <f>VLOOKUP(Table1[[#This Row],[Status]],Auxiliar!$B$16:$C$23,2,0)</f>
        <v>1</v>
      </c>
      <c r="K1062" s="22" t="s">
        <v>1164</v>
      </c>
      <c r="L1062" s="3" t="s">
        <v>502</v>
      </c>
      <c r="M1062" s="22" t="s">
        <v>1155</v>
      </c>
      <c r="N1062" s="53">
        <v>45540</v>
      </c>
      <c r="O1062" s="22">
        <f>INDEX(Auxiliar!$D$5:$F$13,MATCH(Table1[[#This Row],[Tipologia_Testes]],Auxiliar!$B$5:$B$13,0),MATCH(Table1[[#This Row],[Complexidade]],Auxiliar!$D$4:$F$4,0))</f>
        <v>0.5</v>
      </c>
      <c r="P1062" s="3"/>
      <c r="Q1062" s="3"/>
      <c r="R1062" s="173">
        <v>45261</v>
      </c>
      <c r="S1062" s="173"/>
      <c r="T1062" s="173"/>
      <c r="U1062" s="173">
        <v>45534</v>
      </c>
      <c r="V1062" s="173">
        <v>45534</v>
      </c>
      <c r="W1062" s="3">
        <f>VLOOKUP(Table1[[#This Row],[Status]],Auxiliar!$B$16:$D$23,3,0)*Table1[[#This Row],[Estimação (horas)]]</f>
        <v>0.5</v>
      </c>
      <c r="X1062" s="3"/>
    </row>
    <row r="1063" spans="2:24" ht="17.399999999999999" hidden="1" customHeight="1">
      <c r="B1063" s="14" t="s">
        <v>28</v>
      </c>
      <c r="C1063" s="14" t="s">
        <v>178</v>
      </c>
      <c r="D1063" s="14" t="s">
        <v>1205</v>
      </c>
      <c r="E1063" s="3" t="s">
        <v>38</v>
      </c>
      <c r="F1063" s="14" t="s">
        <v>208</v>
      </c>
      <c r="G1063" s="14" t="s">
        <v>263</v>
      </c>
      <c r="H1063" s="66" t="str">
        <f>Table1[[#This Row],[Tabela]]&amp;Table1[[#This Row],[Campo]]</f>
        <v>modesg_inp_nfrd_alinhamento_taxwtr_capex_enblng_algnd</v>
      </c>
      <c r="I1063" s="3" t="s">
        <v>477</v>
      </c>
      <c r="J1063" s="48">
        <f>VLOOKUP(Table1[[#This Row],[Status]],Auxiliar!$B$16:$C$23,2,0)</f>
        <v>1</v>
      </c>
      <c r="K1063" s="22" t="s">
        <v>1141</v>
      </c>
      <c r="L1063" s="3" t="s">
        <v>502</v>
      </c>
      <c r="M1063" s="22" t="s">
        <v>1155</v>
      </c>
      <c r="N1063" s="53">
        <v>45540</v>
      </c>
      <c r="O1063" s="22">
        <f>INDEX(Auxiliar!$D$5:$F$13,MATCH(Table1[[#This Row],[Tipologia_Testes]],Auxiliar!$B$5:$B$13,0),MATCH(Table1[[#This Row],[Complexidade]],Auxiliar!$D$4:$F$4,0))</f>
        <v>0.1</v>
      </c>
      <c r="P1063" s="3" t="s">
        <v>1217</v>
      </c>
      <c r="Q1063" s="3"/>
      <c r="R1063" s="173">
        <v>45261</v>
      </c>
      <c r="S1063" s="173"/>
      <c r="T1063" s="173"/>
      <c r="U1063" s="173">
        <v>45534</v>
      </c>
      <c r="V1063" s="173">
        <v>45534</v>
      </c>
      <c r="W1063" s="3">
        <f>VLOOKUP(Table1[[#This Row],[Status]],Auxiliar!$B$16:$D$23,3,0)*Table1[[#This Row],[Estimação (horas)]]</f>
        <v>0.1</v>
      </c>
      <c r="X1063" s="3"/>
    </row>
    <row r="1064" spans="2:24" ht="17.399999999999999" hidden="1" customHeight="1">
      <c r="B1064" s="14" t="s">
        <v>28</v>
      </c>
      <c r="C1064" s="14" t="s">
        <v>178</v>
      </c>
      <c r="D1064" s="14" t="s">
        <v>1205</v>
      </c>
      <c r="E1064" s="3" t="s">
        <v>38</v>
      </c>
      <c r="F1064" s="14" t="s">
        <v>208</v>
      </c>
      <c r="G1064" s="14" t="s">
        <v>263</v>
      </c>
      <c r="H1064" s="66" t="str">
        <f>Table1[[#This Row],[Tabela]]&amp;Table1[[#This Row],[Campo]]</f>
        <v>modesg_inp_nfrd_alinhamento_taxwtr_capex_enblng_algnd</v>
      </c>
      <c r="I1064" s="3" t="s">
        <v>477</v>
      </c>
      <c r="J1064" s="48">
        <f>VLOOKUP(Table1[[#This Row],[Status]],Auxiliar!$B$16:$C$23,2,0)</f>
        <v>1</v>
      </c>
      <c r="K1064" s="22" t="s">
        <v>1164</v>
      </c>
      <c r="L1064" s="3" t="s">
        <v>502</v>
      </c>
      <c r="M1064" s="22" t="s">
        <v>1155</v>
      </c>
      <c r="N1064" s="53">
        <v>45540</v>
      </c>
      <c r="O1064" s="22">
        <f>INDEX(Auxiliar!$D$5:$F$13,MATCH(Table1[[#This Row],[Tipologia_Testes]],Auxiliar!$B$5:$B$13,0),MATCH(Table1[[#This Row],[Complexidade]],Auxiliar!$D$4:$F$4,0))</f>
        <v>0.5</v>
      </c>
      <c r="P1064" s="3"/>
      <c r="Q1064" s="3"/>
      <c r="R1064" s="173">
        <v>45261</v>
      </c>
      <c r="S1064" s="173"/>
      <c r="T1064" s="173"/>
      <c r="U1064" s="173">
        <v>45534</v>
      </c>
      <c r="V1064" s="173">
        <v>45534</v>
      </c>
      <c r="W1064" s="3">
        <f>VLOOKUP(Table1[[#This Row],[Status]],Auxiliar!$B$16:$D$23,3,0)*Table1[[#This Row],[Estimação (horas)]]</f>
        <v>0.5</v>
      </c>
      <c r="X1064" s="3"/>
    </row>
    <row r="1065" spans="2:24" ht="17.399999999999999" hidden="1" customHeight="1">
      <c r="B1065" s="14" t="s">
        <v>28</v>
      </c>
      <c r="C1065" s="14" t="s">
        <v>178</v>
      </c>
      <c r="D1065" s="14" t="s">
        <v>1205</v>
      </c>
      <c r="E1065" s="3" t="s">
        <v>38</v>
      </c>
      <c r="F1065" s="14" t="s">
        <v>208</v>
      </c>
      <c r="G1065" s="14" t="s">
        <v>264</v>
      </c>
      <c r="H1065" s="66" t="str">
        <f>Table1[[#This Row],[Tabela]]&amp;Table1[[#This Row],[Campo]]</f>
        <v>modesg_inp_nfrd_alinhamento_taxwtr_capex_own_prfrmnce_algnd</v>
      </c>
      <c r="I1065" s="3" t="s">
        <v>477</v>
      </c>
      <c r="J1065" s="48">
        <f>VLOOKUP(Table1[[#This Row],[Status]],Auxiliar!$B$16:$C$23,2,0)</f>
        <v>1</v>
      </c>
      <c r="K1065" s="22" t="s">
        <v>1141</v>
      </c>
      <c r="L1065" s="3" t="s">
        <v>502</v>
      </c>
      <c r="M1065" s="22" t="s">
        <v>1155</v>
      </c>
      <c r="N1065" s="53">
        <v>45540</v>
      </c>
      <c r="O1065" s="22">
        <f>INDEX(Auxiliar!$D$5:$F$13,MATCH(Table1[[#This Row],[Tipologia_Testes]],Auxiliar!$B$5:$B$13,0),MATCH(Table1[[#This Row],[Complexidade]],Auxiliar!$D$4:$F$4,0))</f>
        <v>0.1</v>
      </c>
      <c r="P1065" s="3" t="s">
        <v>1217</v>
      </c>
      <c r="Q1065" s="3"/>
      <c r="R1065" s="173">
        <v>45261</v>
      </c>
      <c r="S1065" s="173"/>
      <c r="T1065" s="173"/>
      <c r="U1065" s="173">
        <v>45534</v>
      </c>
      <c r="V1065" s="173">
        <v>45534</v>
      </c>
      <c r="W1065" s="3">
        <f>VLOOKUP(Table1[[#This Row],[Status]],Auxiliar!$B$16:$D$23,3,0)*Table1[[#This Row],[Estimação (horas)]]</f>
        <v>0.1</v>
      </c>
      <c r="X1065" s="3"/>
    </row>
    <row r="1066" spans="2:24" ht="17.399999999999999" hidden="1" customHeight="1">
      <c r="B1066" s="14" t="s">
        <v>28</v>
      </c>
      <c r="C1066" s="14" t="s">
        <v>178</v>
      </c>
      <c r="D1066" s="14" t="s">
        <v>1205</v>
      </c>
      <c r="E1066" s="3" t="s">
        <v>38</v>
      </c>
      <c r="F1066" s="14" t="s">
        <v>208</v>
      </c>
      <c r="G1066" s="14" t="s">
        <v>264</v>
      </c>
      <c r="H1066" s="66" t="str">
        <f>Table1[[#This Row],[Tabela]]&amp;Table1[[#This Row],[Campo]]</f>
        <v>modesg_inp_nfrd_alinhamento_taxwtr_capex_own_prfrmnce_algnd</v>
      </c>
      <c r="I1066" s="3" t="s">
        <v>477</v>
      </c>
      <c r="J1066" s="48">
        <f>VLOOKUP(Table1[[#This Row],[Status]],Auxiliar!$B$16:$C$23,2,0)</f>
        <v>1</v>
      </c>
      <c r="K1066" s="22" t="s">
        <v>1164</v>
      </c>
      <c r="L1066" s="3" t="s">
        <v>502</v>
      </c>
      <c r="M1066" s="22" t="s">
        <v>1155</v>
      </c>
      <c r="N1066" s="53">
        <v>45540</v>
      </c>
      <c r="O1066" s="22">
        <f>INDEX(Auxiliar!$D$5:$F$13,MATCH(Table1[[#This Row],[Tipologia_Testes]],Auxiliar!$B$5:$B$13,0),MATCH(Table1[[#This Row],[Complexidade]],Auxiliar!$D$4:$F$4,0))</f>
        <v>0.5</v>
      </c>
      <c r="P1066" s="3"/>
      <c r="Q1066" s="3"/>
      <c r="R1066" s="173">
        <v>45261</v>
      </c>
      <c r="S1066" s="173"/>
      <c r="T1066" s="173"/>
      <c r="U1066" s="173">
        <v>45534</v>
      </c>
      <c r="V1066" s="173">
        <v>45534</v>
      </c>
      <c r="W1066" s="3">
        <f>VLOOKUP(Table1[[#This Row],[Status]],Auxiliar!$B$16:$D$23,3,0)*Table1[[#This Row],[Estimação (horas)]]</f>
        <v>0.5</v>
      </c>
      <c r="X1066" s="3"/>
    </row>
    <row r="1067" spans="2:24" ht="17.399999999999999" hidden="1" customHeight="1">
      <c r="B1067" s="14" t="s">
        <v>28</v>
      </c>
      <c r="C1067" s="14" t="s">
        <v>178</v>
      </c>
      <c r="D1067" s="14" t="s">
        <v>1205</v>
      </c>
      <c r="E1067" s="3" t="s">
        <v>38</v>
      </c>
      <c r="F1067" s="14" t="s">
        <v>208</v>
      </c>
      <c r="G1067" s="14" t="s">
        <v>265</v>
      </c>
      <c r="H1067" s="66" t="str">
        <f>Table1[[#This Row],[Tabela]]&amp;Table1[[#This Row],[Campo]]</f>
        <v>modesg_inp_nfrd_alinhamento_taxce_trnvr_ttl_elgbl</v>
      </c>
      <c r="I1067" s="3" t="s">
        <v>477</v>
      </c>
      <c r="J1067" s="48">
        <f>VLOOKUP(Table1[[#This Row],[Status]],Auxiliar!$B$16:$C$23,2,0)</f>
        <v>1</v>
      </c>
      <c r="K1067" s="22" t="s">
        <v>1141</v>
      </c>
      <c r="L1067" s="3" t="s">
        <v>502</v>
      </c>
      <c r="M1067" s="22" t="s">
        <v>1155</v>
      </c>
      <c r="N1067" s="53">
        <v>45540</v>
      </c>
      <c r="O1067" s="22">
        <f>INDEX(Auxiliar!$D$5:$F$13,MATCH(Table1[[#This Row],[Tipologia_Testes]],Auxiliar!$B$5:$B$13,0),MATCH(Table1[[#This Row],[Complexidade]],Auxiliar!$D$4:$F$4,0))</f>
        <v>0.1</v>
      </c>
      <c r="P1067" s="3" t="s">
        <v>1217</v>
      </c>
      <c r="Q1067" s="3"/>
      <c r="R1067" s="173">
        <v>45261</v>
      </c>
      <c r="S1067" s="173"/>
      <c r="T1067" s="173"/>
      <c r="U1067" s="173">
        <v>45534</v>
      </c>
      <c r="V1067" s="173">
        <v>45534</v>
      </c>
      <c r="W1067" s="3">
        <f>VLOOKUP(Table1[[#This Row],[Status]],Auxiliar!$B$16:$D$23,3,0)*Table1[[#This Row],[Estimação (horas)]]</f>
        <v>0.1</v>
      </c>
      <c r="X1067" s="3"/>
    </row>
    <row r="1068" spans="2:24" ht="17.399999999999999" hidden="1" customHeight="1">
      <c r="B1068" s="14" t="s">
        <v>28</v>
      </c>
      <c r="C1068" s="14" t="s">
        <v>178</v>
      </c>
      <c r="D1068" s="14" t="s">
        <v>1205</v>
      </c>
      <c r="E1068" s="3" t="s">
        <v>38</v>
      </c>
      <c r="F1068" s="14" t="s">
        <v>208</v>
      </c>
      <c r="G1068" s="14" t="s">
        <v>265</v>
      </c>
      <c r="H1068" s="66" t="str">
        <f>Table1[[#This Row],[Tabela]]&amp;Table1[[#This Row],[Campo]]</f>
        <v>modesg_inp_nfrd_alinhamento_taxce_trnvr_ttl_elgbl</v>
      </c>
      <c r="I1068" s="3" t="s">
        <v>477</v>
      </c>
      <c r="J1068" s="48">
        <f>VLOOKUP(Table1[[#This Row],[Status]],Auxiliar!$B$16:$C$23,2,0)</f>
        <v>1</v>
      </c>
      <c r="K1068" s="22" t="s">
        <v>1164</v>
      </c>
      <c r="L1068" s="3" t="s">
        <v>502</v>
      </c>
      <c r="M1068" s="22" t="s">
        <v>1155</v>
      </c>
      <c r="N1068" s="53">
        <v>45540</v>
      </c>
      <c r="O1068" s="22">
        <f>INDEX(Auxiliar!$D$5:$F$13,MATCH(Table1[[#This Row],[Tipologia_Testes]],Auxiliar!$B$5:$B$13,0),MATCH(Table1[[#This Row],[Complexidade]],Auxiliar!$D$4:$F$4,0))</f>
        <v>0.5</v>
      </c>
      <c r="P1068" s="3"/>
      <c r="Q1068" s="3"/>
      <c r="R1068" s="173">
        <v>45261</v>
      </c>
      <c r="S1068" s="173"/>
      <c r="T1068" s="173"/>
      <c r="U1068" s="173">
        <v>45534</v>
      </c>
      <c r="V1068" s="173">
        <v>45534</v>
      </c>
      <c r="W1068" s="3">
        <f>VLOOKUP(Table1[[#This Row],[Status]],Auxiliar!$B$16:$D$23,3,0)*Table1[[#This Row],[Estimação (horas)]]</f>
        <v>0.5</v>
      </c>
      <c r="X1068" s="3"/>
    </row>
    <row r="1069" spans="2:24" ht="17.399999999999999" hidden="1" customHeight="1">
      <c r="B1069" s="14" t="s">
        <v>28</v>
      </c>
      <c r="C1069" s="14" t="s">
        <v>178</v>
      </c>
      <c r="D1069" s="14" t="s">
        <v>1205</v>
      </c>
      <c r="E1069" s="3" t="s">
        <v>38</v>
      </c>
      <c r="F1069" s="14" t="s">
        <v>208</v>
      </c>
      <c r="G1069" s="14" t="s">
        <v>266</v>
      </c>
      <c r="H1069" s="66" t="str">
        <f>Table1[[#This Row],[Tabela]]&amp;Table1[[#This Row],[Campo]]</f>
        <v>modesg_inp_nfrd_alinhamento_taxce_trnvr_enblng_alignd</v>
      </c>
      <c r="I1069" s="3" t="s">
        <v>477</v>
      </c>
      <c r="J1069" s="48">
        <f>VLOOKUP(Table1[[#This Row],[Status]],Auxiliar!$B$16:$C$23,2,0)</f>
        <v>1</v>
      </c>
      <c r="K1069" s="22" t="s">
        <v>1141</v>
      </c>
      <c r="L1069" s="3" t="s">
        <v>502</v>
      </c>
      <c r="M1069" s="22" t="s">
        <v>1155</v>
      </c>
      <c r="N1069" s="53">
        <v>45540</v>
      </c>
      <c r="O1069" s="22">
        <f>INDEX(Auxiliar!$D$5:$F$13,MATCH(Table1[[#This Row],[Tipologia_Testes]],Auxiliar!$B$5:$B$13,0),MATCH(Table1[[#This Row],[Complexidade]],Auxiliar!$D$4:$F$4,0))</f>
        <v>0.1</v>
      </c>
      <c r="P1069" s="3" t="s">
        <v>1217</v>
      </c>
      <c r="Q1069" s="3"/>
      <c r="R1069" s="173">
        <v>45261</v>
      </c>
      <c r="S1069" s="173"/>
      <c r="T1069" s="173"/>
      <c r="U1069" s="173">
        <v>45534</v>
      </c>
      <c r="V1069" s="173">
        <v>45534</v>
      </c>
      <c r="W1069" s="3">
        <f>VLOOKUP(Table1[[#This Row],[Status]],Auxiliar!$B$16:$D$23,3,0)*Table1[[#This Row],[Estimação (horas)]]</f>
        <v>0.1</v>
      </c>
      <c r="X1069" s="3"/>
    </row>
    <row r="1070" spans="2:24" ht="17.399999999999999" hidden="1" customHeight="1">
      <c r="B1070" s="14" t="s">
        <v>28</v>
      </c>
      <c r="C1070" s="14" t="s">
        <v>178</v>
      </c>
      <c r="D1070" s="14" t="s">
        <v>1205</v>
      </c>
      <c r="E1070" s="3" t="s">
        <v>38</v>
      </c>
      <c r="F1070" s="14" t="s">
        <v>208</v>
      </c>
      <c r="G1070" s="14" t="s">
        <v>266</v>
      </c>
      <c r="H1070" s="66" t="str">
        <f>Table1[[#This Row],[Tabela]]&amp;Table1[[#This Row],[Campo]]</f>
        <v>modesg_inp_nfrd_alinhamento_taxce_trnvr_enblng_alignd</v>
      </c>
      <c r="I1070" s="3" t="s">
        <v>477</v>
      </c>
      <c r="J1070" s="48">
        <f>VLOOKUP(Table1[[#This Row],[Status]],Auxiliar!$B$16:$C$23,2,0)</f>
        <v>1</v>
      </c>
      <c r="K1070" s="22" t="s">
        <v>1164</v>
      </c>
      <c r="L1070" s="3" t="s">
        <v>502</v>
      </c>
      <c r="M1070" s="22" t="s">
        <v>1155</v>
      </c>
      <c r="N1070" s="53">
        <v>45540</v>
      </c>
      <c r="O1070" s="22">
        <f>INDEX(Auxiliar!$D$5:$F$13,MATCH(Table1[[#This Row],[Tipologia_Testes]],Auxiliar!$B$5:$B$13,0),MATCH(Table1[[#This Row],[Complexidade]],Auxiliar!$D$4:$F$4,0))</f>
        <v>0.5</v>
      </c>
      <c r="P1070" s="3"/>
      <c r="Q1070" s="3"/>
      <c r="R1070" s="173">
        <v>45261</v>
      </c>
      <c r="S1070" s="173"/>
      <c r="T1070" s="173"/>
      <c r="U1070" s="173">
        <v>45534</v>
      </c>
      <c r="V1070" s="173">
        <v>45534</v>
      </c>
      <c r="W1070" s="3">
        <f>VLOOKUP(Table1[[#This Row],[Status]],Auxiliar!$B$16:$D$23,3,0)*Table1[[#This Row],[Estimação (horas)]]</f>
        <v>0.5</v>
      </c>
      <c r="X1070" s="3"/>
    </row>
    <row r="1071" spans="2:24" ht="17.399999999999999" hidden="1" customHeight="1">
      <c r="B1071" s="14" t="s">
        <v>28</v>
      </c>
      <c r="C1071" s="14" t="s">
        <v>178</v>
      </c>
      <c r="D1071" s="14" t="s">
        <v>1205</v>
      </c>
      <c r="E1071" s="3" t="s">
        <v>38</v>
      </c>
      <c r="F1071" s="14" t="s">
        <v>208</v>
      </c>
      <c r="G1071" s="14" t="s">
        <v>267</v>
      </c>
      <c r="H1071" s="66" t="str">
        <f>Table1[[#This Row],[Tabela]]&amp;Table1[[#This Row],[Campo]]</f>
        <v>modesg_inp_nfrd_alinhamento_taxce_turnover_own_prfrmnce_algnd</v>
      </c>
      <c r="I1071" s="3" t="s">
        <v>477</v>
      </c>
      <c r="J1071" s="48">
        <f>VLOOKUP(Table1[[#This Row],[Status]],Auxiliar!$B$16:$C$23,2,0)</f>
        <v>1</v>
      </c>
      <c r="K1071" s="22" t="s">
        <v>1141</v>
      </c>
      <c r="L1071" s="3" t="s">
        <v>502</v>
      </c>
      <c r="M1071" s="22" t="s">
        <v>1155</v>
      </c>
      <c r="N1071" s="53">
        <v>45540</v>
      </c>
      <c r="O1071" s="22">
        <f>INDEX(Auxiliar!$D$5:$F$13,MATCH(Table1[[#This Row],[Tipologia_Testes]],Auxiliar!$B$5:$B$13,0),MATCH(Table1[[#This Row],[Complexidade]],Auxiliar!$D$4:$F$4,0))</f>
        <v>0.1</v>
      </c>
      <c r="P1071" s="3" t="s">
        <v>1217</v>
      </c>
      <c r="Q1071" s="3"/>
      <c r="R1071" s="173">
        <v>45261</v>
      </c>
      <c r="S1071" s="173"/>
      <c r="T1071" s="173"/>
      <c r="U1071" s="173">
        <v>45534</v>
      </c>
      <c r="V1071" s="173">
        <v>45534</v>
      </c>
      <c r="W1071" s="3">
        <f>VLOOKUP(Table1[[#This Row],[Status]],Auxiliar!$B$16:$D$23,3,0)*Table1[[#This Row],[Estimação (horas)]]</f>
        <v>0.1</v>
      </c>
      <c r="X1071" s="3"/>
    </row>
    <row r="1072" spans="2:24" ht="17.399999999999999" hidden="1" customHeight="1">
      <c r="B1072" s="14" t="s">
        <v>28</v>
      </c>
      <c r="C1072" s="14" t="s">
        <v>178</v>
      </c>
      <c r="D1072" s="14" t="s">
        <v>1205</v>
      </c>
      <c r="E1072" s="3" t="s">
        <v>38</v>
      </c>
      <c r="F1072" s="14" t="s">
        <v>208</v>
      </c>
      <c r="G1072" s="14" t="s">
        <v>267</v>
      </c>
      <c r="H1072" s="66" t="str">
        <f>Table1[[#This Row],[Tabela]]&amp;Table1[[#This Row],[Campo]]</f>
        <v>modesg_inp_nfrd_alinhamento_taxce_turnover_own_prfrmnce_algnd</v>
      </c>
      <c r="I1072" s="3" t="s">
        <v>477</v>
      </c>
      <c r="J1072" s="48">
        <f>VLOOKUP(Table1[[#This Row],[Status]],Auxiliar!$B$16:$C$23,2,0)</f>
        <v>1</v>
      </c>
      <c r="K1072" s="22" t="s">
        <v>1164</v>
      </c>
      <c r="L1072" s="3" t="s">
        <v>502</v>
      </c>
      <c r="M1072" s="22" t="s">
        <v>1155</v>
      </c>
      <c r="N1072" s="53">
        <v>45540</v>
      </c>
      <c r="O1072" s="22">
        <f>INDEX(Auxiliar!$D$5:$F$13,MATCH(Table1[[#This Row],[Tipologia_Testes]],Auxiliar!$B$5:$B$13,0),MATCH(Table1[[#This Row],[Complexidade]],Auxiliar!$D$4:$F$4,0))</f>
        <v>0.5</v>
      </c>
      <c r="P1072" s="3"/>
      <c r="Q1072" s="3"/>
      <c r="R1072" s="173">
        <v>45261</v>
      </c>
      <c r="S1072" s="173"/>
      <c r="T1072" s="173"/>
      <c r="U1072" s="173">
        <v>45534</v>
      </c>
      <c r="V1072" s="173">
        <v>45534</v>
      </c>
      <c r="W1072" s="3">
        <f>VLOOKUP(Table1[[#This Row],[Status]],Auxiliar!$B$16:$D$23,3,0)*Table1[[#This Row],[Estimação (horas)]]</f>
        <v>0.5</v>
      </c>
      <c r="X1072" s="3"/>
    </row>
    <row r="1073" spans="2:24" ht="17.399999999999999" hidden="1" customHeight="1">
      <c r="B1073" s="14" t="s">
        <v>28</v>
      </c>
      <c r="C1073" s="14" t="s">
        <v>178</v>
      </c>
      <c r="D1073" s="14" t="s">
        <v>1205</v>
      </c>
      <c r="E1073" s="3" t="s">
        <v>38</v>
      </c>
      <c r="F1073" s="14" t="s">
        <v>208</v>
      </c>
      <c r="G1073" s="14" t="s">
        <v>268</v>
      </c>
      <c r="H1073" s="66" t="str">
        <f>Table1[[#This Row],[Tabela]]&amp;Table1[[#This Row],[Campo]]</f>
        <v>modesg_inp_nfrd_alinhamento_taxce_capex_ttl_elgbl</v>
      </c>
      <c r="I1073" s="3" t="s">
        <v>477</v>
      </c>
      <c r="J1073" s="48">
        <f>VLOOKUP(Table1[[#This Row],[Status]],Auxiliar!$B$16:$C$23,2,0)</f>
        <v>1</v>
      </c>
      <c r="K1073" s="22" t="s">
        <v>1141</v>
      </c>
      <c r="L1073" s="3" t="s">
        <v>502</v>
      </c>
      <c r="M1073" s="22" t="s">
        <v>1155</v>
      </c>
      <c r="N1073" s="53">
        <v>45540</v>
      </c>
      <c r="O1073" s="22">
        <f>INDEX(Auxiliar!$D$5:$F$13,MATCH(Table1[[#This Row],[Tipologia_Testes]],Auxiliar!$B$5:$B$13,0),MATCH(Table1[[#This Row],[Complexidade]],Auxiliar!$D$4:$F$4,0))</f>
        <v>0.1</v>
      </c>
      <c r="P1073" s="3" t="s">
        <v>1217</v>
      </c>
      <c r="Q1073" s="3"/>
      <c r="R1073" s="173">
        <v>45261</v>
      </c>
      <c r="S1073" s="173"/>
      <c r="T1073" s="173"/>
      <c r="U1073" s="173">
        <v>45534</v>
      </c>
      <c r="V1073" s="173">
        <v>45534</v>
      </c>
      <c r="W1073" s="3">
        <f>VLOOKUP(Table1[[#This Row],[Status]],Auxiliar!$B$16:$D$23,3,0)*Table1[[#This Row],[Estimação (horas)]]</f>
        <v>0.1</v>
      </c>
      <c r="X1073" s="3"/>
    </row>
    <row r="1074" spans="2:24" ht="17.399999999999999" hidden="1" customHeight="1">
      <c r="B1074" s="14" t="s">
        <v>28</v>
      </c>
      <c r="C1074" s="14" t="s">
        <v>178</v>
      </c>
      <c r="D1074" s="14" t="s">
        <v>1205</v>
      </c>
      <c r="E1074" s="3" t="s">
        <v>38</v>
      </c>
      <c r="F1074" s="14" t="s">
        <v>208</v>
      </c>
      <c r="G1074" s="14" t="s">
        <v>268</v>
      </c>
      <c r="H1074" s="66" t="str">
        <f>Table1[[#This Row],[Tabela]]&amp;Table1[[#This Row],[Campo]]</f>
        <v>modesg_inp_nfrd_alinhamento_taxce_capex_ttl_elgbl</v>
      </c>
      <c r="I1074" s="3" t="s">
        <v>477</v>
      </c>
      <c r="J1074" s="48">
        <f>VLOOKUP(Table1[[#This Row],[Status]],Auxiliar!$B$16:$C$23,2,0)</f>
        <v>1</v>
      </c>
      <c r="K1074" s="22" t="s">
        <v>1164</v>
      </c>
      <c r="L1074" s="3" t="s">
        <v>502</v>
      </c>
      <c r="M1074" s="22" t="s">
        <v>1155</v>
      </c>
      <c r="N1074" s="53">
        <v>45540</v>
      </c>
      <c r="O1074" s="22">
        <f>INDEX(Auxiliar!$D$5:$F$13,MATCH(Table1[[#This Row],[Tipologia_Testes]],Auxiliar!$B$5:$B$13,0),MATCH(Table1[[#This Row],[Complexidade]],Auxiliar!$D$4:$F$4,0))</f>
        <v>0.5</v>
      </c>
      <c r="P1074" s="3"/>
      <c r="Q1074" s="3"/>
      <c r="R1074" s="173">
        <v>45261</v>
      </c>
      <c r="S1074" s="173"/>
      <c r="T1074" s="173"/>
      <c r="U1074" s="173">
        <v>45534</v>
      </c>
      <c r="V1074" s="173">
        <v>45534</v>
      </c>
      <c r="W1074" s="3">
        <f>VLOOKUP(Table1[[#This Row],[Status]],Auxiliar!$B$16:$D$23,3,0)*Table1[[#This Row],[Estimação (horas)]]</f>
        <v>0.5</v>
      </c>
      <c r="X1074" s="3"/>
    </row>
    <row r="1075" spans="2:24" ht="17.399999999999999" hidden="1" customHeight="1">
      <c r="B1075" s="14" t="s">
        <v>28</v>
      </c>
      <c r="C1075" s="14" t="s">
        <v>178</v>
      </c>
      <c r="D1075" s="14" t="s">
        <v>1205</v>
      </c>
      <c r="E1075" s="3" t="s">
        <v>38</v>
      </c>
      <c r="F1075" s="14" t="s">
        <v>208</v>
      </c>
      <c r="G1075" s="14" t="s">
        <v>269</v>
      </c>
      <c r="H1075" s="66" t="str">
        <f>Table1[[#This Row],[Tabela]]&amp;Table1[[#This Row],[Campo]]</f>
        <v>modesg_inp_nfrd_alinhamento_taxce_capex_enblng_algnd</v>
      </c>
      <c r="I1075" s="3" t="s">
        <v>477</v>
      </c>
      <c r="J1075" s="48">
        <f>VLOOKUP(Table1[[#This Row],[Status]],Auxiliar!$B$16:$C$23,2,0)</f>
        <v>1</v>
      </c>
      <c r="K1075" s="22" t="s">
        <v>1141</v>
      </c>
      <c r="L1075" s="3" t="s">
        <v>502</v>
      </c>
      <c r="M1075" s="22" t="s">
        <v>1155</v>
      </c>
      <c r="N1075" s="53">
        <v>45540</v>
      </c>
      <c r="O1075" s="22">
        <f>INDEX(Auxiliar!$D$5:$F$13,MATCH(Table1[[#This Row],[Tipologia_Testes]],Auxiliar!$B$5:$B$13,0),MATCH(Table1[[#This Row],[Complexidade]],Auxiliar!$D$4:$F$4,0))</f>
        <v>0.1</v>
      </c>
      <c r="P1075" s="3" t="s">
        <v>1217</v>
      </c>
      <c r="Q1075" s="3"/>
      <c r="R1075" s="173">
        <v>45261</v>
      </c>
      <c r="S1075" s="173"/>
      <c r="T1075" s="173"/>
      <c r="U1075" s="173">
        <v>45534</v>
      </c>
      <c r="V1075" s="173">
        <v>45534</v>
      </c>
      <c r="W1075" s="3">
        <f>VLOOKUP(Table1[[#This Row],[Status]],Auxiliar!$B$16:$D$23,3,0)*Table1[[#This Row],[Estimação (horas)]]</f>
        <v>0.1</v>
      </c>
      <c r="X1075" s="3"/>
    </row>
    <row r="1076" spans="2:24" ht="17.399999999999999" hidden="1" customHeight="1">
      <c r="B1076" s="14" t="s">
        <v>28</v>
      </c>
      <c r="C1076" s="14" t="s">
        <v>178</v>
      </c>
      <c r="D1076" s="14" t="s">
        <v>1205</v>
      </c>
      <c r="E1076" s="3" t="s">
        <v>38</v>
      </c>
      <c r="F1076" s="14" t="s">
        <v>208</v>
      </c>
      <c r="G1076" s="14" t="s">
        <v>269</v>
      </c>
      <c r="H1076" s="66" t="str">
        <f>Table1[[#This Row],[Tabela]]&amp;Table1[[#This Row],[Campo]]</f>
        <v>modesg_inp_nfrd_alinhamento_taxce_capex_enblng_algnd</v>
      </c>
      <c r="I1076" s="3" t="s">
        <v>477</v>
      </c>
      <c r="J1076" s="48">
        <f>VLOOKUP(Table1[[#This Row],[Status]],Auxiliar!$B$16:$C$23,2,0)</f>
        <v>1</v>
      </c>
      <c r="K1076" s="22" t="s">
        <v>1164</v>
      </c>
      <c r="L1076" s="3" t="s">
        <v>502</v>
      </c>
      <c r="M1076" s="22" t="s">
        <v>1155</v>
      </c>
      <c r="N1076" s="53">
        <v>45540</v>
      </c>
      <c r="O1076" s="22">
        <f>INDEX(Auxiliar!$D$5:$F$13,MATCH(Table1[[#This Row],[Tipologia_Testes]],Auxiliar!$B$5:$B$13,0),MATCH(Table1[[#This Row],[Complexidade]],Auxiliar!$D$4:$F$4,0))</f>
        <v>0.5</v>
      </c>
      <c r="P1076" s="3"/>
      <c r="Q1076" s="3"/>
      <c r="R1076" s="173">
        <v>45261</v>
      </c>
      <c r="S1076" s="173"/>
      <c r="T1076" s="173"/>
      <c r="U1076" s="173">
        <v>45534</v>
      </c>
      <c r="V1076" s="173">
        <v>45534</v>
      </c>
      <c r="W1076" s="3">
        <f>VLOOKUP(Table1[[#This Row],[Status]],Auxiliar!$B$16:$D$23,3,0)*Table1[[#This Row],[Estimação (horas)]]</f>
        <v>0.5</v>
      </c>
      <c r="X1076" s="3"/>
    </row>
    <row r="1077" spans="2:24" ht="17.399999999999999" hidden="1" customHeight="1">
      <c r="B1077" s="14" t="s">
        <v>28</v>
      </c>
      <c r="C1077" s="14" t="s">
        <v>178</v>
      </c>
      <c r="D1077" s="14" t="s">
        <v>1205</v>
      </c>
      <c r="E1077" s="3" t="s">
        <v>38</v>
      </c>
      <c r="F1077" s="14" t="s">
        <v>208</v>
      </c>
      <c r="G1077" s="14" t="s">
        <v>270</v>
      </c>
      <c r="H1077" s="66" t="str">
        <f>Table1[[#This Row],[Tabela]]&amp;Table1[[#This Row],[Campo]]</f>
        <v>modesg_inp_nfrd_alinhamento_taxce_capex_own_prfrmnce_algnd</v>
      </c>
      <c r="I1077" s="3" t="s">
        <v>477</v>
      </c>
      <c r="J1077" s="48">
        <f>VLOOKUP(Table1[[#This Row],[Status]],Auxiliar!$B$16:$C$23,2,0)</f>
        <v>1</v>
      </c>
      <c r="K1077" s="22" t="s">
        <v>1141</v>
      </c>
      <c r="L1077" s="3" t="s">
        <v>502</v>
      </c>
      <c r="M1077" s="22" t="s">
        <v>1155</v>
      </c>
      <c r="N1077" s="53">
        <v>45540</v>
      </c>
      <c r="O1077" s="22">
        <f>INDEX(Auxiliar!$D$5:$F$13,MATCH(Table1[[#This Row],[Tipologia_Testes]],Auxiliar!$B$5:$B$13,0),MATCH(Table1[[#This Row],[Complexidade]],Auxiliar!$D$4:$F$4,0))</f>
        <v>0.1</v>
      </c>
      <c r="P1077" s="3" t="s">
        <v>1217</v>
      </c>
      <c r="Q1077" s="3"/>
      <c r="R1077" s="173">
        <v>45261</v>
      </c>
      <c r="S1077" s="173"/>
      <c r="T1077" s="173"/>
      <c r="U1077" s="173">
        <v>45534</v>
      </c>
      <c r="V1077" s="173">
        <v>45534</v>
      </c>
      <c r="W1077" s="3">
        <f>VLOOKUP(Table1[[#This Row],[Status]],Auxiliar!$B$16:$D$23,3,0)*Table1[[#This Row],[Estimação (horas)]]</f>
        <v>0.1</v>
      </c>
      <c r="X1077" s="3"/>
    </row>
    <row r="1078" spans="2:24" ht="17.399999999999999" hidden="1" customHeight="1">
      <c r="B1078" s="14" t="s">
        <v>28</v>
      </c>
      <c r="C1078" s="14" t="s">
        <v>178</v>
      </c>
      <c r="D1078" s="14" t="s">
        <v>1205</v>
      </c>
      <c r="E1078" s="3" t="s">
        <v>38</v>
      </c>
      <c r="F1078" s="14" t="s">
        <v>208</v>
      </c>
      <c r="G1078" s="14" t="s">
        <v>270</v>
      </c>
      <c r="H1078" s="66" t="str">
        <f>Table1[[#This Row],[Tabela]]&amp;Table1[[#This Row],[Campo]]</f>
        <v>modesg_inp_nfrd_alinhamento_taxce_capex_own_prfrmnce_algnd</v>
      </c>
      <c r="I1078" s="3" t="s">
        <v>477</v>
      </c>
      <c r="J1078" s="48">
        <f>VLOOKUP(Table1[[#This Row],[Status]],Auxiliar!$B$16:$C$23,2,0)</f>
        <v>1</v>
      </c>
      <c r="K1078" s="22" t="s">
        <v>1164</v>
      </c>
      <c r="L1078" s="3" t="s">
        <v>502</v>
      </c>
      <c r="M1078" s="22" t="s">
        <v>1155</v>
      </c>
      <c r="N1078" s="53">
        <v>45540</v>
      </c>
      <c r="O1078" s="22">
        <f>INDEX(Auxiliar!$D$5:$F$13,MATCH(Table1[[#This Row],[Tipologia_Testes]],Auxiliar!$B$5:$B$13,0),MATCH(Table1[[#This Row],[Complexidade]],Auxiliar!$D$4:$F$4,0))</f>
        <v>0.5</v>
      </c>
      <c r="P1078" s="3"/>
      <c r="Q1078" s="3"/>
      <c r="R1078" s="173">
        <v>45261</v>
      </c>
      <c r="S1078" s="173"/>
      <c r="T1078" s="173"/>
      <c r="U1078" s="173">
        <v>45534</v>
      </c>
      <c r="V1078" s="173">
        <v>45534</v>
      </c>
      <c r="W1078" s="3">
        <f>VLOOKUP(Table1[[#This Row],[Status]],Auxiliar!$B$16:$D$23,3,0)*Table1[[#This Row],[Estimação (horas)]]</f>
        <v>0.5</v>
      </c>
      <c r="X1078" s="3"/>
    </row>
    <row r="1079" spans="2:24" ht="17.399999999999999" hidden="1" customHeight="1">
      <c r="B1079" s="14" t="s">
        <v>28</v>
      </c>
      <c r="C1079" s="14" t="s">
        <v>178</v>
      </c>
      <c r="D1079" s="14" t="s">
        <v>1206</v>
      </c>
      <c r="E1079" s="3" t="s">
        <v>38</v>
      </c>
      <c r="F1079" s="14" t="s">
        <v>209</v>
      </c>
      <c r="G1079" s="14" t="s">
        <v>73</v>
      </c>
      <c r="H1079" s="66" t="str">
        <f>Table1[[#This Row],[Tabela]]&amp;Table1[[#This Row],[Campo]]</f>
        <v>modesg_inp_risco_fisicoref_date</v>
      </c>
      <c r="I1079" s="4" t="s">
        <v>477</v>
      </c>
      <c r="J1079" s="59">
        <f>VLOOKUP(Table1[[#This Row],[Status]],Auxiliar!$B$16:$C$23,2,0)</f>
        <v>1</v>
      </c>
      <c r="K1079" s="22" t="s">
        <v>1164</v>
      </c>
      <c r="L1079" s="3" t="s">
        <v>502</v>
      </c>
      <c r="M1079" s="22" t="s">
        <v>1155</v>
      </c>
      <c r="N1079" s="53">
        <v>45485</v>
      </c>
      <c r="O1079" s="22">
        <f>INDEX(Auxiliar!$D$5:$F$13,MATCH(Table1[[#This Row],[Tipologia_Testes]],Auxiliar!$B$5:$B$13,0),MATCH(Table1[[#This Row],[Complexidade]],Auxiliar!$D$4:$F$4,0))</f>
        <v>0.5</v>
      </c>
      <c r="P1079" s="3"/>
      <c r="Q1079" s="3"/>
      <c r="R1079" s="173">
        <v>45261</v>
      </c>
      <c r="S1079" s="173"/>
      <c r="T1079" s="173"/>
      <c r="U1079" s="173"/>
      <c r="V1079" s="173"/>
      <c r="W1079" s="3">
        <f>VLOOKUP(Table1[[#This Row],[Status]],Auxiliar!$B$16:$D$23,3,0)*Table1[[#This Row],[Estimação (horas)]]</f>
        <v>0.5</v>
      </c>
      <c r="X1079" s="3" t="s">
        <v>1212</v>
      </c>
    </row>
    <row r="1080" spans="2:24" ht="17.399999999999999" hidden="1" customHeight="1">
      <c r="B1080" s="14" t="s">
        <v>28</v>
      </c>
      <c r="C1080" s="14" t="s">
        <v>178</v>
      </c>
      <c r="D1080" s="14" t="s">
        <v>1206</v>
      </c>
      <c r="E1080" s="3" t="s">
        <v>38</v>
      </c>
      <c r="F1080" s="14" t="s">
        <v>209</v>
      </c>
      <c r="G1080" s="14" t="s">
        <v>103</v>
      </c>
      <c r="H1080" s="66" t="str">
        <f>Table1[[#This Row],[Tabela]]&amp;Table1[[#This Row],[Campo]]</f>
        <v>modesg_inp_risco_fisicocod_pais</v>
      </c>
      <c r="I1080" s="4" t="s">
        <v>477</v>
      </c>
      <c r="J1080" s="59">
        <f>VLOOKUP(Table1[[#This Row],[Status]],Auxiliar!$B$16:$C$23,2,0)</f>
        <v>1</v>
      </c>
      <c r="K1080" s="22" t="s">
        <v>1141</v>
      </c>
      <c r="L1080" s="3" t="s">
        <v>1144</v>
      </c>
      <c r="M1080" s="22" t="s">
        <v>1155</v>
      </c>
      <c r="N1080" s="53">
        <v>45485</v>
      </c>
      <c r="O1080" s="22">
        <f>INDEX(Auxiliar!$D$5:$F$13,MATCH(Table1[[#This Row],[Tipologia_Testes]],Auxiliar!$B$5:$B$13,0),MATCH(Table1[[#This Row],[Complexidade]],Auxiliar!$D$4:$F$4,0))</f>
        <v>0.1</v>
      </c>
      <c r="P1080" s="3" t="s">
        <v>1218</v>
      </c>
      <c r="Q1080" s="3"/>
      <c r="R1080" s="173">
        <v>45261</v>
      </c>
      <c r="S1080" s="173"/>
      <c r="T1080" s="173"/>
      <c r="U1080" s="173"/>
      <c r="V1080" s="173"/>
      <c r="W1080" s="3">
        <f>VLOOKUP(Table1[[#This Row],[Status]],Auxiliar!$B$16:$D$23,3,0)*Table1[[#This Row],[Estimação (horas)]]</f>
        <v>0.1</v>
      </c>
      <c r="X1080" s="3" t="s">
        <v>1212</v>
      </c>
    </row>
    <row r="1081" spans="2:24" ht="17.399999999999999" hidden="1" customHeight="1">
      <c r="B1081" s="14" t="s">
        <v>28</v>
      </c>
      <c r="C1081" s="14" t="s">
        <v>178</v>
      </c>
      <c r="D1081" s="14" t="s">
        <v>1206</v>
      </c>
      <c r="E1081" s="3" t="s">
        <v>38</v>
      </c>
      <c r="F1081" s="14" t="s">
        <v>209</v>
      </c>
      <c r="G1081" s="14" t="s">
        <v>103</v>
      </c>
      <c r="H1081" s="66" t="str">
        <f>Table1[[#This Row],[Tabela]]&amp;Table1[[#This Row],[Campo]]</f>
        <v>modesg_inp_risco_fisicocod_pais</v>
      </c>
      <c r="I1081" s="4" t="s">
        <v>477</v>
      </c>
      <c r="J1081" s="59">
        <f>VLOOKUP(Table1[[#This Row],[Status]],Auxiliar!$B$16:$C$23,2,0)</f>
        <v>1</v>
      </c>
      <c r="K1081" s="22" t="s">
        <v>1164</v>
      </c>
      <c r="L1081" s="3" t="s">
        <v>1144</v>
      </c>
      <c r="M1081" s="22" t="s">
        <v>1155</v>
      </c>
      <c r="N1081" s="53">
        <v>45485</v>
      </c>
      <c r="O1081" s="22">
        <f>INDEX(Auxiliar!$D$5:$F$13,MATCH(Table1[[#This Row],[Tipologia_Testes]],Auxiliar!$B$5:$B$13,0),MATCH(Table1[[#This Row],[Complexidade]],Auxiliar!$D$4:$F$4,0))</f>
        <v>0.5</v>
      </c>
      <c r="P1081" s="3"/>
      <c r="Q1081" s="3"/>
      <c r="R1081" s="173">
        <v>45261</v>
      </c>
      <c r="S1081" s="173"/>
      <c r="T1081" s="173"/>
      <c r="U1081" s="173"/>
      <c r="V1081" s="173"/>
      <c r="W1081" s="3">
        <f>VLOOKUP(Table1[[#This Row],[Status]],Auxiliar!$B$16:$D$23,3,0)*Table1[[#This Row],[Estimação (horas)]]</f>
        <v>0.5</v>
      </c>
      <c r="X1081" s="3" t="s">
        <v>1212</v>
      </c>
    </row>
    <row r="1082" spans="2:24" ht="17.399999999999999" hidden="1" customHeight="1">
      <c r="B1082" s="14" t="s">
        <v>28</v>
      </c>
      <c r="C1082" s="14" t="s">
        <v>178</v>
      </c>
      <c r="D1082" s="14" t="s">
        <v>1206</v>
      </c>
      <c r="E1082" s="3" t="s">
        <v>38</v>
      </c>
      <c r="F1082" s="14" t="s">
        <v>209</v>
      </c>
      <c r="G1082" s="14" t="s">
        <v>271</v>
      </c>
      <c r="H1082" s="66" t="str">
        <f>Table1[[#This Row],[Tabela]]&amp;Table1[[#This Row],[Campo]]</f>
        <v>modesg_inp_risco_fisicocod_nutiii</v>
      </c>
      <c r="I1082" s="4" t="s">
        <v>477</v>
      </c>
      <c r="J1082" s="59">
        <f>VLOOKUP(Table1[[#This Row],[Status]],Auxiliar!$B$16:$C$23,2,0)</f>
        <v>1</v>
      </c>
      <c r="K1082" s="22" t="s">
        <v>1164</v>
      </c>
      <c r="L1082" s="3" t="s">
        <v>1144</v>
      </c>
      <c r="M1082" s="22" t="s">
        <v>1155</v>
      </c>
      <c r="N1082" s="53">
        <v>45485</v>
      </c>
      <c r="O1082" s="22">
        <f>INDEX(Auxiliar!$D$5:$F$13,MATCH(Table1[[#This Row],[Tipologia_Testes]],Auxiliar!$B$5:$B$13,0),MATCH(Table1[[#This Row],[Complexidade]],Auxiliar!$D$4:$F$4,0))</f>
        <v>0.5</v>
      </c>
      <c r="P1082" s="3"/>
      <c r="Q1082" s="3"/>
      <c r="R1082" s="173">
        <v>45261</v>
      </c>
      <c r="S1082" s="173"/>
      <c r="T1082" s="173"/>
      <c r="U1082" s="173"/>
      <c r="V1082" s="173"/>
      <c r="W1082" s="3">
        <f>VLOOKUP(Table1[[#This Row],[Status]],Auxiliar!$B$16:$D$23,3,0)*Table1[[#This Row],[Estimação (horas)]]</f>
        <v>0.5</v>
      </c>
      <c r="X1082" s="3" t="s">
        <v>1212</v>
      </c>
    </row>
    <row r="1083" spans="2:24" ht="17.399999999999999" hidden="1" customHeight="1">
      <c r="B1083" s="14" t="s">
        <v>28</v>
      </c>
      <c r="C1083" s="14" t="s">
        <v>178</v>
      </c>
      <c r="D1083" s="14" t="s">
        <v>1206</v>
      </c>
      <c r="E1083" s="3" t="s">
        <v>38</v>
      </c>
      <c r="F1083" s="14" t="s">
        <v>209</v>
      </c>
      <c r="G1083" s="14" t="s">
        <v>272</v>
      </c>
      <c r="H1083" s="66" t="str">
        <f>Table1[[#This Row],[Tabela]]&amp;Table1[[#This Row],[Campo]]</f>
        <v>modesg_inp_risco_fisicocod_nace_esg</v>
      </c>
      <c r="I1083" s="4" t="s">
        <v>479</v>
      </c>
      <c r="J1083" s="59">
        <f>VLOOKUP(Table1[[#This Row],[Status]],Auxiliar!$B$16:$C$23,2,0)</f>
        <v>4</v>
      </c>
      <c r="K1083" s="22" t="s">
        <v>1141</v>
      </c>
      <c r="L1083" s="3" t="s">
        <v>1144</v>
      </c>
      <c r="M1083" s="22" t="s">
        <v>1155</v>
      </c>
      <c r="N1083" s="53">
        <v>45562</v>
      </c>
      <c r="O1083" s="22">
        <f>INDEX(Auxiliar!$D$5:$F$13,MATCH(Table1[[#This Row],[Tipologia_Testes]],Auxiliar!$B$5:$B$13,0),MATCH(Table1[[#This Row],[Complexidade]],Auxiliar!$D$4:$F$4,0))</f>
        <v>0.1</v>
      </c>
      <c r="P1083" s="3" t="s">
        <v>1218</v>
      </c>
      <c r="Q1083" s="3"/>
      <c r="R1083" s="173">
        <v>45261</v>
      </c>
      <c r="S1083" s="173"/>
      <c r="T1083" s="173"/>
      <c r="U1083" s="173"/>
      <c r="V1083" s="173"/>
      <c r="W1083" s="3">
        <f>VLOOKUP(Table1[[#This Row],[Status]],Auxiliar!$B$16:$D$23,3,0)*Table1[[#This Row],[Estimação (horas)]]</f>
        <v>2.5000000000000001E-2</v>
      </c>
      <c r="X1083" s="3" t="s">
        <v>1212</v>
      </c>
    </row>
    <row r="1084" spans="2:24" ht="17.399999999999999" hidden="1" customHeight="1">
      <c r="B1084" s="14" t="s">
        <v>28</v>
      </c>
      <c r="C1084" s="14" t="s">
        <v>178</v>
      </c>
      <c r="D1084" s="14" t="s">
        <v>1206</v>
      </c>
      <c r="E1084" s="3" t="s">
        <v>38</v>
      </c>
      <c r="F1084" s="14" t="s">
        <v>209</v>
      </c>
      <c r="G1084" s="14" t="s">
        <v>272</v>
      </c>
      <c r="H1084" s="66" t="str">
        <f>Table1[[#This Row],[Tabela]]&amp;Table1[[#This Row],[Campo]]</f>
        <v>modesg_inp_risco_fisicocod_nace_esg</v>
      </c>
      <c r="I1084" s="4" t="s">
        <v>479</v>
      </c>
      <c r="J1084" s="59">
        <f>VLOOKUP(Table1[[#This Row],[Status]],Auxiliar!$B$16:$C$23,2,0)</f>
        <v>4</v>
      </c>
      <c r="K1084" s="22" t="s">
        <v>1164</v>
      </c>
      <c r="L1084" s="3" t="s">
        <v>1144</v>
      </c>
      <c r="M1084" s="22" t="s">
        <v>1155</v>
      </c>
      <c r="N1084" s="53">
        <v>45562</v>
      </c>
      <c r="O1084" s="22">
        <f>INDEX(Auxiliar!$D$5:$F$13,MATCH(Table1[[#This Row],[Tipologia_Testes]],Auxiliar!$B$5:$B$13,0),MATCH(Table1[[#This Row],[Complexidade]],Auxiliar!$D$4:$F$4,0))</f>
        <v>0.5</v>
      </c>
      <c r="P1084" s="3"/>
      <c r="Q1084" s="3"/>
      <c r="R1084" s="173">
        <v>45261</v>
      </c>
      <c r="S1084" s="173"/>
      <c r="T1084" s="173"/>
      <c r="U1084" s="173"/>
      <c r="V1084" s="173"/>
      <c r="W1084" s="3">
        <f>VLOOKUP(Table1[[#This Row],[Status]],Auxiliar!$B$16:$D$23,3,0)*Table1[[#This Row],[Estimação (horas)]]</f>
        <v>0.125</v>
      </c>
      <c r="X1084" s="3" t="s">
        <v>1212</v>
      </c>
    </row>
    <row r="1085" spans="2:24" ht="17.399999999999999" hidden="1" customHeight="1">
      <c r="B1085" s="14" t="s">
        <v>28</v>
      </c>
      <c r="C1085" s="14" t="s">
        <v>178</v>
      </c>
      <c r="D1085" s="14" t="s">
        <v>1206</v>
      </c>
      <c r="E1085" s="3" t="s">
        <v>38</v>
      </c>
      <c r="F1085" s="14" t="s">
        <v>209</v>
      </c>
      <c r="G1085" s="14" t="s">
        <v>273</v>
      </c>
      <c r="H1085" s="66" t="str">
        <f>Table1[[#This Row],[Tabela]]&amp;Table1[[#This Row],[Campo]]</f>
        <v>modesg_inp_risco_fisicoflg_rsc_fsc_agd</v>
      </c>
      <c r="I1085" s="4" t="s">
        <v>477</v>
      </c>
      <c r="J1085" s="59">
        <f>VLOOKUP(Table1[[#This Row],[Status]],Auxiliar!$B$16:$C$23,2,0)</f>
        <v>1</v>
      </c>
      <c r="K1085" s="22" t="s">
        <v>1141</v>
      </c>
      <c r="L1085" s="3" t="s">
        <v>1144</v>
      </c>
      <c r="M1085" s="22" t="s">
        <v>1155</v>
      </c>
      <c r="N1085" s="53">
        <v>45485</v>
      </c>
      <c r="O1085" s="22">
        <f>INDEX(Auxiliar!$D$5:$F$13,MATCH(Table1[[#This Row],[Tipologia_Testes]],Auxiliar!$B$5:$B$13,0),MATCH(Table1[[#This Row],[Complexidade]],Auxiliar!$D$4:$F$4,0))</f>
        <v>0.1</v>
      </c>
      <c r="P1085" s="3" t="s">
        <v>1219</v>
      </c>
      <c r="Q1085" s="3"/>
      <c r="R1085" s="173">
        <v>45261</v>
      </c>
      <c r="S1085" s="173"/>
      <c r="T1085" s="173"/>
      <c r="U1085" s="173"/>
      <c r="V1085" s="173"/>
      <c r="W1085" s="3">
        <f>VLOOKUP(Table1[[#This Row],[Status]],Auxiliar!$B$16:$D$23,3,0)*Table1[[#This Row],[Estimação (horas)]]</f>
        <v>0.1</v>
      </c>
      <c r="X1085" s="3" t="s">
        <v>1212</v>
      </c>
    </row>
    <row r="1086" spans="2:24" ht="17.399999999999999" hidden="1" customHeight="1">
      <c r="B1086" s="14" t="s">
        <v>28</v>
      </c>
      <c r="C1086" s="14" t="s">
        <v>178</v>
      </c>
      <c r="D1086" s="14" t="s">
        <v>1206</v>
      </c>
      <c r="E1086" s="3" t="s">
        <v>38</v>
      </c>
      <c r="F1086" s="14" t="s">
        <v>209</v>
      </c>
      <c r="G1086" s="14" t="s">
        <v>273</v>
      </c>
      <c r="H1086" s="66" t="str">
        <f>Table1[[#This Row],[Tabela]]&amp;Table1[[#This Row],[Campo]]</f>
        <v>modesg_inp_risco_fisicoflg_rsc_fsc_agd</v>
      </c>
      <c r="I1086" s="4" t="s">
        <v>477</v>
      </c>
      <c r="J1086" s="59">
        <f>VLOOKUP(Table1[[#This Row],[Status]],Auxiliar!$B$16:$C$23,2,0)</f>
        <v>1</v>
      </c>
      <c r="K1086" s="22" t="s">
        <v>1164</v>
      </c>
      <c r="L1086" s="3" t="s">
        <v>1144</v>
      </c>
      <c r="M1086" s="22" t="s">
        <v>1155</v>
      </c>
      <c r="N1086" s="53">
        <v>45485</v>
      </c>
      <c r="O1086" s="22">
        <f>INDEX(Auxiliar!$D$5:$F$13,MATCH(Table1[[#This Row],[Tipologia_Testes]],Auxiliar!$B$5:$B$13,0),MATCH(Table1[[#This Row],[Complexidade]],Auxiliar!$D$4:$F$4,0))</f>
        <v>0.5</v>
      </c>
      <c r="P1086" s="3"/>
      <c r="Q1086" s="3"/>
      <c r="R1086" s="173">
        <v>45261</v>
      </c>
      <c r="S1086" s="173"/>
      <c r="T1086" s="173"/>
      <c r="U1086" s="173"/>
      <c r="V1086" s="173"/>
      <c r="W1086" s="3">
        <f>VLOOKUP(Table1[[#This Row],[Status]],Auxiliar!$B$16:$D$23,3,0)*Table1[[#This Row],[Estimação (horas)]]</f>
        <v>0.5</v>
      </c>
      <c r="X1086" s="3" t="s">
        <v>1212</v>
      </c>
    </row>
    <row r="1087" spans="2:24" ht="17.399999999999999" hidden="1" customHeight="1">
      <c r="B1087" s="14" t="s">
        <v>28</v>
      </c>
      <c r="C1087" s="14" t="s">
        <v>178</v>
      </c>
      <c r="D1087" s="14" t="s">
        <v>1206</v>
      </c>
      <c r="E1087" s="3" t="s">
        <v>38</v>
      </c>
      <c r="F1087" s="14" t="s">
        <v>209</v>
      </c>
      <c r="G1087" s="14" t="s">
        <v>274</v>
      </c>
      <c r="H1087" s="66" t="str">
        <f>Table1[[#This Row],[Tabela]]&amp;Table1[[#This Row],[Campo]]</f>
        <v>modesg_inp_risco_fisicoflg_rsc_fsc_crnc</v>
      </c>
      <c r="I1087" s="4" t="s">
        <v>477</v>
      </c>
      <c r="J1087" s="59">
        <f>VLOOKUP(Table1[[#This Row],[Status]],Auxiliar!$B$16:$C$23,2,0)</f>
        <v>1</v>
      </c>
      <c r="K1087" s="22" t="s">
        <v>1141</v>
      </c>
      <c r="L1087" s="3" t="s">
        <v>1144</v>
      </c>
      <c r="M1087" s="22" t="s">
        <v>1155</v>
      </c>
      <c r="N1087" s="53">
        <v>45485</v>
      </c>
      <c r="O1087" s="22">
        <f>INDEX(Auxiliar!$D$5:$F$13,MATCH(Table1[[#This Row],[Tipologia_Testes]],Auxiliar!$B$5:$B$13,0),MATCH(Table1[[#This Row],[Complexidade]],Auxiliar!$D$4:$F$4,0))</f>
        <v>0.1</v>
      </c>
      <c r="P1087" s="3" t="s">
        <v>1219</v>
      </c>
      <c r="Q1087" s="3"/>
      <c r="R1087" s="173">
        <v>45261</v>
      </c>
      <c r="S1087" s="173"/>
      <c r="T1087" s="173"/>
      <c r="U1087" s="173"/>
      <c r="V1087" s="173"/>
      <c r="W1087" s="3">
        <f>VLOOKUP(Table1[[#This Row],[Status]],Auxiliar!$B$16:$D$23,3,0)*Table1[[#This Row],[Estimação (horas)]]</f>
        <v>0.1</v>
      </c>
      <c r="X1087" s="3" t="s">
        <v>1212</v>
      </c>
    </row>
    <row r="1088" spans="2:24" ht="17.399999999999999" hidden="1" customHeight="1">
      <c r="B1088" s="14" t="s">
        <v>28</v>
      </c>
      <c r="C1088" s="14" t="s">
        <v>178</v>
      </c>
      <c r="D1088" s="14" t="s">
        <v>1206</v>
      </c>
      <c r="E1088" s="3" t="s">
        <v>38</v>
      </c>
      <c r="F1088" s="14" t="s">
        <v>209</v>
      </c>
      <c r="G1088" s="14" t="s">
        <v>274</v>
      </c>
      <c r="H1088" s="66" t="str">
        <f>Table1[[#This Row],[Tabela]]&amp;Table1[[#This Row],[Campo]]</f>
        <v>modesg_inp_risco_fisicoflg_rsc_fsc_crnc</v>
      </c>
      <c r="I1088" s="4" t="s">
        <v>477</v>
      </c>
      <c r="J1088" s="59">
        <f>VLOOKUP(Table1[[#This Row],[Status]],Auxiliar!$B$16:$C$23,2,0)</f>
        <v>1</v>
      </c>
      <c r="K1088" s="22" t="s">
        <v>1164</v>
      </c>
      <c r="L1088" s="3" t="s">
        <v>1144</v>
      </c>
      <c r="M1088" s="22" t="s">
        <v>1155</v>
      </c>
      <c r="N1088" s="53">
        <v>45485</v>
      </c>
      <c r="O1088" s="22">
        <f>INDEX(Auxiliar!$D$5:$F$13,MATCH(Table1[[#This Row],[Tipologia_Testes]],Auxiliar!$B$5:$B$13,0),MATCH(Table1[[#This Row],[Complexidade]],Auxiliar!$D$4:$F$4,0))</f>
        <v>0.5</v>
      </c>
      <c r="P1088" s="3"/>
      <c r="Q1088" s="3"/>
      <c r="R1088" s="173">
        <v>45261</v>
      </c>
      <c r="S1088" s="173"/>
      <c r="T1088" s="173"/>
      <c r="U1088" s="173"/>
      <c r="V1088" s="173"/>
      <c r="W1088" s="3">
        <f>VLOOKUP(Table1[[#This Row],[Status]],Auxiliar!$B$16:$D$23,3,0)*Table1[[#This Row],[Estimação (horas)]]</f>
        <v>0.5</v>
      </c>
      <c r="X1088" s="3" t="s">
        <v>1212</v>
      </c>
    </row>
    <row r="1089" spans="2:24" ht="17.399999999999999" hidden="1" customHeight="1">
      <c r="B1089" s="14" t="s">
        <v>28</v>
      </c>
      <c r="C1089" s="14" t="s">
        <v>178</v>
      </c>
      <c r="D1089" s="14" t="s">
        <v>1198</v>
      </c>
      <c r="E1089" s="3" t="s">
        <v>38</v>
      </c>
      <c r="F1089" s="14" t="s">
        <v>210</v>
      </c>
      <c r="G1089" s="14" t="s">
        <v>73</v>
      </c>
      <c r="H1089" s="66" t="str">
        <f>Table1[[#This Row],[Tabela]]&amp;Table1[[#This Row],[Campo]]</f>
        <v>modesg_inp_emss_scibref_date</v>
      </c>
      <c r="I1089" s="3" t="s">
        <v>477</v>
      </c>
      <c r="J1089" s="48">
        <f>VLOOKUP(Table1[[#This Row],[Status]],Auxiliar!$B$16:$C$23,2,0)</f>
        <v>1</v>
      </c>
      <c r="K1089" s="22" t="s">
        <v>1164</v>
      </c>
      <c r="L1089" s="3" t="s">
        <v>1144</v>
      </c>
      <c r="M1089" s="22" t="s">
        <v>1155</v>
      </c>
      <c r="N1089" s="53">
        <v>45490</v>
      </c>
      <c r="O1089" s="22">
        <f>INDEX(Auxiliar!$D$5:$F$13,MATCH(Table1[[#This Row],[Tipologia_Testes]],Auxiliar!$B$5:$B$13,0),MATCH(Table1[[#This Row],[Complexidade]],Auxiliar!$D$4:$F$4,0))</f>
        <v>0.5</v>
      </c>
      <c r="P1089" s="3"/>
      <c r="Q1089" s="3" t="s">
        <v>1201</v>
      </c>
      <c r="R1089" s="173">
        <v>45261</v>
      </c>
      <c r="S1089" s="173"/>
      <c r="T1089" s="173"/>
      <c r="U1089" s="173"/>
      <c r="V1089" s="173"/>
      <c r="W1089" s="3">
        <f>VLOOKUP(Table1[[#This Row],[Status]],Auxiliar!$B$16:$D$23,3,0)*Table1[[#This Row],[Estimação (horas)]]</f>
        <v>0.5</v>
      </c>
      <c r="X1089" s="3"/>
    </row>
    <row r="1090" spans="2:24" ht="17.399999999999999" hidden="1" customHeight="1">
      <c r="B1090" s="14" t="s">
        <v>28</v>
      </c>
      <c r="C1090" s="14" t="s">
        <v>178</v>
      </c>
      <c r="D1090" s="14" t="s">
        <v>1198</v>
      </c>
      <c r="E1090" s="3" t="s">
        <v>38</v>
      </c>
      <c r="F1090" s="14" t="s">
        <v>210</v>
      </c>
      <c r="G1090" s="14" t="s">
        <v>232</v>
      </c>
      <c r="H1090" s="66" t="str">
        <f>Table1[[#This Row],[Tabela]]&amp;Table1[[#This Row],[Campo]]</f>
        <v>modesg_inp_emss_scibccli_kgl</v>
      </c>
      <c r="I1090" s="3" t="s">
        <v>477</v>
      </c>
      <c r="J1090" s="48">
        <f>VLOOKUP(Table1[[#This Row],[Status]],Auxiliar!$B$16:$C$23,2,0)</f>
        <v>1</v>
      </c>
      <c r="K1090" s="22" t="s">
        <v>1141</v>
      </c>
      <c r="L1090" s="3" t="s">
        <v>1144</v>
      </c>
      <c r="M1090" s="22" t="s">
        <v>1155</v>
      </c>
      <c r="N1090" s="53">
        <v>45490</v>
      </c>
      <c r="O1090" s="22">
        <f>INDEX(Auxiliar!$D$5:$F$13,MATCH(Table1[[#This Row],[Tipologia_Testes]],Auxiliar!$B$5:$B$13,0),MATCH(Table1[[#This Row],[Complexidade]],Auxiliar!$D$4:$F$4,0))</f>
        <v>0.1</v>
      </c>
      <c r="P1090" s="3" t="s">
        <v>1213</v>
      </c>
      <c r="Q1090" s="3" t="s">
        <v>1201</v>
      </c>
      <c r="R1090" s="173">
        <v>45261</v>
      </c>
      <c r="S1090" s="173"/>
      <c r="T1090" s="173"/>
      <c r="U1090" s="173"/>
      <c r="V1090" s="173"/>
      <c r="W1090" s="3">
        <f>VLOOKUP(Table1[[#This Row],[Status]],Auxiliar!$B$16:$D$23,3,0)*Table1[[#This Row],[Estimação (horas)]]</f>
        <v>0.1</v>
      </c>
      <c r="X1090" s="3"/>
    </row>
    <row r="1091" spans="2:24" ht="17.399999999999999" hidden="1" customHeight="1">
      <c r="B1091" s="14" t="s">
        <v>28</v>
      </c>
      <c r="C1091" s="14" t="s">
        <v>178</v>
      </c>
      <c r="D1091" s="14" t="s">
        <v>1198</v>
      </c>
      <c r="E1091" s="3" t="s">
        <v>38</v>
      </c>
      <c r="F1091" s="14" t="s">
        <v>210</v>
      </c>
      <c r="G1091" s="14" t="s">
        <v>232</v>
      </c>
      <c r="H1091" s="66" t="str">
        <f>Table1[[#This Row],[Tabela]]&amp;Table1[[#This Row],[Campo]]</f>
        <v>modesg_inp_emss_scibccli_kgl</v>
      </c>
      <c r="I1091" s="3" t="s">
        <v>477</v>
      </c>
      <c r="J1091" s="48">
        <f>VLOOKUP(Table1[[#This Row],[Status]],Auxiliar!$B$16:$C$23,2,0)</f>
        <v>1</v>
      </c>
      <c r="K1091" s="22" t="s">
        <v>1164</v>
      </c>
      <c r="L1091" s="3" t="s">
        <v>1144</v>
      </c>
      <c r="M1091" s="22" t="s">
        <v>1155</v>
      </c>
      <c r="N1091" s="53">
        <v>45490</v>
      </c>
      <c r="O1091" s="22">
        <f>INDEX(Auxiliar!$D$5:$F$13,MATCH(Table1[[#This Row],[Tipologia_Testes]],Auxiliar!$B$5:$B$13,0),MATCH(Table1[[#This Row],[Complexidade]],Auxiliar!$D$4:$F$4,0))</f>
        <v>0.5</v>
      </c>
      <c r="P1091" s="3"/>
      <c r="Q1091" s="3" t="s">
        <v>1201</v>
      </c>
      <c r="R1091" s="173">
        <v>45261</v>
      </c>
      <c r="S1091" s="173"/>
      <c r="T1091" s="173"/>
      <c r="U1091" s="173"/>
      <c r="V1091" s="173"/>
      <c r="W1091" s="3">
        <f>VLOOKUP(Table1[[#This Row],[Status]],Auxiliar!$B$16:$D$23,3,0)*Table1[[#This Row],[Estimação (horas)]]</f>
        <v>0.5</v>
      </c>
      <c r="X1091" s="3"/>
    </row>
    <row r="1092" spans="2:24" ht="17.399999999999999" hidden="1" customHeight="1">
      <c r="B1092" s="14" t="s">
        <v>28</v>
      </c>
      <c r="C1092" s="14" t="s">
        <v>178</v>
      </c>
      <c r="D1092" s="14" t="s">
        <v>1198</v>
      </c>
      <c r="E1092" s="3" t="s">
        <v>38</v>
      </c>
      <c r="F1092" s="14" t="s">
        <v>210</v>
      </c>
      <c r="G1092" s="14" t="s">
        <v>275</v>
      </c>
      <c r="H1092" s="66" t="str">
        <f>Table1[[#This Row],[Tabela]]&amp;Table1[[#This Row],[Campo]]</f>
        <v>modesg_inp_emss_scibnome_grupo</v>
      </c>
      <c r="I1092" s="3" t="s">
        <v>477</v>
      </c>
      <c r="J1092" s="48">
        <f>VLOOKUP(Table1[[#This Row],[Status]],Auxiliar!$B$16:$C$23,2,0)</f>
        <v>1</v>
      </c>
      <c r="K1092" s="22" t="s">
        <v>1164</v>
      </c>
      <c r="L1092" s="3" t="s">
        <v>1144</v>
      </c>
      <c r="M1092" s="22" t="s">
        <v>1155</v>
      </c>
      <c r="N1092" s="53">
        <v>45490</v>
      </c>
      <c r="O1092" s="22">
        <f>INDEX(Auxiliar!$D$5:$F$13,MATCH(Table1[[#This Row],[Tipologia_Testes]],Auxiliar!$B$5:$B$13,0),MATCH(Table1[[#This Row],[Complexidade]],Auxiliar!$D$4:$F$4,0))</f>
        <v>0.5</v>
      </c>
      <c r="P1092" s="3"/>
      <c r="Q1092" s="3" t="s">
        <v>1201</v>
      </c>
      <c r="R1092" s="173">
        <v>45261</v>
      </c>
      <c r="S1092" s="173"/>
      <c r="T1092" s="173"/>
      <c r="U1092" s="173"/>
      <c r="V1092" s="173"/>
      <c r="W1092" s="3">
        <f>VLOOKUP(Table1[[#This Row],[Status]],Auxiliar!$B$16:$D$23,3,0)*Table1[[#This Row],[Estimação (horas)]]</f>
        <v>0.5</v>
      </c>
      <c r="X1092" s="3"/>
    </row>
    <row r="1093" spans="2:24" ht="17.399999999999999" hidden="1" customHeight="1">
      <c r="B1093" s="14" t="s">
        <v>28</v>
      </c>
      <c r="C1093" s="14" t="s">
        <v>178</v>
      </c>
      <c r="D1093" s="14" t="s">
        <v>1198</v>
      </c>
      <c r="E1093" s="3" t="s">
        <v>38</v>
      </c>
      <c r="F1093" s="14" t="s">
        <v>210</v>
      </c>
      <c r="G1093" s="14" t="s">
        <v>230</v>
      </c>
      <c r="H1093" s="66" t="str">
        <f>Table1[[#This Row],[Tabela]]&amp;Table1[[#This Row],[Campo]]</f>
        <v>modesg_inp_emss_scibisin</v>
      </c>
      <c r="I1093" s="3" t="s">
        <v>477</v>
      </c>
      <c r="J1093" s="48">
        <f>VLOOKUP(Table1[[#This Row],[Status]],Auxiliar!$B$16:$C$23,2,0)</f>
        <v>1</v>
      </c>
      <c r="K1093" s="22" t="s">
        <v>1141</v>
      </c>
      <c r="L1093" s="3" t="s">
        <v>1144</v>
      </c>
      <c r="M1093" s="22" t="s">
        <v>1155</v>
      </c>
      <c r="N1093" s="53">
        <v>45490</v>
      </c>
      <c r="O1093" s="22">
        <f>INDEX(Auxiliar!$D$5:$F$13,MATCH(Table1[[#This Row],[Tipologia_Testes]],Auxiliar!$B$5:$B$13,0),MATCH(Table1[[#This Row],[Complexidade]],Auxiliar!$D$4:$F$4,0))</f>
        <v>0.1</v>
      </c>
      <c r="P1093" s="3" t="s">
        <v>1213</v>
      </c>
      <c r="Q1093" s="3" t="s">
        <v>1201</v>
      </c>
      <c r="R1093" s="173">
        <v>45261</v>
      </c>
      <c r="S1093" s="173"/>
      <c r="T1093" s="173"/>
      <c r="U1093" s="173"/>
      <c r="V1093" s="173"/>
      <c r="W1093" s="3">
        <f>VLOOKUP(Table1[[#This Row],[Status]],Auxiliar!$B$16:$D$23,3,0)*Table1[[#This Row],[Estimação (horas)]]</f>
        <v>0.1</v>
      </c>
      <c r="X1093" s="3"/>
    </row>
    <row r="1094" spans="2:24" ht="17.399999999999999" hidden="1" customHeight="1">
      <c r="B1094" s="14" t="s">
        <v>28</v>
      </c>
      <c r="C1094" s="14" t="s">
        <v>178</v>
      </c>
      <c r="D1094" s="14" t="s">
        <v>1198</v>
      </c>
      <c r="E1094" s="3" t="s">
        <v>38</v>
      </c>
      <c r="F1094" s="14" t="s">
        <v>210</v>
      </c>
      <c r="G1094" s="14" t="s">
        <v>230</v>
      </c>
      <c r="H1094" s="66" t="str">
        <f>Table1[[#This Row],[Tabela]]&amp;Table1[[#This Row],[Campo]]</f>
        <v>modesg_inp_emss_scibisin</v>
      </c>
      <c r="I1094" s="3" t="s">
        <v>477</v>
      </c>
      <c r="J1094" s="48">
        <f>VLOOKUP(Table1[[#This Row],[Status]],Auxiliar!$B$16:$C$23,2,0)</f>
        <v>1</v>
      </c>
      <c r="K1094" s="22" t="s">
        <v>1164</v>
      </c>
      <c r="L1094" s="3" t="s">
        <v>1144</v>
      </c>
      <c r="M1094" s="22" t="s">
        <v>1155</v>
      </c>
      <c r="N1094" s="53">
        <v>45490</v>
      </c>
      <c r="O1094" s="22">
        <f>INDEX(Auxiliar!$D$5:$F$13,MATCH(Table1[[#This Row],[Tipologia_Testes]],Auxiliar!$B$5:$B$13,0),MATCH(Table1[[#This Row],[Complexidade]],Auxiliar!$D$4:$F$4,0))</f>
        <v>0.5</v>
      </c>
      <c r="P1094" s="3"/>
      <c r="Q1094" s="3" t="s">
        <v>1201</v>
      </c>
      <c r="R1094" s="173">
        <v>45261</v>
      </c>
      <c r="S1094" s="173"/>
      <c r="T1094" s="173"/>
      <c r="U1094" s="173"/>
      <c r="V1094" s="173"/>
      <c r="W1094" s="3">
        <f>VLOOKUP(Table1[[#This Row],[Status]],Auxiliar!$B$16:$D$23,3,0)*Table1[[#This Row],[Estimação (horas)]]</f>
        <v>0.5</v>
      </c>
      <c r="X1094" s="3"/>
    </row>
    <row r="1095" spans="2:24" ht="17.399999999999999" hidden="1" customHeight="1">
      <c r="B1095" s="14" t="s">
        <v>28</v>
      </c>
      <c r="C1095" s="14" t="s">
        <v>178</v>
      </c>
      <c r="D1095" s="14" t="s">
        <v>1198</v>
      </c>
      <c r="E1095" s="3" t="s">
        <v>38</v>
      </c>
      <c r="F1095" s="14" t="s">
        <v>210</v>
      </c>
      <c r="G1095" s="14" t="s">
        <v>231</v>
      </c>
      <c r="H1095" s="66" t="str">
        <f>Table1[[#This Row],[Tabela]]&amp;Table1[[#This Row],[Campo]]</f>
        <v>modesg_inp_emss_scibclei</v>
      </c>
      <c r="I1095" s="3" t="s">
        <v>477</v>
      </c>
      <c r="J1095" s="48">
        <f>VLOOKUP(Table1[[#This Row],[Status]],Auxiliar!$B$16:$C$23,2,0)</f>
        <v>1</v>
      </c>
      <c r="K1095" s="22" t="s">
        <v>1141</v>
      </c>
      <c r="L1095" s="3" t="s">
        <v>1144</v>
      </c>
      <c r="M1095" s="22" t="s">
        <v>1155</v>
      </c>
      <c r="N1095" s="53">
        <v>45490</v>
      </c>
      <c r="O1095" s="22">
        <f>INDEX(Auxiliar!$D$5:$F$13,MATCH(Table1[[#This Row],[Tipologia_Testes]],Auxiliar!$B$5:$B$13,0),MATCH(Table1[[#This Row],[Complexidade]],Auxiliar!$D$4:$F$4,0))</f>
        <v>0.1</v>
      </c>
      <c r="P1095" s="3" t="s">
        <v>1213</v>
      </c>
      <c r="Q1095" s="3" t="s">
        <v>1201</v>
      </c>
      <c r="R1095" s="173">
        <v>45261</v>
      </c>
      <c r="S1095" s="173"/>
      <c r="T1095" s="173"/>
      <c r="U1095" s="173"/>
      <c r="V1095" s="173"/>
      <c r="W1095" s="3">
        <f>VLOOKUP(Table1[[#This Row],[Status]],Auxiliar!$B$16:$D$23,3,0)*Table1[[#This Row],[Estimação (horas)]]</f>
        <v>0.1</v>
      </c>
      <c r="X1095" s="3"/>
    </row>
    <row r="1096" spans="2:24" ht="17.399999999999999" hidden="1" customHeight="1">
      <c r="B1096" s="14" t="s">
        <v>28</v>
      </c>
      <c r="C1096" s="14" t="s">
        <v>178</v>
      </c>
      <c r="D1096" s="14" t="s">
        <v>1198</v>
      </c>
      <c r="E1096" s="3" t="s">
        <v>38</v>
      </c>
      <c r="F1096" s="14" t="s">
        <v>210</v>
      </c>
      <c r="G1096" s="14" t="s">
        <v>231</v>
      </c>
      <c r="H1096" s="66" t="str">
        <f>Table1[[#This Row],[Tabela]]&amp;Table1[[#This Row],[Campo]]</f>
        <v>modesg_inp_emss_scibclei</v>
      </c>
      <c r="I1096" s="3" t="s">
        <v>477</v>
      </c>
      <c r="J1096" s="48">
        <f>VLOOKUP(Table1[[#This Row],[Status]],Auxiliar!$B$16:$C$23,2,0)</f>
        <v>1</v>
      </c>
      <c r="K1096" s="22" t="s">
        <v>1164</v>
      </c>
      <c r="L1096" s="3" t="s">
        <v>1144</v>
      </c>
      <c r="M1096" s="22" t="s">
        <v>1155</v>
      </c>
      <c r="N1096" s="53">
        <v>45490</v>
      </c>
      <c r="O1096" s="22">
        <f>INDEX(Auxiliar!$D$5:$F$13,MATCH(Table1[[#This Row],[Tipologia_Testes]],Auxiliar!$B$5:$B$13,0),MATCH(Table1[[#This Row],[Complexidade]],Auxiliar!$D$4:$F$4,0))</f>
        <v>0.5</v>
      </c>
      <c r="P1096" s="3"/>
      <c r="Q1096" s="3" t="s">
        <v>1201</v>
      </c>
      <c r="R1096" s="173">
        <v>45261</v>
      </c>
      <c r="S1096" s="173"/>
      <c r="T1096" s="173"/>
      <c r="U1096" s="173"/>
      <c r="V1096" s="173"/>
      <c r="W1096" s="3">
        <f>VLOOKUP(Table1[[#This Row],[Status]],Auxiliar!$B$16:$D$23,3,0)*Table1[[#This Row],[Estimação (horas)]]</f>
        <v>0.5</v>
      </c>
      <c r="X1096" s="3"/>
    </row>
    <row r="1097" spans="2:24" ht="17.399999999999999" hidden="1" customHeight="1">
      <c r="B1097" s="14" t="s">
        <v>28</v>
      </c>
      <c r="C1097" s="14" t="s">
        <v>178</v>
      </c>
      <c r="D1097" s="14" t="s">
        <v>1198</v>
      </c>
      <c r="E1097" s="3" t="s">
        <v>38</v>
      </c>
      <c r="F1097" s="14" t="s">
        <v>210</v>
      </c>
      <c r="G1097" s="14" t="s">
        <v>276</v>
      </c>
      <c r="H1097" s="66" t="str">
        <f>Table1[[#This Row],[Tabela]]&amp;Table1[[#This Row],[Campo]]</f>
        <v>modesg_inp_emss_scibscp1_emss</v>
      </c>
      <c r="I1097" s="3" t="s">
        <v>477</v>
      </c>
      <c r="J1097" s="48">
        <f>VLOOKUP(Table1[[#This Row],[Status]],Auxiliar!$B$16:$C$23,2,0)</f>
        <v>1</v>
      </c>
      <c r="K1097" s="22" t="s">
        <v>1141</v>
      </c>
      <c r="L1097" s="3" t="s">
        <v>1144</v>
      </c>
      <c r="M1097" s="22" t="s">
        <v>1155</v>
      </c>
      <c r="N1097" s="53">
        <v>45499</v>
      </c>
      <c r="O1097" s="22">
        <f>INDEX(Auxiliar!$D$5:$F$13,MATCH(Table1[[#This Row],[Tipologia_Testes]],Auxiliar!$B$5:$B$13,0),MATCH(Table1[[#This Row],[Complexidade]],Auxiliar!$D$4:$F$4,0))</f>
        <v>0.1</v>
      </c>
      <c r="P1097" s="3" t="s">
        <v>1220</v>
      </c>
      <c r="Q1097" s="3" t="s">
        <v>1201</v>
      </c>
      <c r="R1097" s="173">
        <v>45136</v>
      </c>
      <c r="S1097" s="173">
        <v>45439</v>
      </c>
      <c r="T1097" s="173">
        <v>45491</v>
      </c>
      <c r="U1097" s="173"/>
      <c r="V1097" s="173">
        <v>45499</v>
      </c>
      <c r="W1097" s="3">
        <f>VLOOKUP(Table1[[#This Row],[Status]],Auxiliar!$B$16:$D$23,3,0)*Table1[[#This Row],[Estimação (horas)]]</f>
        <v>0.1</v>
      </c>
      <c r="X1097" s="3"/>
    </row>
    <row r="1098" spans="2:24" ht="17.399999999999999" hidden="1" customHeight="1">
      <c r="B1098" s="14" t="s">
        <v>28</v>
      </c>
      <c r="C1098" s="14" t="s">
        <v>178</v>
      </c>
      <c r="D1098" s="14" t="s">
        <v>1198</v>
      </c>
      <c r="E1098" s="3" t="s">
        <v>38</v>
      </c>
      <c r="F1098" s="14" t="s">
        <v>210</v>
      </c>
      <c r="G1098" s="14" t="s">
        <v>276</v>
      </c>
      <c r="H1098" s="66" t="str">
        <f>Table1[[#This Row],[Tabela]]&amp;Table1[[#This Row],[Campo]]</f>
        <v>modesg_inp_emss_scibscp1_emss</v>
      </c>
      <c r="I1098" s="3" t="s">
        <v>477</v>
      </c>
      <c r="J1098" s="48">
        <f>VLOOKUP(Table1[[#This Row],[Status]],Auxiliar!$B$16:$C$23,2,0)</f>
        <v>1</v>
      </c>
      <c r="K1098" s="22" t="s">
        <v>1164</v>
      </c>
      <c r="L1098" s="3" t="s">
        <v>1144</v>
      </c>
      <c r="M1098" s="22" t="s">
        <v>1155</v>
      </c>
      <c r="N1098" s="53">
        <v>45490</v>
      </c>
      <c r="O1098" s="22">
        <f>INDEX(Auxiliar!$D$5:$F$13,MATCH(Table1[[#This Row],[Tipologia_Testes]],Auxiliar!$B$5:$B$13,0),MATCH(Table1[[#This Row],[Complexidade]],Auxiliar!$D$4:$F$4,0))</f>
        <v>0.5</v>
      </c>
      <c r="P1098" s="3"/>
      <c r="Q1098" s="3" t="s">
        <v>1201</v>
      </c>
      <c r="R1098" s="173">
        <v>45261</v>
      </c>
      <c r="S1098" s="173"/>
      <c r="T1098" s="173"/>
      <c r="U1098" s="173"/>
      <c r="V1098" s="173"/>
      <c r="W1098" s="3">
        <f>VLOOKUP(Table1[[#This Row],[Status]],Auxiliar!$B$16:$D$23,3,0)*Table1[[#This Row],[Estimação (horas)]]</f>
        <v>0.5</v>
      </c>
      <c r="X1098" s="3"/>
    </row>
    <row r="1099" spans="2:24" ht="17.399999999999999" hidden="1" customHeight="1">
      <c r="B1099" s="14" t="s">
        <v>28</v>
      </c>
      <c r="C1099" s="14" t="s">
        <v>178</v>
      </c>
      <c r="D1099" s="14" t="s">
        <v>1198</v>
      </c>
      <c r="E1099" s="3" t="s">
        <v>38</v>
      </c>
      <c r="F1099" s="14" t="s">
        <v>210</v>
      </c>
      <c r="G1099" s="14" t="s">
        <v>277</v>
      </c>
      <c r="H1099" s="66" t="str">
        <f>Table1[[#This Row],[Tabela]]&amp;Table1[[#This Row],[Campo]]</f>
        <v>modesg_inp_emss_scibscp2_emss</v>
      </c>
      <c r="I1099" s="3" t="s">
        <v>477</v>
      </c>
      <c r="J1099" s="48">
        <f>VLOOKUP(Table1[[#This Row],[Status]],Auxiliar!$B$16:$C$23,2,0)</f>
        <v>1</v>
      </c>
      <c r="K1099" s="22" t="s">
        <v>1141</v>
      </c>
      <c r="L1099" s="3" t="s">
        <v>1144</v>
      </c>
      <c r="M1099" s="22" t="s">
        <v>1155</v>
      </c>
      <c r="N1099" s="53">
        <v>45499</v>
      </c>
      <c r="O1099" s="22">
        <f>INDEX(Auxiliar!$D$5:$F$13,MATCH(Table1[[#This Row],[Tipologia_Testes]],Auxiliar!$B$5:$B$13,0),MATCH(Table1[[#This Row],[Complexidade]],Auxiliar!$D$4:$F$4,0))</f>
        <v>0.1</v>
      </c>
      <c r="P1099" s="3" t="s">
        <v>1220</v>
      </c>
      <c r="Q1099" s="3" t="s">
        <v>1201</v>
      </c>
      <c r="R1099" s="173">
        <v>45136</v>
      </c>
      <c r="S1099" s="173">
        <v>45439</v>
      </c>
      <c r="T1099" s="173">
        <v>45491</v>
      </c>
      <c r="U1099" s="173"/>
      <c r="V1099" s="173">
        <v>45499</v>
      </c>
      <c r="W1099" s="3">
        <f>VLOOKUP(Table1[[#This Row],[Status]],Auxiliar!$B$16:$D$23,3,0)*Table1[[#This Row],[Estimação (horas)]]</f>
        <v>0.1</v>
      </c>
      <c r="X1099" s="3"/>
    </row>
    <row r="1100" spans="2:24" ht="17.399999999999999" hidden="1" customHeight="1">
      <c r="B1100" s="14" t="s">
        <v>28</v>
      </c>
      <c r="C1100" s="14" t="s">
        <v>178</v>
      </c>
      <c r="D1100" s="14" t="s">
        <v>1198</v>
      </c>
      <c r="E1100" s="3" t="s">
        <v>38</v>
      </c>
      <c r="F1100" s="14" t="s">
        <v>210</v>
      </c>
      <c r="G1100" s="14" t="s">
        <v>277</v>
      </c>
      <c r="H1100" s="66" t="str">
        <f>Table1[[#This Row],[Tabela]]&amp;Table1[[#This Row],[Campo]]</f>
        <v>modesg_inp_emss_scibscp2_emss</v>
      </c>
      <c r="I1100" s="3" t="s">
        <v>477</v>
      </c>
      <c r="J1100" s="48">
        <f>VLOOKUP(Table1[[#This Row],[Status]],Auxiliar!$B$16:$C$23,2,0)</f>
        <v>1</v>
      </c>
      <c r="K1100" s="22" t="s">
        <v>1164</v>
      </c>
      <c r="L1100" s="3" t="s">
        <v>1144</v>
      </c>
      <c r="M1100" s="22" t="s">
        <v>1155</v>
      </c>
      <c r="N1100" s="53">
        <v>45490</v>
      </c>
      <c r="O1100" s="22">
        <f>INDEX(Auxiliar!$D$5:$F$13,MATCH(Table1[[#This Row],[Tipologia_Testes]],Auxiliar!$B$5:$B$13,0),MATCH(Table1[[#This Row],[Complexidade]],Auxiliar!$D$4:$F$4,0))</f>
        <v>0.5</v>
      </c>
      <c r="P1100" s="3"/>
      <c r="Q1100" s="3" t="s">
        <v>1201</v>
      </c>
      <c r="R1100" s="173">
        <v>45261</v>
      </c>
      <c r="S1100" s="173"/>
      <c r="T1100" s="173"/>
      <c r="U1100" s="173"/>
      <c r="V1100" s="173"/>
      <c r="W1100" s="3">
        <f>VLOOKUP(Table1[[#This Row],[Status]],Auxiliar!$B$16:$D$23,3,0)*Table1[[#This Row],[Estimação (horas)]]</f>
        <v>0.5</v>
      </c>
      <c r="X1100" s="3"/>
    </row>
    <row r="1101" spans="2:24" ht="17.399999999999999" hidden="1" customHeight="1">
      <c r="B1101" s="14" t="s">
        <v>28</v>
      </c>
      <c r="C1101" s="14" t="s">
        <v>178</v>
      </c>
      <c r="D1101" s="14" t="s">
        <v>1198</v>
      </c>
      <c r="E1101" s="3" t="s">
        <v>38</v>
      </c>
      <c r="F1101" s="14" t="s">
        <v>210</v>
      </c>
      <c r="G1101" s="14" t="s">
        <v>278</v>
      </c>
      <c r="H1101" s="66" t="str">
        <f>Table1[[#This Row],[Tabela]]&amp;Table1[[#This Row],[Campo]]</f>
        <v>modesg_inp_emss_scibscp3_emss</v>
      </c>
      <c r="I1101" s="3" t="s">
        <v>477</v>
      </c>
      <c r="J1101" s="48">
        <f>VLOOKUP(Table1[[#This Row],[Status]],Auxiliar!$B$16:$C$23,2,0)</f>
        <v>1</v>
      </c>
      <c r="K1101" s="22" t="s">
        <v>1141</v>
      </c>
      <c r="L1101" s="3" t="s">
        <v>1144</v>
      </c>
      <c r="M1101" s="22" t="s">
        <v>1155</v>
      </c>
      <c r="N1101" s="53">
        <v>45490</v>
      </c>
      <c r="O1101" s="22">
        <f>INDEX(Auxiliar!$D$5:$F$13,MATCH(Table1[[#This Row],[Tipologia_Testes]],Auxiliar!$B$5:$B$13,0),MATCH(Table1[[#This Row],[Complexidade]],Auxiliar!$D$4:$F$4,0))</f>
        <v>0.1</v>
      </c>
      <c r="P1101" s="3" t="s">
        <v>1220</v>
      </c>
      <c r="Q1101" s="3" t="s">
        <v>1201</v>
      </c>
      <c r="R1101" s="173">
        <v>45261</v>
      </c>
      <c r="S1101" s="173"/>
      <c r="T1101" s="173"/>
      <c r="U1101" s="173"/>
      <c r="V1101" s="173"/>
      <c r="W1101" s="3">
        <f>VLOOKUP(Table1[[#This Row],[Status]],Auxiliar!$B$16:$D$23,3,0)*Table1[[#This Row],[Estimação (horas)]]</f>
        <v>0.1</v>
      </c>
      <c r="X1101" s="3"/>
    </row>
    <row r="1102" spans="2:24" ht="17.399999999999999" hidden="1" customHeight="1">
      <c r="B1102" s="14" t="s">
        <v>28</v>
      </c>
      <c r="C1102" s="14" t="s">
        <v>178</v>
      </c>
      <c r="D1102" s="14" t="s">
        <v>1198</v>
      </c>
      <c r="E1102" s="3" t="s">
        <v>38</v>
      </c>
      <c r="F1102" s="14" t="s">
        <v>210</v>
      </c>
      <c r="G1102" s="14" t="s">
        <v>278</v>
      </c>
      <c r="H1102" s="66" t="str">
        <f>Table1[[#This Row],[Tabela]]&amp;Table1[[#This Row],[Campo]]</f>
        <v>modesg_inp_emss_scibscp3_emss</v>
      </c>
      <c r="I1102" s="3" t="s">
        <v>477</v>
      </c>
      <c r="J1102" s="48">
        <f>VLOOKUP(Table1[[#This Row],[Status]],Auxiliar!$B$16:$C$23,2,0)</f>
        <v>1</v>
      </c>
      <c r="K1102" s="22" t="s">
        <v>1164</v>
      </c>
      <c r="L1102" s="3" t="s">
        <v>1144</v>
      </c>
      <c r="M1102" s="22" t="s">
        <v>1155</v>
      </c>
      <c r="N1102" s="53">
        <v>45490</v>
      </c>
      <c r="O1102" s="22">
        <f>INDEX(Auxiliar!$D$5:$F$13,MATCH(Table1[[#This Row],[Tipologia_Testes]],Auxiliar!$B$5:$B$13,0),MATCH(Table1[[#This Row],[Complexidade]],Auxiliar!$D$4:$F$4,0))</f>
        <v>0.5</v>
      </c>
      <c r="P1102" s="3"/>
      <c r="Q1102" s="3" t="s">
        <v>1201</v>
      </c>
      <c r="R1102" s="173">
        <v>45261</v>
      </c>
      <c r="S1102" s="173"/>
      <c r="T1102" s="173"/>
      <c r="U1102" s="173"/>
      <c r="V1102" s="173"/>
      <c r="W1102" s="3">
        <f>VLOOKUP(Table1[[#This Row],[Status]],Auxiliar!$B$16:$D$23,3,0)*Table1[[#This Row],[Estimação (horas)]]</f>
        <v>0.5</v>
      </c>
      <c r="X1102" s="3"/>
    </row>
    <row r="1103" spans="2:24" ht="17.399999999999999" hidden="1" customHeight="1">
      <c r="B1103" s="14" t="s">
        <v>28</v>
      </c>
      <c r="C1103" s="14" t="s">
        <v>178</v>
      </c>
      <c r="D1103" s="14" t="s">
        <v>1198</v>
      </c>
      <c r="E1103" s="3" t="s">
        <v>38</v>
      </c>
      <c r="F1103" s="14" t="s">
        <v>210</v>
      </c>
      <c r="G1103" s="14" t="s">
        <v>279</v>
      </c>
      <c r="H1103" s="66" t="str">
        <f>Table1[[#This Row],[Tabela]]&amp;Table1[[#This Row],[Campo]]</f>
        <v>modesg_inp_emss_scibscore_scp1</v>
      </c>
      <c r="I1103" s="3" t="s">
        <v>477</v>
      </c>
      <c r="J1103" s="48">
        <f>VLOOKUP(Table1[[#This Row],[Status]],Auxiliar!$B$16:$C$23,2,0)</f>
        <v>1</v>
      </c>
      <c r="K1103" s="22" t="s">
        <v>1164</v>
      </c>
      <c r="L1103" s="3" t="s">
        <v>1144</v>
      </c>
      <c r="M1103" s="22" t="s">
        <v>1155</v>
      </c>
      <c r="N1103" s="53">
        <v>45490</v>
      </c>
      <c r="O1103" s="22">
        <f>INDEX(Auxiliar!$D$5:$F$13,MATCH(Table1[[#This Row],[Tipologia_Testes]],Auxiliar!$B$5:$B$13,0),MATCH(Table1[[#This Row],[Complexidade]],Auxiliar!$D$4:$F$4,0))</f>
        <v>0.5</v>
      </c>
      <c r="P1103" s="3"/>
      <c r="Q1103" s="3" t="s">
        <v>1201</v>
      </c>
      <c r="R1103" s="173">
        <v>45261</v>
      </c>
      <c r="S1103" s="173"/>
      <c r="T1103" s="173"/>
      <c r="U1103" s="173"/>
      <c r="V1103" s="173"/>
      <c r="W1103" s="3">
        <f>VLOOKUP(Table1[[#This Row],[Status]],Auxiliar!$B$16:$D$23,3,0)*Table1[[#This Row],[Estimação (horas)]]</f>
        <v>0.5</v>
      </c>
      <c r="X1103" s="3"/>
    </row>
    <row r="1104" spans="2:24" ht="17.399999999999999" hidden="1" customHeight="1">
      <c r="B1104" s="14" t="s">
        <v>28</v>
      </c>
      <c r="C1104" s="14" t="s">
        <v>178</v>
      </c>
      <c r="D1104" s="14" t="s">
        <v>1198</v>
      </c>
      <c r="E1104" s="3" t="s">
        <v>38</v>
      </c>
      <c r="F1104" s="14" t="s">
        <v>210</v>
      </c>
      <c r="G1104" s="14" t="s">
        <v>280</v>
      </c>
      <c r="H1104" s="66" t="str">
        <f>Table1[[#This Row],[Tabela]]&amp;Table1[[#This Row],[Campo]]</f>
        <v>modesg_inp_emss_scibscore_scp2</v>
      </c>
      <c r="I1104" s="3" t="s">
        <v>477</v>
      </c>
      <c r="J1104" s="48">
        <f>VLOOKUP(Table1[[#This Row],[Status]],Auxiliar!$B$16:$C$23,2,0)</f>
        <v>1</v>
      </c>
      <c r="K1104" s="22" t="s">
        <v>1164</v>
      </c>
      <c r="L1104" s="3" t="s">
        <v>1144</v>
      </c>
      <c r="M1104" s="22" t="s">
        <v>1155</v>
      </c>
      <c r="N1104" s="53">
        <v>45490</v>
      </c>
      <c r="O1104" s="22">
        <f>INDEX(Auxiliar!$D$5:$F$13,MATCH(Table1[[#This Row],[Tipologia_Testes]],Auxiliar!$B$5:$B$13,0),MATCH(Table1[[#This Row],[Complexidade]],Auxiliar!$D$4:$F$4,0))</f>
        <v>0.5</v>
      </c>
      <c r="P1104" s="3"/>
      <c r="Q1104" s="3" t="s">
        <v>1201</v>
      </c>
      <c r="R1104" s="173">
        <v>45261</v>
      </c>
      <c r="S1104" s="173"/>
      <c r="T1104" s="173"/>
      <c r="U1104" s="173"/>
      <c r="V1104" s="173"/>
      <c r="W1104" s="3">
        <f>VLOOKUP(Table1[[#This Row],[Status]],Auxiliar!$B$16:$D$23,3,0)*Table1[[#This Row],[Estimação (horas)]]</f>
        <v>0.5</v>
      </c>
      <c r="X1104" s="3"/>
    </row>
    <row r="1105" spans="2:24" ht="17.399999999999999" hidden="1" customHeight="1">
      <c r="B1105" s="14" t="s">
        <v>28</v>
      </c>
      <c r="C1105" s="14" t="s">
        <v>178</v>
      </c>
      <c r="D1105" s="14" t="s">
        <v>1198</v>
      </c>
      <c r="E1105" s="3" t="s">
        <v>38</v>
      </c>
      <c r="F1105" s="14" t="s">
        <v>210</v>
      </c>
      <c r="G1105" s="14" t="s">
        <v>281</v>
      </c>
      <c r="H1105" s="66" t="str">
        <f>Table1[[#This Row],[Tabela]]&amp;Table1[[#This Row],[Campo]]</f>
        <v>modesg_inp_emss_scibscore_scp3</v>
      </c>
      <c r="I1105" s="3" t="s">
        <v>477</v>
      </c>
      <c r="J1105" s="48">
        <f>VLOOKUP(Table1[[#This Row],[Status]],Auxiliar!$B$16:$C$23,2,0)</f>
        <v>1</v>
      </c>
      <c r="K1105" s="22" t="s">
        <v>1164</v>
      </c>
      <c r="L1105" s="3" t="s">
        <v>1144</v>
      </c>
      <c r="M1105" s="22" t="s">
        <v>1155</v>
      </c>
      <c r="N1105" s="53">
        <v>45490</v>
      </c>
      <c r="O1105" s="22">
        <f>INDEX(Auxiliar!$D$5:$F$13,MATCH(Table1[[#This Row],[Tipologia_Testes]],Auxiliar!$B$5:$B$13,0),MATCH(Table1[[#This Row],[Complexidade]],Auxiliar!$D$4:$F$4,0))</f>
        <v>0.5</v>
      </c>
      <c r="P1105" s="3"/>
      <c r="Q1105" s="3" t="s">
        <v>1201</v>
      </c>
      <c r="R1105" s="173">
        <v>45261</v>
      </c>
      <c r="S1105" s="173"/>
      <c r="T1105" s="173"/>
      <c r="U1105" s="173"/>
      <c r="V1105" s="173"/>
      <c r="W1105" s="3">
        <f>VLOOKUP(Table1[[#This Row],[Status]],Auxiliar!$B$16:$D$23,3,0)*Table1[[#This Row],[Estimação (horas)]]</f>
        <v>0.5</v>
      </c>
      <c r="X1105" s="3"/>
    </row>
    <row r="1106" spans="2:24" ht="17.399999999999999" hidden="1" customHeight="1">
      <c r="B1106" s="14" t="s">
        <v>28</v>
      </c>
      <c r="C1106" s="14" t="s">
        <v>178</v>
      </c>
      <c r="D1106" s="14" t="s">
        <v>1198</v>
      </c>
      <c r="E1106" s="3" t="s">
        <v>38</v>
      </c>
      <c r="F1106" s="14" t="s">
        <v>210</v>
      </c>
      <c r="G1106" s="14" t="s">
        <v>282</v>
      </c>
      <c r="H1106" s="66" t="str">
        <f>Table1[[#This Row],[Tabela]]&amp;Table1[[#This Row],[Campo]]</f>
        <v>modesg_inp_emss_sciborigem_scp1</v>
      </c>
      <c r="I1106" s="3" t="s">
        <v>477</v>
      </c>
      <c r="J1106" s="48">
        <f>VLOOKUP(Table1[[#This Row],[Status]],Auxiliar!$B$16:$C$23,2,0)</f>
        <v>1</v>
      </c>
      <c r="K1106" s="22" t="s">
        <v>1164</v>
      </c>
      <c r="L1106" s="3" t="s">
        <v>1144</v>
      </c>
      <c r="M1106" s="22" t="s">
        <v>1155</v>
      </c>
      <c r="N1106" s="53">
        <v>45490</v>
      </c>
      <c r="O1106" s="22">
        <f>INDEX(Auxiliar!$D$5:$F$13,MATCH(Table1[[#This Row],[Tipologia_Testes]],Auxiliar!$B$5:$B$13,0),MATCH(Table1[[#This Row],[Complexidade]],Auxiliar!$D$4:$F$4,0))</f>
        <v>0.5</v>
      </c>
      <c r="P1106" s="3"/>
      <c r="Q1106" s="3" t="s">
        <v>1201</v>
      </c>
      <c r="R1106" s="173">
        <v>45261</v>
      </c>
      <c r="S1106" s="173"/>
      <c r="T1106" s="173"/>
      <c r="U1106" s="173"/>
      <c r="V1106" s="173"/>
      <c r="W1106" s="3">
        <f>VLOOKUP(Table1[[#This Row],[Status]],Auxiliar!$B$16:$D$23,3,0)*Table1[[#This Row],[Estimação (horas)]]</f>
        <v>0.5</v>
      </c>
      <c r="X1106" s="3"/>
    </row>
    <row r="1107" spans="2:24" ht="17.399999999999999" hidden="1" customHeight="1">
      <c r="B1107" s="14" t="s">
        <v>28</v>
      </c>
      <c r="C1107" s="14" t="s">
        <v>178</v>
      </c>
      <c r="D1107" s="14" t="s">
        <v>1198</v>
      </c>
      <c r="E1107" s="3" t="s">
        <v>38</v>
      </c>
      <c r="F1107" s="14" t="s">
        <v>210</v>
      </c>
      <c r="G1107" s="14" t="s">
        <v>283</v>
      </c>
      <c r="H1107" s="66" t="str">
        <f>Table1[[#This Row],[Tabela]]&amp;Table1[[#This Row],[Campo]]</f>
        <v>modesg_inp_emss_sciborigem_scp2</v>
      </c>
      <c r="I1107" s="3" t="s">
        <v>477</v>
      </c>
      <c r="J1107" s="48">
        <f>VLOOKUP(Table1[[#This Row],[Status]],Auxiliar!$B$16:$C$23,2,0)</f>
        <v>1</v>
      </c>
      <c r="K1107" s="22" t="s">
        <v>1164</v>
      </c>
      <c r="L1107" s="3" t="s">
        <v>1144</v>
      </c>
      <c r="M1107" s="22" t="s">
        <v>1155</v>
      </c>
      <c r="N1107" s="53">
        <v>45490</v>
      </c>
      <c r="O1107" s="22">
        <f>INDEX(Auxiliar!$D$5:$F$13,MATCH(Table1[[#This Row],[Tipologia_Testes]],Auxiliar!$B$5:$B$13,0),MATCH(Table1[[#This Row],[Complexidade]],Auxiliar!$D$4:$F$4,0))</f>
        <v>0.5</v>
      </c>
      <c r="P1107" s="3"/>
      <c r="Q1107" s="3" t="s">
        <v>1201</v>
      </c>
      <c r="R1107" s="173">
        <v>45261</v>
      </c>
      <c r="S1107" s="173"/>
      <c r="T1107" s="173"/>
      <c r="U1107" s="173"/>
      <c r="V1107" s="173"/>
      <c r="W1107" s="3">
        <f>VLOOKUP(Table1[[#This Row],[Status]],Auxiliar!$B$16:$D$23,3,0)*Table1[[#This Row],[Estimação (horas)]]</f>
        <v>0.5</v>
      </c>
      <c r="X1107" s="3"/>
    </row>
    <row r="1108" spans="2:24" ht="17.399999999999999" hidden="1" customHeight="1">
      <c r="B1108" s="14" t="s">
        <v>28</v>
      </c>
      <c r="C1108" s="14" t="s">
        <v>178</v>
      </c>
      <c r="D1108" s="14" t="s">
        <v>1198</v>
      </c>
      <c r="E1108" s="3" t="s">
        <v>38</v>
      </c>
      <c r="F1108" s="14" t="s">
        <v>210</v>
      </c>
      <c r="G1108" s="14" t="s">
        <v>284</v>
      </c>
      <c r="H1108" s="66" t="str">
        <f>Table1[[#This Row],[Tabela]]&amp;Table1[[#This Row],[Campo]]</f>
        <v>modesg_inp_emss_sciborigem_scp3</v>
      </c>
      <c r="I1108" s="3" t="s">
        <v>477</v>
      </c>
      <c r="J1108" s="48">
        <f>VLOOKUP(Table1[[#This Row],[Status]],Auxiliar!$B$16:$C$23,2,0)</f>
        <v>1</v>
      </c>
      <c r="K1108" s="22" t="s">
        <v>1164</v>
      </c>
      <c r="L1108" s="3" t="s">
        <v>1144</v>
      </c>
      <c r="M1108" s="22" t="s">
        <v>1155</v>
      </c>
      <c r="N1108" s="53">
        <v>45490</v>
      </c>
      <c r="O1108" s="22">
        <f>INDEX(Auxiliar!$D$5:$F$13,MATCH(Table1[[#This Row],[Tipologia_Testes]],Auxiliar!$B$5:$B$13,0),MATCH(Table1[[#This Row],[Complexidade]],Auxiliar!$D$4:$F$4,0))</f>
        <v>0.5</v>
      </c>
      <c r="P1108" s="3"/>
      <c r="Q1108" s="3" t="s">
        <v>1201</v>
      </c>
      <c r="R1108" s="173">
        <v>45261</v>
      </c>
      <c r="S1108" s="173"/>
      <c r="T1108" s="173"/>
      <c r="U1108" s="173"/>
      <c r="V1108" s="173"/>
      <c r="W1108" s="3">
        <f>VLOOKUP(Table1[[#This Row],[Status]],Auxiliar!$B$16:$D$23,3,0)*Table1[[#This Row],[Estimação (horas)]]</f>
        <v>0.5</v>
      </c>
      <c r="X1108" s="3"/>
    </row>
    <row r="1109" spans="2:24" ht="17.399999999999999" hidden="1" customHeight="1">
      <c r="B1109" s="14" t="s">
        <v>28</v>
      </c>
      <c r="C1109" s="14" t="s">
        <v>178</v>
      </c>
      <c r="D1109" s="14" t="s">
        <v>1198</v>
      </c>
      <c r="E1109" s="3" t="s">
        <v>38</v>
      </c>
      <c r="F1109" s="14" t="s">
        <v>210</v>
      </c>
      <c r="G1109" s="14" t="s">
        <v>285</v>
      </c>
      <c r="H1109" s="66" t="str">
        <f>Table1[[#This Row],[Tabela]]&amp;Table1[[#This Row],[Campo]]</f>
        <v>modesg_inp_emss_scibano_info</v>
      </c>
      <c r="I1109" s="3" t="s">
        <v>477</v>
      </c>
      <c r="J1109" s="48">
        <f>VLOOKUP(Table1[[#This Row],[Status]],Auxiliar!$B$16:$C$23,2,0)</f>
        <v>1</v>
      </c>
      <c r="K1109" s="22" t="s">
        <v>1164</v>
      </c>
      <c r="L1109" s="3" t="s">
        <v>1135</v>
      </c>
      <c r="M1109" s="22" t="s">
        <v>1155</v>
      </c>
      <c r="N1109" s="53">
        <v>45490</v>
      </c>
      <c r="O1109" s="22">
        <f>INDEX(Auxiliar!$D$5:$F$13,MATCH(Table1[[#This Row],[Tipologia_Testes]],Auxiliar!$B$5:$B$13,0),MATCH(Table1[[#This Row],[Complexidade]],Auxiliar!$D$4:$F$4,0))</f>
        <v>0.5</v>
      </c>
      <c r="P1109" s="3" t="s">
        <v>1208</v>
      </c>
      <c r="Q1109" s="3" t="s">
        <v>1201</v>
      </c>
      <c r="R1109" s="173">
        <v>45261</v>
      </c>
      <c r="S1109" s="173"/>
      <c r="T1109" s="173"/>
      <c r="U1109" s="173"/>
      <c r="V1109" s="173"/>
      <c r="W1109" s="3">
        <f>VLOOKUP(Table1[[#This Row],[Status]],Auxiliar!$B$16:$D$23,3,0)*Table1[[#This Row],[Estimação (horas)]]</f>
        <v>0.5</v>
      </c>
      <c r="X1109" s="3"/>
    </row>
    <row r="1110" spans="2:24" ht="17.399999999999999" hidden="1" customHeight="1">
      <c r="B1110" s="14" t="s">
        <v>28</v>
      </c>
      <c r="C1110" s="14" t="s">
        <v>178</v>
      </c>
      <c r="D1110" s="14" t="s">
        <v>1198</v>
      </c>
      <c r="E1110" s="3" t="s">
        <v>38</v>
      </c>
      <c r="F1110" s="14" t="s">
        <v>210</v>
      </c>
      <c r="G1110" s="14" t="s">
        <v>286</v>
      </c>
      <c r="H1110" s="66" t="str">
        <f>Table1[[#This Row],[Tabela]]&amp;Table1[[#This Row],[Campo]]</f>
        <v>modesg_inp_emss_scibdivida_total</v>
      </c>
      <c r="I1110" s="3" t="s">
        <v>477</v>
      </c>
      <c r="J1110" s="48">
        <f>VLOOKUP(Table1[[#This Row],[Status]],Auxiliar!$B$16:$C$23,2,0)</f>
        <v>1</v>
      </c>
      <c r="K1110" s="22" t="s">
        <v>1164</v>
      </c>
      <c r="L1110" s="3" t="s">
        <v>1144</v>
      </c>
      <c r="M1110" s="22" t="s">
        <v>1155</v>
      </c>
      <c r="N1110" s="53">
        <v>45490</v>
      </c>
      <c r="O1110" s="22">
        <f>INDEX(Auxiliar!$D$5:$F$13,MATCH(Table1[[#This Row],[Tipologia_Testes]],Auxiliar!$B$5:$B$13,0),MATCH(Table1[[#This Row],[Complexidade]],Auxiliar!$D$4:$F$4,0))</f>
        <v>0.5</v>
      </c>
      <c r="P1110" s="3"/>
      <c r="Q1110" s="3" t="s">
        <v>1201</v>
      </c>
      <c r="R1110" s="173">
        <v>45261</v>
      </c>
      <c r="S1110" s="173"/>
      <c r="T1110" s="173"/>
      <c r="U1110" s="173"/>
      <c r="V1110" s="173"/>
      <c r="W1110" s="3">
        <f>VLOOKUP(Table1[[#This Row],[Status]],Auxiliar!$B$16:$D$23,3,0)*Table1[[#This Row],[Estimação (horas)]]</f>
        <v>0.5</v>
      </c>
      <c r="X1110" s="3"/>
    </row>
    <row r="1111" spans="2:24" ht="17.399999999999999" hidden="1" customHeight="1">
      <c r="B1111" s="14" t="s">
        <v>28</v>
      </c>
      <c r="C1111" s="14" t="s">
        <v>178</v>
      </c>
      <c r="D1111" s="14" t="s">
        <v>1198</v>
      </c>
      <c r="E1111" s="3" t="s">
        <v>38</v>
      </c>
      <c r="F1111" s="14" t="s">
        <v>210</v>
      </c>
      <c r="G1111" s="14" t="s">
        <v>287</v>
      </c>
      <c r="H1111" s="66" t="str">
        <f>Table1[[#This Row],[Tabela]]&amp;Table1[[#This Row],[Campo]]</f>
        <v>modesg_inp_emss_scibcapital_proprio</v>
      </c>
      <c r="I1111" s="3" t="s">
        <v>477</v>
      </c>
      <c r="J1111" s="48">
        <f>VLOOKUP(Table1[[#This Row],[Status]],Auxiliar!$B$16:$C$23,2,0)</f>
        <v>1</v>
      </c>
      <c r="K1111" s="22" t="s">
        <v>1164</v>
      </c>
      <c r="L1111" s="3" t="s">
        <v>1144</v>
      </c>
      <c r="M1111" s="22" t="s">
        <v>1155</v>
      </c>
      <c r="N1111" s="53">
        <v>45490</v>
      </c>
      <c r="O1111" s="22">
        <f>INDEX(Auxiliar!$D$5:$F$13,MATCH(Table1[[#This Row],[Tipologia_Testes]],Auxiliar!$B$5:$B$13,0),MATCH(Table1[[#This Row],[Complexidade]],Auxiliar!$D$4:$F$4,0))</f>
        <v>0.5</v>
      </c>
      <c r="P1111" s="3"/>
      <c r="Q1111" s="3" t="s">
        <v>1201</v>
      </c>
      <c r="R1111" s="173">
        <v>45261</v>
      </c>
      <c r="S1111" s="173"/>
      <c r="T1111" s="173"/>
      <c r="U1111" s="173"/>
      <c r="V1111" s="173"/>
      <c r="W1111" s="3">
        <f>VLOOKUP(Table1[[#This Row],[Status]],Auxiliar!$B$16:$D$23,3,0)*Table1[[#This Row],[Estimação (horas)]]</f>
        <v>0.5</v>
      </c>
      <c r="X1111" s="3"/>
    </row>
    <row r="1112" spans="2:24" ht="17.399999999999999" hidden="1" customHeight="1">
      <c r="B1112" s="14" t="s">
        <v>28</v>
      </c>
      <c r="C1112" s="14" t="s">
        <v>178</v>
      </c>
      <c r="D1112" s="14" t="s">
        <v>1198</v>
      </c>
      <c r="E1112" s="3" t="s">
        <v>38</v>
      </c>
      <c r="F1112" s="14" t="s">
        <v>211</v>
      </c>
      <c r="G1112" s="14" t="s">
        <v>73</v>
      </c>
      <c r="H1112" s="66" t="str">
        <f>Table1[[#This Row],[Tabela]]&amp;Table1[[#This Row],[Campo]]</f>
        <v>modesg_inp_emss_naceref_date</v>
      </c>
      <c r="I1112" s="3" t="s">
        <v>477</v>
      </c>
      <c r="J1112" s="48">
        <f>VLOOKUP(Table1[[#This Row],[Status]],Auxiliar!$B$16:$C$23,2,0)</f>
        <v>1</v>
      </c>
      <c r="K1112" s="22" t="s">
        <v>1164</v>
      </c>
      <c r="L1112" s="3" t="s">
        <v>1144</v>
      </c>
      <c r="M1112" s="22" t="s">
        <v>1155</v>
      </c>
      <c r="N1112" s="53">
        <v>45540</v>
      </c>
      <c r="O1112" s="22">
        <f>INDEX(Auxiliar!$D$5:$F$13,MATCH(Table1[[#This Row],[Tipologia_Testes]],Auxiliar!$B$5:$B$13,0),MATCH(Table1[[#This Row],[Complexidade]],Auxiliar!$D$4:$F$4,0))</f>
        <v>0.5</v>
      </c>
      <c r="P1112" s="3"/>
      <c r="Q1112" s="3"/>
      <c r="R1112" s="173">
        <v>45261</v>
      </c>
      <c r="S1112" s="173"/>
      <c r="T1112" s="173"/>
      <c r="U1112" s="173"/>
      <c r="V1112" s="173"/>
      <c r="W1112" s="3">
        <f>VLOOKUP(Table1[[#This Row],[Status]],Auxiliar!$B$16:$D$23,3,0)*Table1[[#This Row],[Estimação (horas)]]</f>
        <v>0.5</v>
      </c>
      <c r="X1112" s="3"/>
    </row>
    <row r="1113" spans="2:24" ht="17.399999999999999" hidden="1" customHeight="1">
      <c r="B1113" s="14" t="s">
        <v>28</v>
      </c>
      <c r="C1113" s="14" t="s">
        <v>178</v>
      </c>
      <c r="D1113" s="14" t="s">
        <v>1198</v>
      </c>
      <c r="E1113" s="3" t="s">
        <v>38</v>
      </c>
      <c r="F1113" s="14" t="s">
        <v>211</v>
      </c>
      <c r="G1113" s="14" t="s">
        <v>288</v>
      </c>
      <c r="H1113" s="66" t="str">
        <f>Table1[[#This Row],[Tabela]]&amp;Table1[[#This Row],[Campo]]</f>
        <v>modesg_inp_emss_naceano</v>
      </c>
      <c r="I1113" s="3" t="s">
        <v>477</v>
      </c>
      <c r="J1113" s="48">
        <f>VLOOKUP(Table1[[#This Row],[Status]],Auxiliar!$B$16:$C$23,2,0)</f>
        <v>1</v>
      </c>
      <c r="K1113" s="22" t="s">
        <v>1164</v>
      </c>
      <c r="L1113" s="3" t="s">
        <v>502</v>
      </c>
      <c r="M1113" s="22" t="s">
        <v>1155</v>
      </c>
      <c r="N1113" s="53">
        <v>45540</v>
      </c>
      <c r="O1113" s="22">
        <f>INDEX(Auxiliar!$D$5:$F$13,MATCH(Table1[[#This Row],[Tipologia_Testes]],Auxiliar!$B$5:$B$13,0),MATCH(Table1[[#This Row],[Complexidade]],Auxiliar!$D$4:$F$4,0))</f>
        <v>0.5</v>
      </c>
      <c r="P1113" s="3"/>
      <c r="Q1113" s="3"/>
      <c r="R1113" s="173">
        <v>45261</v>
      </c>
      <c r="S1113" s="173"/>
      <c r="T1113" s="173"/>
      <c r="U1113" s="173"/>
      <c r="V1113" s="173"/>
      <c r="W1113" s="3">
        <f>VLOOKUP(Table1[[#This Row],[Status]],Auxiliar!$B$16:$D$23,3,0)*Table1[[#This Row],[Estimação (horas)]]</f>
        <v>0.5</v>
      </c>
      <c r="X1113" s="3"/>
    </row>
    <row r="1114" spans="2:24" ht="17.399999999999999" hidden="1" customHeight="1">
      <c r="B1114" s="14" t="s">
        <v>28</v>
      </c>
      <c r="C1114" s="14" t="s">
        <v>178</v>
      </c>
      <c r="D1114" s="14" t="s">
        <v>1198</v>
      </c>
      <c r="E1114" s="3" t="s">
        <v>38</v>
      </c>
      <c r="F1114" s="14" t="s">
        <v>211</v>
      </c>
      <c r="G1114" s="14" t="s">
        <v>214</v>
      </c>
      <c r="H1114" s="66" t="str">
        <f>Table1[[#This Row],[Tabela]]&amp;Table1[[#This Row],[Campo]]</f>
        <v>modesg_inp_emss_nacenome_pais</v>
      </c>
      <c r="I1114" s="3" t="s">
        <v>477</v>
      </c>
      <c r="J1114" s="48">
        <f>VLOOKUP(Table1[[#This Row],[Status]],Auxiliar!$B$16:$C$23,2,0)</f>
        <v>1</v>
      </c>
      <c r="K1114" s="22" t="s">
        <v>1164</v>
      </c>
      <c r="L1114" s="3" t="s">
        <v>502</v>
      </c>
      <c r="M1114" s="22" t="s">
        <v>1155</v>
      </c>
      <c r="N1114" s="53">
        <v>45540</v>
      </c>
      <c r="O1114" s="22">
        <f>INDEX(Auxiliar!$D$5:$F$13,MATCH(Table1[[#This Row],[Tipologia_Testes]],Auxiliar!$B$5:$B$13,0),MATCH(Table1[[#This Row],[Complexidade]],Auxiliar!$D$4:$F$4,0))</f>
        <v>0.5</v>
      </c>
      <c r="P1114" s="3"/>
      <c r="Q1114" s="3"/>
      <c r="R1114" s="173">
        <v>45261</v>
      </c>
      <c r="S1114" s="173"/>
      <c r="T1114" s="173"/>
      <c r="U1114" s="173"/>
      <c r="V1114" s="173"/>
      <c r="W1114" s="3">
        <f>VLOOKUP(Table1[[#This Row],[Status]],Auxiliar!$B$16:$D$23,3,0)*Table1[[#This Row],[Estimação (horas)]]</f>
        <v>0.5</v>
      </c>
      <c r="X1114" s="3"/>
    </row>
    <row r="1115" spans="2:24" ht="87" hidden="1" customHeight="1">
      <c r="B1115" s="14" t="s">
        <v>28</v>
      </c>
      <c r="C1115" s="14" t="s">
        <v>178</v>
      </c>
      <c r="D1115" s="14" t="s">
        <v>1198</v>
      </c>
      <c r="E1115" s="3" t="s">
        <v>38</v>
      </c>
      <c r="F1115" s="14" t="s">
        <v>211</v>
      </c>
      <c r="G1115" s="14" t="s">
        <v>272</v>
      </c>
      <c r="H1115" s="66" t="str">
        <f>Table1[[#This Row],[Tabela]]&amp;Table1[[#This Row],[Campo]]</f>
        <v>modesg_inp_emss_nacecod_nace_esg</v>
      </c>
      <c r="I1115" s="3" t="s">
        <v>477</v>
      </c>
      <c r="J1115" s="48">
        <f>VLOOKUP(Table1[[#This Row],[Status]],Auxiliar!$B$16:$C$23,2,0)</f>
        <v>1</v>
      </c>
      <c r="K1115" s="22" t="s">
        <v>1141</v>
      </c>
      <c r="L1115" s="3" t="s">
        <v>1144</v>
      </c>
      <c r="M1115" s="22" t="s">
        <v>1155</v>
      </c>
      <c r="N1115" s="53">
        <v>45562</v>
      </c>
      <c r="O1115" s="22">
        <f>INDEX(Auxiliar!$D$5:$F$13,MATCH(Table1[[#This Row],[Tipologia_Testes]],Auxiliar!$B$5:$B$13,0),MATCH(Table1[[#This Row],[Complexidade]],Auxiliar!$D$4:$F$4,0))</f>
        <v>0.1</v>
      </c>
      <c r="P1115" s="24" t="s">
        <v>1221</v>
      </c>
      <c r="Q1115" s="3"/>
      <c r="R1115" s="173">
        <v>45261</v>
      </c>
      <c r="S1115" s="173"/>
      <c r="T1115" s="173"/>
      <c r="U1115" s="173"/>
      <c r="V1115" s="173"/>
      <c r="W1115" s="3">
        <f>VLOOKUP(Table1[[#This Row],[Status]],Auxiliar!$B$16:$D$23,3,0)*Table1[[#This Row],[Estimação (horas)]]</f>
        <v>0.1</v>
      </c>
      <c r="X1115" s="3"/>
    </row>
    <row r="1116" spans="2:24" ht="87" hidden="1" customHeight="1">
      <c r="B1116" s="14" t="s">
        <v>28</v>
      </c>
      <c r="C1116" s="14" t="s">
        <v>178</v>
      </c>
      <c r="D1116" s="14" t="s">
        <v>1198</v>
      </c>
      <c r="E1116" s="3" t="s">
        <v>38</v>
      </c>
      <c r="F1116" s="14" t="s">
        <v>211</v>
      </c>
      <c r="G1116" s="14" t="s">
        <v>272</v>
      </c>
      <c r="H1116" s="66" t="str">
        <f>Table1[[#This Row],[Tabela]]&amp;Table1[[#This Row],[Campo]]</f>
        <v>modesg_inp_emss_nacecod_nace_esg</v>
      </c>
      <c r="I1116" s="3" t="s">
        <v>477</v>
      </c>
      <c r="J1116" s="48">
        <f>VLOOKUP(Table1[[#This Row],[Status]],Auxiliar!$B$16:$C$23,2,0)</f>
        <v>1</v>
      </c>
      <c r="K1116" s="22" t="s">
        <v>1164</v>
      </c>
      <c r="L1116" s="3" t="s">
        <v>1144</v>
      </c>
      <c r="M1116" s="22" t="s">
        <v>1155</v>
      </c>
      <c r="N1116" s="53">
        <v>45562</v>
      </c>
      <c r="O1116" s="22">
        <f>INDEX(Auxiliar!$D$5:$F$13,MATCH(Table1[[#This Row],[Tipologia_Testes]],Auxiliar!$B$5:$B$13,0),MATCH(Table1[[#This Row],[Complexidade]],Auxiliar!$D$4:$F$4,0))</f>
        <v>0.5</v>
      </c>
      <c r="P1116" s="24" t="s">
        <v>1221</v>
      </c>
      <c r="Q1116" s="3"/>
      <c r="R1116" s="173">
        <v>45261</v>
      </c>
      <c r="S1116" s="173"/>
      <c r="T1116" s="173"/>
      <c r="U1116" s="173"/>
      <c r="V1116" s="173"/>
      <c r="W1116" s="3">
        <f>VLOOKUP(Table1[[#This Row],[Status]],Auxiliar!$B$16:$D$23,3,0)*Table1[[#This Row],[Estimação (horas)]]</f>
        <v>0.5</v>
      </c>
      <c r="X1116" s="3"/>
    </row>
    <row r="1117" spans="2:24" ht="17.399999999999999" hidden="1" customHeight="1">
      <c r="B1117" s="14" t="s">
        <v>28</v>
      </c>
      <c r="C1117" s="14" t="s">
        <v>178</v>
      </c>
      <c r="D1117" s="14" t="s">
        <v>1198</v>
      </c>
      <c r="E1117" s="3" t="s">
        <v>38</v>
      </c>
      <c r="F1117" s="14" t="s">
        <v>211</v>
      </c>
      <c r="G1117" s="14" t="s">
        <v>289</v>
      </c>
      <c r="H1117" s="66" t="str">
        <f>Table1[[#This Row],[Tabela]]&amp;Table1[[#This Row],[Campo]]</f>
        <v>modesg_inp_emss_nacecod_class_indust</v>
      </c>
      <c r="I1117" s="3" t="s">
        <v>477</v>
      </c>
      <c r="J1117" s="48">
        <f>VLOOKUP(Table1[[#This Row],[Status]],Auxiliar!$B$16:$C$23,2,0)</f>
        <v>1</v>
      </c>
      <c r="K1117" s="22" t="s">
        <v>1164</v>
      </c>
      <c r="L1117" s="3" t="s">
        <v>1144</v>
      </c>
      <c r="M1117" s="22" t="s">
        <v>1155</v>
      </c>
      <c r="N1117" s="53">
        <v>45540</v>
      </c>
      <c r="O1117" s="22">
        <f>INDEX(Auxiliar!$D$5:$F$13,MATCH(Table1[[#This Row],[Tipologia_Testes]],Auxiliar!$B$5:$B$13,0),MATCH(Table1[[#This Row],[Complexidade]],Auxiliar!$D$4:$F$4,0))</f>
        <v>0.5</v>
      </c>
      <c r="P1117" s="3"/>
      <c r="Q1117" s="3"/>
      <c r="R1117" s="173">
        <v>45261</v>
      </c>
      <c r="S1117" s="173"/>
      <c r="T1117" s="173"/>
      <c r="U1117" s="173"/>
      <c r="V1117" s="173"/>
      <c r="W1117" s="3">
        <f>VLOOKUP(Table1[[#This Row],[Status]],Auxiliar!$B$16:$D$23,3,0)*Table1[[#This Row],[Estimação (horas)]]</f>
        <v>0.5</v>
      </c>
      <c r="X1117" s="3"/>
    </row>
    <row r="1118" spans="2:24" ht="17.399999999999999" hidden="1" customHeight="1">
      <c r="B1118" s="14" t="s">
        <v>28</v>
      </c>
      <c r="C1118" s="14" t="s">
        <v>178</v>
      </c>
      <c r="D1118" s="14" t="s">
        <v>1198</v>
      </c>
      <c r="E1118" s="3" t="s">
        <v>38</v>
      </c>
      <c r="F1118" s="14" t="s">
        <v>211</v>
      </c>
      <c r="G1118" s="14" t="s">
        <v>1826</v>
      </c>
      <c r="H1118" s="66" t="str">
        <f>Table1[[#This Row],[Tabela]]&amp;Table1[[#This Row],[Campo]]</f>
        <v>modesg_inp_emss_nacenivel_classificacao_1</v>
      </c>
      <c r="I1118" s="3" t="s">
        <v>477</v>
      </c>
      <c r="J1118" s="48">
        <f>VLOOKUP(Table1[[#This Row],[Status]],Auxiliar!$B$16:$C$23,2,0)</f>
        <v>1</v>
      </c>
      <c r="K1118" s="22" t="s">
        <v>1164</v>
      </c>
      <c r="L1118" s="3" t="s">
        <v>502</v>
      </c>
      <c r="M1118" s="22" t="s">
        <v>1155</v>
      </c>
      <c r="N1118" s="53">
        <v>45537</v>
      </c>
      <c r="O1118" s="22">
        <f>INDEX(Auxiliar!$D$5:$F$13,MATCH(Table1[[#This Row],[Tipologia_Testes]],Auxiliar!$B$5:$B$13,0),MATCH(Table1[[#This Row],[Complexidade]],Auxiliar!$D$4:$F$4,0))</f>
        <v>0.5</v>
      </c>
      <c r="P1118" s="3" t="s">
        <v>1866</v>
      </c>
      <c r="Q1118" s="3"/>
      <c r="R1118" s="173">
        <v>45261</v>
      </c>
      <c r="S1118" s="173"/>
      <c r="T1118" s="173"/>
      <c r="U1118" s="173"/>
      <c r="V1118" s="173"/>
      <c r="W1118" s="3">
        <f>VLOOKUP(Table1[[#This Row],[Status]],Auxiliar!$B$16:$D$23,3,0)*Table1[[#This Row],[Estimação (horas)]]</f>
        <v>0.5</v>
      </c>
      <c r="X1118" s="3"/>
    </row>
    <row r="1119" spans="2:24" ht="17.399999999999999" hidden="1" customHeight="1">
      <c r="B1119" s="14" t="s">
        <v>28</v>
      </c>
      <c r="C1119" s="14" t="s">
        <v>178</v>
      </c>
      <c r="D1119" s="14" t="s">
        <v>1198</v>
      </c>
      <c r="E1119" s="3" t="s">
        <v>38</v>
      </c>
      <c r="F1119" s="14" t="s">
        <v>211</v>
      </c>
      <c r="G1119" s="14" t="s">
        <v>1827</v>
      </c>
      <c r="H1119" s="66" t="str">
        <f>Table1[[#This Row],[Tabela]]&amp;Table1[[#This Row],[Campo]]</f>
        <v>modesg_inp_emss_naceclasse_ativo</v>
      </c>
      <c r="I1119" s="3" t="s">
        <v>477</v>
      </c>
      <c r="J1119" s="48">
        <f>VLOOKUP(Table1[[#This Row],[Status]],Auxiliar!$B$16:$C$23,2,0)</f>
        <v>1</v>
      </c>
      <c r="K1119" s="22" t="s">
        <v>1164</v>
      </c>
      <c r="L1119" s="3" t="s">
        <v>502</v>
      </c>
      <c r="M1119" s="22" t="s">
        <v>1155</v>
      </c>
      <c r="N1119" s="53">
        <v>45540</v>
      </c>
      <c r="O1119" s="22">
        <f>INDEX(Auxiliar!$D$5:$F$13,MATCH(Table1[[#This Row],[Tipologia_Testes]],Auxiliar!$B$5:$B$13,0),MATCH(Table1[[#This Row],[Complexidade]],Auxiliar!$D$4:$F$4,0))</f>
        <v>0.5</v>
      </c>
      <c r="P1119" s="3"/>
      <c r="Q1119" s="3"/>
      <c r="R1119" s="173">
        <v>45261</v>
      </c>
      <c r="S1119" s="173"/>
      <c r="T1119" s="173"/>
      <c r="U1119" s="173"/>
      <c r="V1119" s="173"/>
      <c r="W1119" s="3">
        <f>VLOOKUP(Table1[[#This Row],[Status]],Auxiliar!$B$16:$D$23,3,0)*Table1[[#This Row],[Estimação (horas)]]</f>
        <v>0.5</v>
      </c>
      <c r="X1119" s="3"/>
    </row>
    <row r="1120" spans="2:24" ht="17.399999999999999" hidden="1" customHeight="1">
      <c r="B1120" s="14" t="s">
        <v>28</v>
      </c>
      <c r="C1120" s="14" t="s">
        <v>178</v>
      </c>
      <c r="D1120" s="14" t="s">
        <v>1198</v>
      </c>
      <c r="E1120" s="3" t="s">
        <v>38</v>
      </c>
      <c r="F1120" s="14" t="s">
        <v>211</v>
      </c>
      <c r="G1120" s="14" t="s">
        <v>1828</v>
      </c>
      <c r="H1120" s="66" t="str">
        <f>Table1[[#This Row],[Tabela]]&amp;Table1[[#This Row],[Campo]]</f>
        <v>modesg_inp_emss_naceopcao_metodologia</v>
      </c>
      <c r="I1120" s="3" t="s">
        <v>477</v>
      </c>
      <c r="J1120" s="48">
        <f>VLOOKUP(Table1[[#This Row],[Status]],Auxiliar!$B$16:$C$23,2,0)</f>
        <v>1</v>
      </c>
      <c r="K1120" s="22" t="s">
        <v>1164</v>
      </c>
      <c r="L1120" s="3" t="s">
        <v>502</v>
      </c>
      <c r="M1120" s="22" t="s">
        <v>1155</v>
      </c>
      <c r="N1120" s="53">
        <v>45540</v>
      </c>
      <c r="O1120" s="22">
        <f>INDEX(Auxiliar!$D$5:$F$13,MATCH(Table1[[#This Row],[Tipologia_Testes]],Auxiliar!$B$5:$B$13,0),MATCH(Table1[[#This Row],[Complexidade]],Auxiliar!$D$4:$F$4,0))</f>
        <v>0.5</v>
      </c>
      <c r="P1120" s="3"/>
      <c r="Q1120" s="3"/>
      <c r="R1120" s="173">
        <v>45261</v>
      </c>
      <c r="S1120" s="173"/>
      <c r="T1120" s="173"/>
      <c r="U1120" s="173"/>
      <c r="V1120" s="173"/>
      <c r="W1120" s="3">
        <f>VLOOKUP(Table1[[#This Row],[Status]],Auxiliar!$B$16:$D$23,3,0)*Table1[[#This Row],[Estimação (horas)]]</f>
        <v>0.5</v>
      </c>
      <c r="X1120" s="3"/>
    </row>
    <row r="1121" spans="2:24" ht="17.399999999999999" hidden="1" customHeight="1">
      <c r="B1121" s="14" t="s">
        <v>28</v>
      </c>
      <c r="C1121" s="14" t="s">
        <v>178</v>
      </c>
      <c r="D1121" s="14" t="s">
        <v>1198</v>
      </c>
      <c r="E1121" s="3" t="s">
        <v>38</v>
      </c>
      <c r="F1121" s="14" t="s">
        <v>211</v>
      </c>
      <c r="G1121" s="14" t="s">
        <v>222</v>
      </c>
      <c r="H1121" s="66" t="str">
        <f>Table1[[#This Row],[Tabela]]&amp;Table1[[#This Row],[Campo]]</f>
        <v>modesg_inp_emss_naceunidade_funcional</v>
      </c>
      <c r="I1121" s="3" t="s">
        <v>477</v>
      </c>
      <c r="J1121" s="48">
        <f>VLOOKUP(Table1[[#This Row],[Status]],Auxiliar!$B$16:$C$23,2,0)</f>
        <v>1</v>
      </c>
      <c r="K1121" s="22" t="s">
        <v>1141</v>
      </c>
      <c r="L1121" s="3" t="s">
        <v>1144</v>
      </c>
      <c r="M1121" s="22" t="s">
        <v>1155</v>
      </c>
      <c r="N1121" s="53">
        <v>45540</v>
      </c>
      <c r="O1121" s="22">
        <f>INDEX(Auxiliar!$D$5:$F$13,MATCH(Table1[[#This Row],[Tipologia_Testes]],Auxiliar!$B$5:$B$13,0),MATCH(Table1[[#This Row],[Complexidade]],Auxiliar!$D$4:$F$4,0))</f>
        <v>0.1</v>
      </c>
      <c r="P1121" s="3" t="s">
        <v>1222</v>
      </c>
      <c r="Q1121" s="3"/>
      <c r="R1121" s="173">
        <v>45261</v>
      </c>
      <c r="S1121" s="173"/>
      <c r="T1121" s="173"/>
      <c r="U1121" s="173"/>
      <c r="V1121" s="173"/>
      <c r="W1121" s="3">
        <f>VLOOKUP(Table1[[#This Row],[Status]],Auxiliar!$B$16:$D$23,3,0)*Table1[[#This Row],[Estimação (horas)]]</f>
        <v>0.1</v>
      </c>
      <c r="X1121" s="3"/>
    </row>
    <row r="1122" spans="2:24" ht="17.399999999999999" hidden="1" customHeight="1">
      <c r="B1122" s="14" t="s">
        <v>28</v>
      </c>
      <c r="C1122" s="14" t="s">
        <v>178</v>
      </c>
      <c r="D1122" s="14" t="s">
        <v>1198</v>
      </c>
      <c r="E1122" s="3" t="s">
        <v>38</v>
      </c>
      <c r="F1122" s="14" t="s">
        <v>211</v>
      </c>
      <c r="G1122" s="14" t="s">
        <v>222</v>
      </c>
      <c r="H1122" s="66" t="str">
        <f>Table1[[#This Row],[Tabela]]&amp;Table1[[#This Row],[Campo]]</f>
        <v>modesg_inp_emss_naceunidade_funcional</v>
      </c>
      <c r="I1122" s="3" t="s">
        <v>477</v>
      </c>
      <c r="J1122" s="48">
        <f>VLOOKUP(Table1[[#This Row],[Status]],Auxiliar!$B$16:$C$23,2,0)</f>
        <v>1</v>
      </c>
      <c r="K1122" s="22" t="s">
        <v>1164</v>
      </c>
      <c r="L1122" s="3" t="s">
        <v>1144</v>
      </c>
      <c r="M1122" s="22" t="s">
        <v>1155</v>
      </c>
      <c r="N1122" s="53">
        <v>45540</v>
      </c>
      <c r="O1122" s="22">
        <f>INDEX(Auxiliar!$D$5:$F$13,MATCH(Table1[[#This Row],[Tipologia_Testes]],Auxiliar!$B$5:$B$13,0),MATCH(Table1[[#This Row],[Complexidade]],Auxiliar!$D$4:$F$4,0))</f>
        <v>0.5</v>
      </c>
      <c r="P1122" s="3"/>
      <c r="Q1122" s="3"/>
      <c r="R1122" s="173">
        <v>45261</v>
      </c>
      <c r="S1122" s="173"/>
      <c r="T1122" s="173"/>
      <c r="U1122" s="173"/>
      <c r="V1122" s="173"/>
      <c r="W1122" s="3">
        <f>VLOOKUP(Table1[[#This Row],[Status]],Auxiliar!$B$16:$D$23,3,0)*Table1[[#This Row],[Estimação (horas)]]</f>
        <v>0.5</v>
      </c>
      <c r="X1122" s="3"/>
    </row>
    <row r="1123" spans="2:24" ht="17.399999999999999" hidden="1" customHeight="1">
      <c r="B1123" s="14" t="s">
        <v>28</v>
      </c>
      <c r="C1123" s="14" t="s">
        <v>178</v>
      </c>
      <c r="D1123" s="14" t="s">
        <v>1198</v>
      </c>
      <c r="E1123" s="3" t="s">
        <v>38</v>
      </c>
      <c r="F1123" s="14" t="s">
        <v>211</v>
      </c>
      <c r="G1123" s="14" t="s">
        <v>293</v>
      </c>
      <c r="H1123" s="66" t="str">
        <f>Table1[[#This Row],[Tabela]]&amp;Table1[[#This Row],[Campo]]</f>
        <v>modesg_inp_emss_naceunidades_fator_de_emissao</v>
      </c>
      <c r="I1123" s="3" t="s">
        <v>477</v>
      </c>
      <c r="J1123" s="48">
        <f>VLOOKUP(Table1[[#This Row],[Status]],Auxiliar!$B$16:$C$23,2,0)</f>
        <v>1</v>
      </c>
      <c r="K1123" s="22" t="s">
        <v>1164</v>
      </c>
      <c r="L1123" s="3" t="s">
        <v>1144</v>
      </c>
      <c r="M1123" s="22" t="s">
        <v>1155</v>
      </c>
      <c r="N1123" s="53">
        <v>45540</v>
      </c>
      <c r="O1123" s="22">
        <f>INDEX(Auxiliar!$D$5:$F$13,MATCH(Table1[[#This Row],[Tipologia_Testes]],Auxiliar!$B$5:$B$13,0),MATCH(Table1[[#This Row],[Complexidade]],Auxiliar!$D$4:$F$4,0))</f>
        <v>0.5</v>
      </c>
      <c r="P1123" s="3"/>
      <c r="Q1123" s="3"/>
      <c r="R1123" s="173">
        <v>45261</v>
      </c>
      <c r="S1123" s="173"/>
      <c r="T1123" s="173"/>
      <c r="U1123" s="173"/>
      <c r="V1123" s="173"/>
      <c r="W1123" s="3">
        <f>VLOOKUP(Table1[[#This Row],[Status]],Auxiliar!$B$16:$D$23,3,0)*Table1[[#This Row],[Estimação (horas)]]</f>
        <v>0.5</v>
      </c>
      <c r="X1123" s="3"/>
    </row>
    <row r="1124" spans="2:24" ht="17.399999999999999" hidden="1" customHeight="1">
      <c r="B1124" s="14" t="s">
        <v>28</v>
      </c>
      <c r="C1124" s="14" t="s">
        <v>178</v>
      </c>
      <c r="D1124" s="14" t="s">
        <v>1198</v>
      </c>
      <c r="E1124" s="3" t="s">
        <v>38</v>
      </c>
      <c r="F1124" s="14" t="s">
        <v>211</v>
      </c>
      <c r="G1124" s="14" t="s">
        <v>50</v>
      </c>
      <c r="H1124" s="66" t="str">
        <f>Table1[[#This Row],[Tabela]]&amp;Table1[[#This Row],[Campo]]</f>
        <v>modesg_inp_emss_nacescore_qualidade</v>
      </c>
      <c r="I1124" s="3" t="s">
        <v>477</v>
      </c>
      <c r="J1124" s="48">
        <f>VLOOKUP(Table1[[#This Row],[Status]],Auxiliar!$B$16:$C$23,2,0)</f>
        <v>1</v>
      </c>
      <c r="K1124" s="22" t="s">
        <v>1164</v>
      </c>
      <c r="L1124" s="3" t="s">
        <v>1135</v>
      </c>
      <c r="M1124" s="22" t="s">
        <v>1155</v>
      </c>
      <c r="N1124" s="53">
        <v>45540</v>
      </c>
      <c r="O1124" s="22">
        <f>INDEX(Auxiliar!$D$5:$F$13,MATCH(Table1[[#This Row],[Tipologia_Testes]],Auxiliar!$B$5:$B$13,0),MATCH(Table1[[#This Row],[Complexidade]],Auxiliar!$D$4:$F$4,0))</f>
        <v>0.5</v>
      </c>
      <c r="P1124" s="3" t="s">
        <v>1208</v>
      </c>
      <c r="Q1124" s="3"/>
      <c r="R1124" s="173">
        <v>45261</v>
      </c>
      <c r="S1124" s="173"/>
      <c r="T1124" s="173"/>
      <c r="U1124" s="173"/>
      <c r="V1124" s="173"/>
      <c r="W1124" s="3">
        <f>VLOOKUP(Table1[[#This Row],[Status]],Auxiliar!$B$16:$D$23,3,0)*Table1[[#This Row],[Estimação (horas)]]</f>
        <v>0.5</v>
      </c>
      <c r="X1124" s="3"/>
    </row>
    <row r="1125" spans="2:24" ht="17.399999999999999" hidden="1" customHeight="1">
      <c r="B1125" s="14" t="s">
        <v>28</v>
      </c>
      <c r="C1125" s="14" t="s">
        <v>178</v>
      </c>
      <c r="D1125" s="14" t="s">
        <v>1198</v>
      </c>
      <c r="E1125" s="3" t="s">
        <v>38</v>
      </c>
      <c r="F1125" s="14" t="s">
        <v>211</v>
      </c>
      <c r="G1125" s="14" t="s">
        <v>225</v>
      </c>
      <c r="H1125" s="66" t="str">
        <f>Table1[[#This Row],[Tabela]]&amp;Table1[[#This Row],[Campo]]</f>
        <v>modesg_inp_emss_nacescp1_ftr_emss</v>
      </c>
      <c r="I1125" s="3" t="s">
        <v>477</v>
      </c>
      <c r="J1125" s="48">
        <f>VLOOKUP(Table1[[#This Row],[Status]],Auxiliar!$B$16:$C$23,2,0)</f>
        <v>1</v>
      </c>
      <c r="K1125" s="22" t="s">
        <v>1141</v>
      </c>
      <c r="L1125" s="3" t="s">
        <v>1144</v>
      </c>
      <c r="M1125" s="22" t="s">
        <v>1155</v>
      </c>
      <c r="N1125" s="53">
        <v>45562</v>
      </c>
      <c r="O1125" s="22">
        <f>INDEX(Auxiliar!$D$5:$F$13,MATCH(Table1[[#This Row],[Tipologia_Testes]],Auxiliar!$B$5:$B$13,0),MATCH(Table1[[#This Row],[Complexidade]],Auxiliar!$D$4:$F$4,0))</f>
        <v>0.1</v>
      </c>
      <c r="P1125" s="3" t="s">
        <v>1223</v>
      </c>
      <c r="Q1125" s="3"/>
      <c r="R1125" s="173">
        <v>45261</v>
      </c>
      <c r="S1125" s="173"/>
      <c r="T1125" s="173"/>
      <c r="U1125" s="173"/>
      <c r="V1125" s="173"/>
      <c r="W1125" s="3">
        <f>VLOOKUP(Table1[[#This Row],[Status]],Auxiliar!$B$16:$D$23,3,0)*Table1[[#This Row],[Estimação (horas)]]</f>
        <v>0.1</v>
      </c>
      <c r="X1125" s="3"/>
    </row>
    <row r="1126" spans="2:24" ht="17.399999999999999" hidden="1" customHeight="1">
      <c r="B1126" s="14" t="s">
        <v>28</v>
      </c>
      <c r="C1126" s="14" t="s">
        <v>178</v>
      </c>
      <c r="D1126" s="14" t="s">
        <v>1198</v>
      </c>
      <c r="E1126" s="3" t="s">
        <v>38</v>
      </c>
      <c r="F1126" s="14" t="s">
        <v>211</v>
      </c>
      <c r="G1126" s="14" t="s">
        <v>225</v>
      </c>
      <c r="H1126" s="66" t="str">
        <f>Table1[[#This Row],[Tabela]]&amp;Table1[[#This Row],[Campo]]</f>
        <v>modesg_inp_emss_nacescp1_ftr_emss</v>
      </c>
      <c r="I1126" s="3" t="s">
        <v>477</v>
      </c>
      <c r="J1126" s="48">
        <f>VLOOKUP(Table1[[#This Row],[Status]],Auxiliar!$B$16:$C$23,2,0)</f>
        <v>1</v>
      </c>
      <c r="K1126" s="22" t="s">
        <v>1164</v>
      </c>
      <c r="L1126" s="3" t="s">
        <v>1144</v>
      </c>
      <c r="M1126" s="22" t="s">
        <v>1155</v>
      </c>
      <c r="N1126" s="53">
        <v>45562</v>
      </c>
      <c r="O1126" s="22">
        <f>INDEX(Auxiliar!$D$5:$F$13,MATCH(Table1[[#This Row],[Tipologia_Testes]],Auxiliar!$B$5:$B$13,0),MATCH(Table1[[#This Row],[Complexidade]],Auxiliar!$D$4:$F$4,0))</f>
        <v>0.5</v>
      </c>
      <c r="P1126" s="3"/>
      <c r="Q1126" s="3"/>
      <c r="R1126" s="173">
        <v>45261</v>
      </c>
      <c r="S1126" s="173"/>
      <c r="T1126" s="173"/>
      <c r="U1126" s="173"/>
      <c r="V1126" s="173"/>
      <c r="W1126" s="3">
        <f>VLOOKUP(Table1[[#This Row],[Status]],Auxiliar!$B$16:$D$23,3,0)*Table1[[#This Row],[Estimação (horas)]]</f>
        <v>0.5</v>
      </c>
      <c r="X1126" s="3"/>
    </row>
    <row r="1127" spans="2:24" ht="17.399999999999999" hidden="1" customHeight="1">
      <c r="B1127" s="14" t="s">
        <v>28</v>
      </c>
      <c r="C1127" s="14" t="s">
        <v>178</v>
      </c>
      <c r="D1127" s="14" t="s">
        <v>1198</v>
      </c>
      <c r="E1127" s="3" t="s">
        <v>38</v>
      </c>
      <c r="F1127" s="14" t="s">
        <v>211</v>
      </c>
      <c r="G1127" s="14" t="s">
        <v>226</v>
      </c>
      <c r="H1127" s="66" t="str">
        <f>Table1[[#This Row],[Tabela]]&amp;Table1[[#This Row],[Campo]]</f>
        <v>modesg_inp_emss_nacescp2_ftr_emss</v>
      </c>
      <c r="I1127" s="3" t="s">
        <v>477</v>
      </c>
      <c r="J1127" s="48">
        <f>VLOOKUP(Table1[[#This Row],[Status]],Auxiliar!$B$16:$C$23,2,0)</f>
        <v>1</v>
      </c>
      <c r="K1127" s="22" t="s">
        <v>1141</v>
      </c>
      <c r="L1127" s="3" t="s">
        <v>1144</v>
      </c>
      <c r="M1127" s="22" t="s">
        <v>1155</v>
      </c>
      <c r="N1127" s="53">
        <v>45562</v>
      </c>
      <c r="O1127" s="22">
        <f>INDEX(Auxiliar!$D$5:$F$13,MATCH(Table1[[#This Row],[Tipologia_Testes]],Auxiliar!$B$5:$B$13,0),MATCH(Table1[[#This Row],[Complexidade]],Auxiliar!$D$4:$F$4,0))</f>
        <v>0.1</v>
      </c>
      <c r="P1127" s="3" t="s">
        <v>1223</v>
      </c>
      <c r="Q1127" s="3"/>
      <c r="R1127" s="173">
        <v>45261</v>
      </c>
      <c r="S1127" s="173"/>
      <c r="T1127" s="173"/>
      <c r="U1127" s="173"/>
      <c r="V1127" s="173"/>
      <c r="W1127" s="3">
        <f>VLOOKUP(Table1[[#This Row],[Status]],Auxiliar!$B$16:$D$23,3,0)*Table1[[#This Row],[Estimação (horas)]]</f>
        <v>0.1</v>
      </c>
      <c r="X1127" s="3"/>
    </row>
    <row r="1128" spans="2:24" ht="17.399999999999999" hidden="1" customHeight="1">
      <c r="B1128" s="14" t="s">
        <v>28</v>
      </c>
      <c r="C1128" s="14" t="s">
        <v>178</v>
      </c>
      <c r="D1128" s="14" t="s">
        <v>1198</v>
      </c>
      <c r="E1128" s="3" t="s">
        <v>38</v>
      </c>
      <c r="F1128" s="14" t="s">
        <v>211</v>
      </c>
      <c r="G1128" s="14" t="s">
        <v>226</v>
      </c>
      <c r="H1128" s="66" t="str">
        <f>Table1[[#This Row],[Tabela]]&amp;Table1[[#This Row],[Campo]]</f>
        <v>modesg_inp_emss_nacescp2_ftr_emss</v>
      </c>
      <c r="I1128" s="3" t="s">
        <v>477</v>
      </c>
      <c r="J1128" s="48">
        <f>VLOOKUP(Table1[[#This Row],[Status]],Auxiliar!$B$16:$C$23,2,0)</f>
        <v>1</v>
      </c>
      <c r="K1128" s="22" t="s">
        <v>1164</v>
      </c>
      <c r="L1128" s="3" t="s">
        <v>1144</v>
      </c>
      <c r="M1128" s="22" t="s">
        <v>1155</v>
      </c>
      <c r="N1128" s="53">
        <v>45562</v>
      </c>
      <c r="O1128" s="22">
        <f>INDEX(Auxiliar!$D$5:$F$13,MATCH(Table1[[#This Row],[Tipologia_Testes]],Auxiliar!$B$5:$B$13,0),MATCH(Table1[[#This Row],[Complexidade]],Auxiliar!$D$4:$F$4,0))</f>
        <v>0.5</v>
      </c>
      <c r="P1128" s="3"/>
      <c r="Q1128" s="3"/>
      <c r="R1128" s="173">
        <v>45261</v>
      </c>
      <c r="S1128" s="173"/>
      <c r="T1128" s="173"/>
      <c r="U1128" s="173"/>
      <c r="V1128" s="173"/>
      <c r="W1128" s="3">
        <f>VLOOKUP(Table1[[#This Row],[Status]],Auxiliar!$B$16:$D$23,3,0)*Table1[[#This Row],[Estimação (horas)]]</f>
        <v>0.5</v>
      </c>
      <c r="X1128" s="3"/>
    </row>
    <row r="1129" spans="2:24" ht="17.399999999999999" hidden="1" customHeight="1">
      <c r="B1129" s="14" t="s">
        <v>28</v>
      </c>
      <c r="C1129" s="14" t="s">
        <v>178</v>
      </c>
      <c r="D1129" s="14" t="s">
        <v>1198</v>
      </c>
      <c r="E1129" s="3" t="s">
        <v>38</v>
      </c>
      <c r="F1129" s="14" t="s">
        <v>211</v>
      </c>
      <c r="G1129" s="14" t="s">
        <v>227</v>
      </c>
      <c r="H1129" s="66" t="str">
        <f>Table1[[#This Row],[Tabela]]&amp;Table1[[#This Row],[Campo]]</f>
        <v>modesg_inp_emss_nacescp3_ftr_emss</v>
      </c>
      <c r="I1129" s="3" t="s">
        <v>477</v>
      </c>
      <c r="J1129" s="48">
        <f>VLOOKUP(Table1[[#This Row],[Status]],Auxiliar!$B$16:$C$23,2,0)</f>
        <v>1</v>
      </c>
      <c r="K1129" s="22" t="s">
        <v>1141</v>
      </c>
      <c r="L1129" s="3" t="s">
        <v>1144</v>
      </c>
      <c r="M1129" s="22" t="s">
        <v>1155</v>
      </c>
      <c r="N1129" s="53">
        <v>45562</v>
      </c>
      <c r="O1129" s="22">
        <f>INDEX(Auxiliar!$D$5:$F$13,MATCH(Table1[[#This Row],[Tipologia_Testes]],Auxiliar!$B$5:$B$13,0),MATCH(Table1[[#This Row],[Complexidade]],Auxiliar!$D$4:$F$4,0))</f>
        <v>0.1</v>
      </c>
      <c r="P1129" s="3" t="s">
        <v>1223</v>
      </c>
      <c r="Q1129" s="3"/>
      <c r="R1129" s="173">
        <v>45261</v>
      </c>
      <c r="S1129" s="173"/>
      <c r="T1129" s="173"/>
      <c r="U1129" s="173"/>
      <c r="V1129" s="173"/>
      <c r="W1129" s="3">
        <f>VLOOKUP(Table1[[#This Row],[Status]],Auxiliar!$B$16:$D$23,3,0)*Table1[[#This Row],[Estimação (horas)]]</f>
        <v>0.1</v>
      </c>
      <c r="X1129" s="3"/>
    </row>
    <row r="1130" spans="2:24" ht="17.399999999999999" hidden="1" customHeight="1">
      <c r="B1130" s="14" t="s">
        <v>28</v>
      </c>
      <c r="C1130" s="14" t="s">
        <v>178</v>
      </c>
      <c r="D1130" s="14" t="s">
        <v>1198</v>
      </c>
      <c r="E1130" s="3" t="s">
        <v>38</v>
      </c>
      <c r="F1130" s="14" t="s">
        <v>211</v>
      </c>
      <c r="G1130" s="14" t="s">
        <v>227</v>
      </c>
      <c r="H1130" s="66" t="str">
        <f>Table1[[#This Row],[Tabela]]&amp;Table1[[#This Row],[Campo]]</f>
        <v>modesg_inp_emss_nacescp3_ftr_emss</v>
      </c>
      <c r="I1130" s="3" t="s">
        <v>477</v>
      </c>
      <c r="J1130" s="48">
        <f>VLOOKUP(Table1[[#This Row],[Status]],Auxiliar!$B$16:$C$23,2,0)</f>
        <v>1</v>
      </c>
      <c r="K1130" s="22" t="s">
        <v>1164</v>
      </c>
      <c r="L1130" s="3" t="s">
        <v>1144</v>
      </c>
      <c r="M1130" s="22" t="s">
        <v>1155</v>
      </c>
      <c r="N1130" s="53">
        <v>45562</v>
      </c>
      <c r="O1130" s="22">
        <f>INDEX(Auxiliar!$D$5:$F$13,MATCH(Table1[[#This Row],[Tipologia_Testes]],Auxiliar!$B$5:$B$13,0),MATCH(Table1[[#This Row],[Complexidade]],Auxiliar!$D$4:$F$4,0))</f>
        <v>0.5</v>
      </c>
      <c r="P1130" s="3"/>
      <c r="Q1130" s="3"/>
      <c r="R1130" s="173">
        <v>45261</v>
      </c>
      <c r="S1130" s="173"/>
      <c r="T1130" s="173"/>
      <c r="U1130" s="173"/>
      <c r="V1130" s="173"/>
      <c r="W1130" s="3">
        <f>VLOOKUP(Table1[[#This Row],[Status]],Auxiliar!$B$16:$D$23,3,0)*Table1[[#This Row],[Estimação (horas)]]</f>
        <v>0.5</v>
      </c>
      <c r="X1130" s="3"/>
    </row>
    <row r="1131" spans="2:24" ht="17.399999999999999" hidden="1" customHeight="1">
      <c r="B1131" s="14" t="s">
        <v>28</v>
      </c>
      <c r="C1131" s="14" t="s">
        <v>178</v>
      </c>
      <c r="D1131" s="14" t="s">
        <v>1198</v>
      </c>
      <c r="E1131" s="3" t="s">
        <v>38</v>
      </c>
      <c r="F1131" s="14" t="s">
        <v>212</v>
      </c>
      <c r="G1131" s="14" t="s">
        <v>73</v>
      </c>
      <c r="H1131" s="66" t="str">
        <f>Table1[[#This Row],[Tabela]]&amp;Table1[[#This Row],[Campo]]</f>
        <v>modesg_inp_emss_bens_imoveisref_date</v>
      </c>
      <c r="I1131" s="3" t="s">
        <v>477</v>
      </c>
      <c r="J1131" s="48">
        <f>VLOOKUP(Table1[[#This Row],[Status]],Auxiliar!$B$16:$C$23,2,0)</f>
        <v>1</v>
      </c>
      <c r="K1131" s="22" t="s">
        <v>1164</v>
      </c>
      <c r="L1131" s="22" t="s">
        <v>1144</v>
      </c>
      <c r="M1131" s="22" t="s">
        <v>1155</v>
      </c>
      <c r="N1131" s="53">
        <v>45546</v>
      </c>
      <c r="O1131" s="22">
        <f>INDEX(Auxiliar!$D$5:$F$13,MATCH(Table1[[#This Row],[Tipologia_Testes]],Auxiliar!$B$5:$B$13,0),MATCH(Table1[[#This Row],[Complexidade]],Auxiliar!$D$4:$F$4,0))</f>
        <v>0.5</v>
      </c>
      <c r="P1131" s="3"/>
      <c r="Q1131" s="3"/>
      <c r="R1131" s="173">
        <v>45261</v>
      </c>
      <c r="S1131" s="173"/>
      <c r="T1131" s="173"/>
      <c r="U1131" s="173">
        <v>45534</v>
      </c>
      <c r="V1131" s="173">
        <v>45534</v>
      </c>
      <c r="W1131" s="3">
        <f>VLOOKUP(Table1[[#This Row],[Status]],Auxiliar!$B$16:$D$23,3,0)*Table1[[#This Row],[Estimação (horas)]]</f>
        <v>0.5</v>
      </c>
      <c r="X1131" s="3"/>
    </row>
    <row r="1132" spans="2:24" ht="17.399999999999999" hidden="1" customHeight="1">
      <c r="B1132" s="14" t="s">
        <v>28</v>
      </c>
      <c r="C1132" s="14" t="s">
        <v>178</v>
      </c>
      <c r="D1132" s="14" t="s">
        <v>1198</v>
      </c>
      <c r="E1132" s="3" t="s">
        <v>38</v>
      </c>
      <c r="F1132" s="14" t="s">
        <v>212</v>
      </c>
      <c r="G1132" s="14" t="s">
        <v>214</v>
      </c>
      <c r="H1132" s="66" t="str">
        <f>Table1[[#This Row],[Tabela]]&amp;Table1[[#This Row],[Campo]]</f>
        <v>modesg_inp_emss_bens_imoveisnome_pais</v>
      </c>
      <c r="I1132" s="3" t="s">
        <v>477</v>
      </c>
      <c r="J1132" s="48">
        <f>VLOOKUP(Table1[[#This Row],[Status]],Auxiliar!$B$16:$C$23,2,0)</f>
        <v>1</v>
      </c>
      <c r="K1132" s="22" t="s">
        <v>1164</v>
      </c>
      <c r="L1132" s="22" t="s">
        <v>1144</v>
      </c>
      <c r="M1132" s="22" t="s">
        <v>1155</v>
      </c>
      <c r="N1132" s="53">
        <v>45546</v>
      </c>
      <c r="O1132" s="22">
        <f>INDEX(Auxiliar!$D$5:$F$13,MATCH(Table1[[#This Row],[Tipologia_Testes]],Auxiliar!$B$5:$B$13,0),MATCH(Table1[[#This Row],[Complexidade]],Auxiliar!$D$4:$F$4,0))</f>
        <v>0.5</v>
      </c>
      <c r="P1132" s="3"/>
      <c r="Q1132" s="3"/>
      <c r="R1132" s="173">
        <v>45261</v>
      </c>
      <c r="S1132" s="173"/>
      <c r="T1132" s="173"/>
      <c r="U1132" s="173">
        <v>45534</v>
      </c>
      <c r="V1132" s="173">
        <v>45534</v>
      </c>
      <c r="W1132" s="3">
        <f>VLOOKUP(Table1[[#This Row],[Status]],Auxiliar!$B$16:$D$23,3,0)*Table1[[#This Row],[Estimação (horas)]]</f>
        <v>0.5</v>
      </c>
      <c r="X1132" s="3"/>
    </row>
    <row r="1133" spans="2:24" ht="17.399999999999999" hidden="1" customHeight="1">
      <c r="B1133" s="14" t="s">
        <v>28</v>
      </c>
      <c r="C1133" s="14" t="s">
        <v>178</v>
      </c>
      <c r="D1133" s="14" t="s">
        <v>1198</v>
      </c>
      <c r="E1133" s="3" t="s">
        <v>38</v>
      </c>
      <c r="F1133" s="14" t="s">
        <v>212</v>
      </c>
      <c r="G1133" s="14" t="s">
        <v>215</v>
      </c>
      <c r="H1133" s="66" t="str">
        <f>Table1[[#This Row],[Tabela]]&amp;Table1[[#This Row],[Campo]]</f>
        <v>modesg_inp_emss_bens_imoveisnome_estado</v>
      </c>
      <c r="I1133" s="3" t="s">
        <v>477</v>
      </c>
      <c r="J1133" s="48">
        <f>VLOOKUP(Table1[[#This Row],[Status]],Auxiliar!$B$16:$C$23,2,0)</f>
        <v>1</v>
      </c>
      <c r="K1133" s="22" t="s">
        <v>1164</v>
      </c>
      <c r="L1133" s="22" t="s">
        <v>1144</v>
      </c>
      <c r="M1133" s="22" t="s">
        <v>1155</v>
      </c>
      <c r="N1133" s="53">
        <v>45546</v>
      </c>
      <c r="O1133" s="22">
        <f>INDEX(Auxiliar!$D$5:$F$13,MATCH(Table1[[#This Row],[Tipologia_Testes]],Auxiliar!$B$5:$B$13,0),MATCH(Table1[[#This Row],[Complexidade]],Auxiliar!$D$4:$F$4,0))</f>
        <v>0.5</v>
      </c>
      <c r="P1133" s="3"/>
      <c r="Q1133" s="3"/>
      <c r="R1133" s="173">
        <v>45261</v>
      </c>
      <c r="S1133" s="173"/>
      <c r="T1133" s="173"/>
      <c r="U1133" s="173">
        <v>45534</v>
      </c>
      <c r="V1133" s="173">
        <v>45534</v>
      </c>
      <c r="W1133" s="3">
        <f>VLOOKUP(Table1[[#This Row],[Status]],Auxiliar!$B$16:$D$23,3,0)*Table1[[#This Row],[Estimação (horas)]]</f>
        <v>0.5</v>
      </c>
      <c r="X1133" s="3"/>
    </row>
    <row r="1134" spans="2:24" ht="17.399999999999999" hidden="1" customHeight="1">
      <c r="B1134" s="14" t="s">
        <v>28</v>
      </c>
      <c r="C1134" s="14" t="s">
        <v>178</v>
      </c>
      <c r="D1134" s="14" t="s">
        <v>1198</v>
      </c>
      <c r="E1134" s="3" t="s">
        <v>38</v>
      </c>
      <c r="F1134" s="14" t="s">
        <v>212</v>
      </c>
      <c r="G1134" s="73" t="s">
        <v>1827</v>
      </c>
      <c r="H1134" s="66" t="str">
        <f>Table1[[#This Row],[Tabela]]&amp;Table1[[#This Row],[Campo]]</f>
        <v>modesg_inp_emss_bens_imoveisclasse_ativo</v>
      </c>
      <c r="I1134" s="3" t="s">
        <v>477</v>
      </c>
      <c r="J1134" s="48">
        <f>VLOOKUP(Table1[[#This Row],[Status]],Auxiliar!$B$16:$C$23,2,0)</f>
        <v>1</v>
      </c>
      <c r="K1134" s="22" t="s">
        <v>1164</v>
      </c>
      <c r="L1134" s="3" t="s">
        <v>502</v>
      </c>
      <c r="M1134" s="22" t="s">
        <v>1155</v>
      </c>
      <c r="N1134" s="53">
        <v>45546</v>
      </c>
      <c r="O1134" s="22">
        <f>INDEX(Auxiliar!$D$5:$F$13,MATCH(Table1[[#This Row],[Tipologia_Testes]],Auxiliar!$B$5:$B$13,0),MATCH(Table1[[#This Row],[Complexidade]],Auxiliar!$D$4:$F$4,0))</f>
        <v>0.5</v>
      </c>
      <c r="P1134" s="3"/>
      <c r="Q1134" s="3"/>
      <c r="R1134" s="173">
        <v>45261</v>
      </c>
      <c r="S1134" s="173"/>
      <c r="T1134" s="173"/>
      <c r="U1134" s="173">
        <v>45534</v>
      </c>
      <c r="V1134" s="173">
        <v>45534</v>
      </c>
      <c r="W1134" s="3">
        <f>VLOOKUP(Table1[[#This Row],[Status]],Auxiliar!$B$16:$D$23,3,0)*Table1[[#This Row],[Estimação (horas)]]</f>
        <v>0.5</v>
      </c>
      <c r="X1134" s="3"/>
    </row>
    <row r="1135" spans="2:24" ht="17.399999999999999" hidden="1" customHeight="1">
      <c r="B1135" s="14" t="s">
        <v>28</v>
      </c>
      <c r="C1135" s="14" t="s">
        <v>178</v>
      </c>
      <c r="D1135" s="14" t="s">
        <v>1198</v>
      </c>
      <c r="E1135" s="3" t="s">
        <v>38</v>
      </c>
      <c r="F1135" s="14" t="s">
        <v>212</v>
      </c>
      <c r="G1135" s="14" t="s">
        <v>1225</v>
      </c>
      <c r="H1135" s="66" t="str">
        <f>Table1[[#This Row],[Tabela]]&amp;Table1[[#This Row],[Campo]]</f>
        <v>modesg_inp_emss_bens_imoveistipo_fator_emissao</v>
      </c>
      <c r="I1135" s="3" t="s">
        <v>477</v>
      </c>
      <c r="J1135" s="48">
        <f>VLOOKUP(Table1[[#This Row],[Status]],Auxiliar!$B$16:$C$23,2,0)</f>
        <v>1</v>
      </c>
      <c r="K1135" s="22" t="s">
        <v>1164</v>
      </c>
      <c r="L1135" s="3" t="s">
        <v>502</v>
      </c>
      <c r="M1135" s="22" t="s">
        <v>1155</v>
      </c>
      <c r="N1135" s="53">
        <v>45546</v>
      </c>
      <c r="O1135" s="22">
        <f>INDEX(Auxiliar!$D$5:$F$13,MATCH(Table1[[#This Row],[Tipologia_Testes]],Auxiliar!$B$5:$B$13,0),MATCH(Table1[[#This Row],[Complexidade]],Auxiliar!$D$4:$F$4,0))</f>
        <v>0.5</v>
      </c>
      <c r="P1135" s="3"/>
      <c r="Q1135" s="3"/>
      <c r="R1135" s="173">
        <v>45261</v>
      </c>
      <c r="S1135" s="173"/>
      <c r="T1135" s="173"/>
      <c r="U1135" s="173">
        <v>45534</v>
      </c>
      <c r="V1135" s="173">
        <v>45534</v>
      </c>
      <c r="W1135" s="3">
        <f>VLOOKUP(Table1[[#This Row],[Status]],Auxiliar!$B$16:$D$23,3,0)*Table1[[#This Row],[Estimação (horas)]]</f>
        <v>0.5</v>
      </c>
      <c r="X1135" s="3"/>
    </row>
    <row r="1136" spans="2:24" ht="17.399999999999999" hidden="1" customHeight="1">
      <c r="B1136" s="14" t="s">
        <v>28</v>
      </c>
      <c r="C1136" s="14" t="s">
        <v>178</v>
      </c>
      <c r="D1136" s="14" t="s">
        <v>1198</v>
      </c>
      <c r="E1136" s="3" t="s">
        <v>38</v>
      </c>
      <c r="F1136" s="14" t="s">
        <v>212</v>
      </c>
      <c r="G1136" s="14" t="s">
        <v>1854</v>
      </c>
      <c r="H1136" s="66" t="str">
        <f>Table1[[#This Row],[Tabela]]&amp;Table1[[#This Row],[Campo]]</f>
        <v>modesg_inp_emss_bens_imoveisregiao</v>
      </c>
      <c r="I1136" s="3" t="s">
        <v>477</v>
      </c>
      <c r="J1136" s="48">
        <f>VLOOKUP(Table1[[#This Row],[Status]],Auxiliar!$B$16:$C$23,2,0)</f>
        <v>1</v>
      </c>
      <c r="K1136" s="22" t="s">
        <v>1164</v>
      </c>
      <c r="L1136" s="3" t="s">
        <v>502</v>
      </c>
      <c r="M1136" s="22" t="s">
        <v>1155</v>
      </c>
      <c r="N1136" s="53">
        <v>45546</v>
      </c>
      <c r="O1136" s="22">
        <f>INDEX(Auxiliar!$D$5:$F$13,MATCH(Table1[[#This Row],[Tipologia_Testes]],Auxiliar!$B$5:$B$13,0),MATCH(Table1[[#This Row],[Complexidade]],Auxiliar!$D$4:$F$4,0))</f>
        <v>0.5</v>
      </c>
      <c r="P1136" s="3"/>
      <c r="Q1136" s="3"/>
      <c r="R1136" s="173">
        <v>45261</v>
      </c>
      <c r="S1136" s="173"/>
      <c r="T1136" s="173"/>
      <c r="U1136" s="173">
        <v>45534</v>
      </c>
      <c r="V1136" s="173">
        <v>45534</v>
      </c>
      <c r="W1136" s="3">
        <f>VLOOKUP(Table1[[#This Row],[Status]],Auxiliar!$B$16:$D$23,3,0)*Table1[[#This Row],[Estimação (horas)]]</f>
        <v>0.5</v>
      </c>
      <c r="X1136" s="3"/>
    </row>
    <row r="1137" spans="2:24" ht="17.399999999999999" hidden="1" customHeight="1">
      <c r="B1137" s="14" t="s">
        <v>28</v>
      </c>
      <c r="C1137" s="14" t="s">
        <v>178</v>
      </c>
      <c r="D1137" s="14" t="s">
        <v>1198</v>
      </c>
      <c r="E1137" s="3" t="s">
        <v>38</v>
      </c>
      <c r="F1137" s="14" t="s">
        <v>212</v>
      </c>
      <c r="G1137" s="14" t="s">
        <v>295</v>
      </c>
      <c r="H1137" s="66" t="str">
        <f>Table1[[#This Row],[Tabela]]&amp;Table1[[#This Row],[Campo]]</f>
        <v>modesg_inp_emss_bens_imoveistipo_bem</v>
      </c>
      <c r="I1137" s="3" t="s">
        <v>477</v>
      </c>
      <c r="J1137" s="48">
        <f>VLOOKUP(Table1[[#This Row],[Status]],Auxiliar!$B$16:$C$23,2,0)</f>
        <v>1</v>
      </c>
      <c r="K1137" s="22" t="s">
        <v>1164</v>
      </c>
      <c r="L1137" s="22" t="s">
        <v>1144</v>
      </c>
      <c r="M1137" s="22" t="s">
        <v>1155</v>
      </c>
      <c r="N1137" s="53">
        <v>45546</v>
      </c>
      <c r="O1137" s="22">
        <f>INDEX(Auxiliar!$D$5:$F$13,MATCH(Table1[[#This Row],[Tipologia_Testes]],Auxiliar!$B$5:$B$13,0),MATCH(Table1[[#This Row],[Complexidade]],Auxiliar!$D$4:$F$4,0))</f>
        <v>0.5</v>
      </c>
      <c r="P1137" s="3"/>
      <c r="Q1137" s="3"/>
      <c r="R1137" s="173">
        <v>45261</v>
      </c>
      <c r="S1137" s="173"/>
      <c r="T1137" s="173"/>
      <c r="U1137" s="173">
        <v>45534</v>
      </c>
      <c r="V1137" s="173">
        <v>45534</v>
      </c>
      <c r="W1137" s="3">
        <f>VLOOKUP(Table1[[#This Row],[Status]],Auxiliar!$B$16:$D$23,3,0)*Table1[[#This Row],[Estimação (horas)]]</f>
        <v>0.5</v>
      </c>
      <c r="X1137" s="3"/>
    </row>
    <row r="1138" spans="2:24" ht="17.399999999999999" hidden="1" customHeight="1">
      <c r="B1138" s="14" t="s">
        <v>28</v>
      </c>
      <c r="C1138" s="14" t="s">
        <v>178</v>
      </c>
      <c r="D1138" s="14" t="s">
        <v>1198</v>
      </c>
      <c r="E1138" s="3" t="s">
        <v>38</v>
      </c>
      <c r="F1138" s="14" t="s">
        <v>212</v>
      </c>
      <c r="G1138" s="14" t="s">
        <v>296</v>
      </c>
      <c r="H1138" s="66" t="str">
        <f>Table1[[#This Row],[Tabela]]&amp;Table1[[#This Row],[Campo]]</f>
        <v>modesg_inp_emss_bens_imoveistipo_finalidade_bem</v>
      </c>
      <c r="I1138" s="3" t="s">
        <v>477</v>
      </c>
      <c r="J1138" s="48">
        <f>VLOOKUP(Table1[[#This Row],[Status]],Auxiliar!$B$16:$C$23,2,0)</f>
        <v>1</v>
      </c>
      <c r="K1138" s="22" t="s">
        <v>1164</v>
      </c>
      <c r="L1138" s="22" t="s">
        <v>1144</v>
      </c>
      <c r="M1138" s="22" t="s">
        <v>1155</v>
      </c>
      <c r="N1138" s="53">
        <v>45546</v>
      </c>
      <c r="O1138" s="22">
        <f>INDEX(Auxiliar!$D$5:$F$13,MATCH(Table1[[#This Row],[Tipologia_Testes]],Auxiliar!$B$5:$B$13,0),MATCH(Table1[[#This Row],[Complexidade]],Auxiliar!$D$4:$F$4,0))</f>
        <v>0.5</v>
      </c>
      <c r="P1138" s="3"/>
      <c r="Q1138" s="3"/>
      <c r="R1138" s="173">
        <v>45261</v>
      </c>
      <c r="S1138" s="173"/>
      <c r="T1138" s="173"/>
      <c r="U1138" s="173">
        <v>45534</v>
      </c>
      <c r="V1138" s="173">
        <v>45534</v>
      </c>
      <c r="W1138" s="3">
        <f>VLOOKUP(Table1[[#This Row],[Status]],Auxiliar!$B$16:$D$23,3,0)*Table1[[#This Row],[Estimação (horas)]]</f>
        <v>0.5</v>
      </c>
      <c r="X1138" s="3"/>
    </row>
    <row r="1139" spans="2:24" ht="17.399999999999999" hidden="1" customHeight="1">
      <c r="B1139" s="14" t="s">
        <v>28</v>
      </c>
      <c r="C1139" s="14" t="s">
        <v>178</v>
      </c>
      <c r="D1139" s="14" t="s">
        <v>1198</v>
      </c>
      <c r="E1139" s="3" t="s">
        <v>38</v>
      </c>
      <c r="F1139" s="14" t="s">
        <v>212</v>
      </c>
      <c r="G1139" s="14" t="s">
        <v>47</v>
      </c>
      <c r="H1139" s="66" t="str">
        <f>Table1[[#This Row],[Tabela]]&amp;Table1[[#This Row],[Campo]]</f>
        <v>modesg_inp_emss_bens_imoveisepc</v>
      </c>
      <c r="I1139" s="3" t="s">
        <v>477</v>
      </c>
      <c r="J1139" s="48">
        <f>VLOOKUP(Table1[[#This Row],[Status]],Auxiliar!$B$16:$C$23,2,0)</f>
        <v>1</v>
      </c>
      <c r="K1139" s="22" t="s">
        <v>1164</v>
      </c>
      <c r="L1139" s="22" t="s">
        <v>1144</v>
      </c>
      <c r="M1139" s="22" t="s">
        <v>1155</v>
      </c>
      <c r="N1139" s="53">
        <v>45546</v>
      </c>
      <c r="O1139" s="22">
        <f>INDEX(Auxiliar!$D$5:$F$13,MATCH(Table1[[#This Row],[Tipologia_Testes]],Auxiliar!$B$5:$B$13,0),MATCH(Table1[[#This Row],[Complexidade]],Auxiliar!$D$4:$F$4,0))</f>
        <v>0.5</v>
      </c>
      <c r="P1139" s="3"/>
      <c r="Q1139" s="3"/>
      <c r="R1139" s="173">
        <v>45261</v>
      </c>
      <c r="S1139" s="173"/>
      <c r="T1139" s="173"/>
      <c r="U1139" s="173">
        <v>45534</v>
      </c>
      <c r="V1139" s="173">
        <v>45534</v>
      </c>
      <c r="W1139" s="3">
        <f>VLOOKUP(Table1[[#This Row],[Status]],Auxiliar!$B$16:$D$23,3,0)*Table1[[#This Row],[Estimação (horas)]]</f>
        <v>0.5</v>
      </c>
      <c r="X1139" s="3"/>
    </row>
    <row r="1140" spans="2:24" ht="17.399999999999999" hidden="1" customHeight="1">
      <c r="B1140" s="14" t="s">
        <v>28</v>
      </c>
      <c r="C1140" s="14" t="s">
        <v>178</v>
      </c>
      <c r="D1140" s="14" t="s">
        <v>1198</v>
      </c>
      <c r="E1140" s="3" t="s">
        <v>38</v>
      </c>
      <c r="F1140" s="14" t="s">
        <v>212</v>
      </c>
      <c r="G1140" s="14" t="s">
        <v>297</v>
      </c>
      <c r="H1140" s="66" t="str">
        <f>Table1[[#This Row],[Tabela]]&amp;Table1[[#This Row],[Campo]]</f>
        <v>modesg_inp_emss_bens_imoveisflg_ftr_emss_area</v>
      </c>
      <c r="I1140" s="3" t="s">
        <v>476</v>
      </c>
      <c r="J1140" s="48">
        <f>VLOOKUP(Table1[[#This Row],[Status]],Auxiliar!$B$16:$C$23,2,0)</f>
        <v>0</v>
      </c>
      <c r="K1140" s="22" t="s">
        <v>1164</v>
      </c>
      <c r="L1140" s="22" t="s">
        <v>1144</v>
      </c>
      <c r="M1140" s="22" t="s">
        <v>1155</v>
      </c>
      <c r="N1140" s="53">
        <v>45546</v>
      </c>
      <c r="O1140" s="22">
        <f>INDEX(Auxiliar!$D$5:$F$13,MATCH(Table1[[#This Row],[Tipologia_Testes]],Auxiliar!$B$5:$B$13,0),MATCH(Table1[[#This Row],[Complexidade]],Auxiliar!$D$4:$F$4,0))</f>
        <v>0.5</v>
      </c>
      <c r="P1140" s="3"/>
      <c r="Q1140" s="3"/>
      <c r="R1140" s="173">
        <v>45261</v>
      </c>
      <c r="S1140" s="173"/>
      <c r="T1140" s="173"/>
      <c r="U1140" s="173">
        <v>45534</v>
      </c>
      <c r="V1140" s="173">
        <v>45534</v>
      </c>
      <c r="W1140" s="3">
        <f>VLOOKUP(Table1[[#This Row],[Status]],Auxiliar!$B$16:$D$23,3,0)*Table1[[#This Row],[Estimação (horas)]]</f>
        <v>0</v>
      </c>
      <c r="X1140" s="3"/>
    </row>
    <row r="1141" spans="2:24" ht="17.399999999999999" hidden="1" customHeight="1">
      <c r="B1141" s="14" t="s">
        <v>28</v>
      </c>
      <c r="C1141" s="14" t="s">
        <v>178</v>
      </c>
      <c r="D1141" s="14" t="s">
        <v>1198</v>
      </c>
      <c r="E1141" s="3" t="s">
        <v>38</v>
      </c>
      <c r="F1141" s="14" t="s">
        <v>212</v>
      </c>
      <c r="G1141" s="14" t="s">
        <v>221</v>
      </c>
      <c r="H1141" s="66" t="str">
        <f>Table1[[#This Row],[Tabela]]&amp;Table1[[#This Row],[Campo]]</f>
        <v>modesg_inp_emss_bens_imoveisnome_unidade_funcional</v>
      </c>
      <c r="I1141" s="3" t="s">
        <v>477</v>
      </c>
      <c r="J1141" s="48">
        <f>VLOOKUP(Table1[[#This Row],[Status]],Auxiliar!$B$16:$C$23,2,0)</f>
        <v>1</v>
      </c>
      <c r="K1141" s="22" t="s">
        <v>1164</v>
      </c>
      <c r="L1141" s="22" t="s">
        <v>1144</v>
      </c>
      <c r="M1141" s="22" t="s">
        <v>1155</v>
      </c>
      <c r="N1141" s="53">
        <v>45546</v>
      </c>
      <c r="O1141" s="22">
        <f>INDEX(Auxiliar!$D$5:$F$13,MATCH(Table1[[#This Row],[Tipologia_Testes]],Auxiliar!$B$5:$B$13,0),MATCH(Table1[[#This Row],[Complexidade]],Auxiliar!$D$4:$F$4,0))</f>
        <v>0.5</v>
      </c>
      <c r="P1141" s="3"/>
      <c r="Q1141" s="3"/>
      <c r="R1141" s="173">
        <v>45261</v>
      </c>
      <c r="S1141" s="173"/>
      <c r="T1141" s="173"/>
      <c r="U1141" s="173">
        <v>45534</v>
      </c>
      <c r="V1141" s="173">
        <v>45534</v>
      </c>
      <c r="W1141" s="3">
        <f>VLOOKUP(Table1[[#This Row],[Status]],Auxiliar!$B$16:$D$23,3,0)*Table1[[#This Row],[Estimação (horas)]]</f>
        <v>0.5</v>
      </c>
      <c r="X1141" s="3"/>
    </row>
    <row r="1142" spans="2:24" ht="17.399999999999999" hidden="1" customHeight="1">
      <c r="B1142" s="14" t="s">
        <v>28</v>
      </c>
      <c r="C1142" s="14" t="s">
        <v>178</v>
      </c>
      <c r="D1142" s="14" t="s">
        <v>1198</v>
      </c>
      <c r="E1142" s="3" t="s">
        <v>38</v>
      </c>
      <c r="F1142" s="14" t="s">
        <v>212</v>
      </c>
      <c r="G1142" s="14" t="s">
        <v>222</v>
      </c>
      <c r="H1142" s="66" t="str">
        <f>Table1[[#This Row],[Tabela]]&amp;Table1[[#This Row],[Campo]]</f>
        <v>modesg_inp_emss_bens_imoveisunidade_funcional</v>
      </c>
      <c r="I1142" s="3" t="s">
        <v>477</v>
      </c>
      <c r="J1142" s="48">
        <f>VLOOKUP(Table1[[#This Row],[Status]],Auxiliar!$B$16:$C$23,2,0)</f>
        <v>1</v>
      </c>
      <c r="K1142" s="22" t="s">
        <v>1164</v>
      </c>
      <c r="L1142" s="22" t="s">
        <v>1144</v>
      </c>
      <c r="M1142" s="22" t="s">
        <v>1155</v>
      </c>
      <c r="N1142" s="53">
        <v>45546</v>
      </c>
      <c r="O1142" s="22">
        <f>INDEX(Auxiliar!$D$5:$F$13,MATCH(Table1[[#This Row],[Tipologia_Testes]],Auxiliar!$B$5:$B$13,0),MATCH(Table1[[#This Row],[Complexidade]],Auxiliar!$D$4:$F$4,0))</f>
        <v>0.5</v>
      </c>
      <c r="P1142" s="3" t="s">
        <v>1859</v>
      </c>
      <c r="Q1142" s="3"/>
      <c r="R1142" s="173">
        <v>45261</v>
      </c>
      <c r="S1142" s="173"/>
      <c r="T1142" s="173"/>
      <c r="U1142" s="173">
        <v>45534</v>
      </c>
      <c r="V1142" s="173">
        <v>45534</v>
      </c>
      <c r="W1142" s="3">
        <f>VLOOKUP(Table1[[#This Row],[Status]],Auxiliar!$B$16:$D$23,3,0)*Table1[[#This Row],[Estimação (horas)]]</f>
        <v>0.5</v>
      </c>
      <c r="X1142" s="3"/>
    </row>
    <row r="1143" spans="2:24" ht="17.399999999999999" hidden="1" customHeight="1">
      <c r="B1143" s="14" t="s">
        <v>28</v>
      </c>
      <c r="C1143" s="14" t="s">
        <v>178</v>
      </c>
      <c r="D1143" s="14" t="s">
        <v>1198</v>
      </c>
      <c r="E1143" s="3" t="s">
        <v>38</v>
      </c>
      <c r="F1143" s="14" t="s">
        <v>212</v>
      </c>
      <c r="G1143" s="14" t="s">
        <v>223</v>
      </c>
      <c r="H1143" s="66" t="str">
        <f>Table1[[#This Row],[Tabela]]&amp;Table1[[#This Row],[Campo]]</f>
        <v>modesg_inp_emss_bens_imoveisnome_fator_emissao</v>
      </c>
      <c r="I1143" s="3" t="s">
        <v>477</v>
      </c>
      <c r="J1143" s="48">
        <f>VLOOKUP(Table1[[#This Row],[Status]],Auxiliar!$B$16:$C$23,2,0)</f>
        <v>1</v>
      </c>
      <c r="K1143" s="22" t="s">
        <v>1164</v>
      </c>
      <c r="L1143" s="22" t="s">
        <v>1144</v>
      </c>
      <c r="M1143" s="22" t="s">
        <v>1155</v>
      </c>
      <c r="N1143" s="53">
        <v>45546</v>
      </c>
      <c r="O1143" s="22">
        <f>INDEX(Auxiliar!$D$5:$F$13,MATCH(Table1[[#This Row],[Tipologia_Testes]],Auxiliar!$B$5:$B$13,0),MATCH(Table1[[#This Row],[Complexidade]],Auxiliar!$D$4:$F$4,0))</f>
        <v>0.5</v>
      </c>
      <c r="P1143" s="3" t="s">
        <v>1859</v>
      </c>
      <c r="Q1143" s="3"/>
      <c r="R1143" s="173">
        <v>45261</v>
      </c>
      <c r="S1143" s="173"/>
      <c r="T1143" s="173"/>
      <c r="U1143" s="173">
        <v>45534</v>
      </c>
      <c r="V1143" s="173">
        <v>45534</v>
      </c>
      <c r="W1143" s="3">
        <f>VLOOKUP(Table1[[#This Row],[Status]],Auxiliar!$B$16:$D$23,3,0)*Table1[[#This Row],[Estimação (horas)]]</f>
        <v>0.5</v>
      </c>
      <c r="X1143" s="3"/>
    </row>
    <row r="1144" spans="2:24" ht="17.399999999999999" hidden="1" customHeight="1">
      <c r="B1144" s="14" t="s">
        <v>28</v>
      </c>
      <c r="C1144" s="14" t="s">
        <v>178</v>
      </c>
      <c r="D1144" s="14" t="s">
        <v>1198</v>
      </c>
      <c r="E1144" s="3" t="s">
        <v>38</v>
      </c>
      <c r="F1144" s="14" t="s">
        <v>212</v>
      </c>
      <c r="G1144" s="14" t="s">
        <v>224</v>
      </c>
      <c r="H1144" s="66" t="str">
        <f>Table1[[#This Row],[Tabela]]&amp;Table1[[#This Row],[Campo]]</f>
        <v>modesg_inp_emss_bens_imoveisunidade_fator_de_emissao</v>
      </c>
      <c r="I1144" s="3" t="s">
        <v>477</v>
      </c>
      <c r="J1144" s="48">
        <f>VLOOKUP(Table1[[#This Row],[Status]],Auxiliar!$B$16:$C$23,2,0)</f>
        <v>1</v>
      </c>
      <c r="K1144" s="22" t="s">
        <v>1164</v>
      </c>
      <c r="L1144" s="22" t="s">
        <v>1144</v>
      </c>
      <c r="M1144" s="22" t="s">
        <v>1155</v>
      </c>
      <c r="N1144" s="53">
        <v>45546</v>
      </c>
      <c r="O1144" s="22">
        <f>INDEX(Auxiliar!$D$5:$F$13,MATCH(Table1[[#This Row],[Tipologia_Testes]],Auxiliar!$B$5:$B$13,0),MATCH(Table1[[#This Row],[Complexidade]],Auxiliar!$D$4:$F$4,0))</f>
        <v>0.5</v>
      </c>
      <c r="P1144" s="3" t="s">
        <v>1859</v>
      </c>
      <c r="Q1144" s="3"/>
      <c r="R1144" s="173">
        <v>45261</v>
      </c>
      <c r="S1144" s="173"/>
      <c r="T1144" s="173"/>
      <c r="U1144" s="173">
        <v>45534</v>
      </c>
      <c r="V1144" s="173">
        <v>45534</v>
      </c>
      <c r="W1144" s="3">
        <f>VLOOKUP(Table1[[#This Row],[Status]],Auxiliar!$B$16:$D$23,3,0)*Table1[[#This Row],[Estimação (horas)]]</f>
        <v>0.5</v>
      </c>
      <c r="X1144" s="3"/>
    </row>
    <row r="1145" spans="2:24" ht="17.399999999999999" hidden="1" customHeight="1">
      <c r="B1145" s="14" t="s">
        <v>28</v>
      </c>
      <c r="C1145" s="14" t="s">
        <v>178</v>
      </c>
      <c r="D1145" s="14" t="s">
        <v>1198</v>
      </c>
      <c r="E1145" s="3" t="s">
        <v>38</v>
      </c>
      <c r="F1145" s="14" t="s">
        <v>212</v>
      </c>
      <c r="G1145" s="14" t="s">
        <v>50</v>
      </c>
      <c r="H1145" s="66" t="str">
        <f>Table1[[#This Row],[Tabela]]&amp;Table1[[#This Row],[Campo]]</f>
        <v>modesg_inp_emss_bens_imoveisscore_qualidade</v>
      </c>
      <c r="I1145" s="3" t="s">
        <v>477</v>
      </c>
      <c r="J1145" s="48">
        <f>VLOOKUP(Table1[[#This Row],[Status]],Auxiliar!$B$16:$C$23,2,0)</f>
        <v>1</v>
      </c>
      <c r="K1145" s="22" t="s">
        <v>1164</v>
      </c>
      <c r="L1145" s="3" t="s">
        <v>1135</v>
      </c>
      <c r="M1145" s="22" t="s">
        <v>1155</v>
      </c>
      <c r="N1145" s="53">
        <v>45546</v>
      </c>
      <c r="O1145" s="22">
        <f>INDEX(Auxiliar!$D$5:$F$13,MATCH(Table1[[#This Row],[Tipologia_Testes]],Auxiliar!$B$5:$B$13,0),MATCH(Table1[[#This Row],[Complexidade]],Auxiliar!$D$4:$F$4,0))</f>
        <v>0.5</v>
      </c>
      <c r="P1145" s="3"/>
      <c r="Q1145" s="3"/>
      <c r="R1145" s="173">
        <v>45261</v>
      </c>
      <c r="S1145" s="173"/>
      <c r="T1145" s="173"/>
      <c r="U1145" s="173">
        <v>45534</v>
      </c>
      <c r="V1145" s="173">
        <v>45534</v>
      </c>
      <c r="W1145" s="3">
        <f>VLOOKUP(Table1[[#This Row],[Status]],Auxiliar!$B$16:$D$23,3,0)*Table1[[#This Row],[Estimação (horas)]]</f>
        <v>0.5</v>
      </c>
      <c r="X1145" s="3"/>
    </row>
    <row r="1146" spans="2:24" ht="17.399999999999999" hidden="1" customHeight="1">
      <c r="B1146" s="14" t="s">
        <v>28</v>
      </c>
      <c r="C1146" s="14" t="s">
        <v>178</v>
      </c>
      <c r="D1146" s="14" t="s">
        <v>1198</v>
      </c>
      <c r="E1146" s="3" t="s">
        <v>38</v>
      </c>
      <c r="F1146" s="14" t="s">
        <v>212</v>
      </c>
      <c r="G1146" s="14" t="s">
        <v>1853</v>
      </c>
      <c r="H1146" s="66" t="str">
        <f>Table1[[#This Row],[Tabela]]&amp;Table1[[#This Row],[Campo]]</f>
        <v>modesg_inp_emss_bens_imoveisano_fator_emissao</v>
      </c>
      <c r="I1146" s="3" t="s">
        <v>477</v>
      </c>
      <c r="J1146" s="48">
        <f>VLOOKUP(Table1[[#This Row],[Status]],Auxiliar!$B$16:$C$23,2,0)</f>
        <v>1</v>
      </c>
      <c r="K1146" s="22" t="s">
        <v>1164</v>
      </c>
      <c r="L1146" s="3" t="s">
        <v>502</v>
      </c>
      <c r="M1146" s="22" t="s">
        <v>1155</v>
      </c>
      <c r="N1146" s="53">
        <v>45546</v>
      </c>
      <c r="O1146" s="22">
        <f>INDEX(Auxiliar!$D$5:$F$13,MATCH(Table1[[#This Row],[Tipologia_Testes]],Auxiliar!$B$5:$B$13,0),MATCH(Table1[[#This Row],[Complexidade]],Auxiliar!$D$4:$F$4,0))</f>
        <v>0.5</v>
      </c>
      <c r="P1146" s="3"/>
      <c r="Q1146" s="3"/>
      <c r="R1146" s="173">
        <v>45261</v>
      </c>
      <c r="S1146" s="173"/>
      <c r="T1146" s="173"/>
      <c r="U1146" s="173">
        <v>45534</v>
      </c>
      <c r="V1146" s="173">
        <v>45534</v>
      </c>
      <c r="W1146" s="3">
        <f>VLOOKUP(Table1[[#This Row],[Status]],Auxiliar!$B$16:$D$23,3,0)*Table1[[#This Row],[Estimação (horas)]]</f>
        <v>0.5</v>
      </c>
      <c r="X1146" s="3"/>
    </row>
    <row r="1147" spans="2:24" ht="17.399999999999999" hidden="1" customHeight="1">
      <c r="B1147" s="14" t="s">
        <v>28</v>
      </c>
      <c r="C1147" s="14" t="s">
        <v>178</v>
      </c>
      <c r="D1147" s="14" t="s">
        <v>1198</v>
      </c>
      <c r="E1147" s="3" t="s">
        <v>38</v>
      </c>
      <c r="F1147" s="14" t="s">
        <v>212</v>
      </c>
      <c r="G1147" s="14" t="s">
        <v>225</v>
      </c>
      <c r="H1147" s="66" t="str">
        <f>Table1[[#This Row],[Tabela]]&amp;Table1[[#This Row],[Campo]]</f>
        <v>modesg_inp_emss_bens_imoveisscp1_ftr_emss</v>
      </c>
      <c r="I1147" s="3" t="s">
        <v>477</v>
      </c>
      <c r="J1147" s="48">
        <f>VLOOKUP(Table1[[#This Row],[Status]],Auxiliar!$B$16:$C$23,2,0)</f>
        <v>1</v>
      </c>
      <c r="K1147" s="22" t="s">
        <v>1141</v>
      </c>
      <c r="L1147" s="22" t="s">
        <v>1144</v>
      </c>
      <c r="M1147" s="22" t="s">
        <v>1155</v>
      </c>
      <c r="N1147" s="53">
        <v>45546</v>
      </c>
      <c r="O1147" s="22">
        <f>INDEX(Auxiliar!$D$5:$F$13,MATCH(Table1[[#This Row],[Tipologia_Testes]],Auxiliar!$B$5:$B$13,0),MATCH(Table1[[#This Row],[Complexidade]],Auxiliar!$D$4:$F$4,0))</f>
        <v>0.1</v>
      </c>
      <c r="P1147" s="3" t="s">
        <v>1224</v>
      </c>
      <c r="Q1147" s="3"/>
      <c r="R1147" s="173">
        <v>45261</v>
      </c>
      <c r="S1147" s="173"/>
      <c r="T1147" s="173"/>
      <c r="U1147" s="173">
        <v>45534</v>
      </c>
      <c r="V1147" s="173">
        <v>45534</v>
      </c>
      <c r="W1147" s="3">
        <f>VLOOKUP(Table1[[#This Row],[Status]],Auxiliar!$B$16:$D$23,3,0)*Table1[[#This Row],[Estimação (horas)]]</f>
        <v>0.1</v>
      </c>
      <c r="X1147" s="3"/>
    </row>
    <row r="1148" spans="2:24" ht="17.399999999999999" hidden="1" customHeight="1">
      <c r="B1148" s="14" t="s">
        <v>28</v>
      </c>
      <c r="C1148" s="14" t="s">
        <v>178</v>
      </c>
      <c r="D1148" s="14" t="s">
        <v>1198</v>
      </c>
      <c r="E1148" s="3" t="s">
        <v>38</v>
      </c>
      <c r="F1148" s="14" t="s">
        <v>212</v>
      </c>
      <c r="G1148" s="14" t="s">
        <v>225</v>
      </c>
      <c r="H1148" s="66" t="str">
        <f>Table1[[#This Row],[Tabela]]&amp;Table1[[#This Row],[Campo]]</f>
        <v>modesg_inp_emss_bens_imoveisscp1_ftr_emss</v>
      </c>
      <c r="I1148" s="3" t="s">
        <v>477</v>
      </c>
      <c r="J1148" s="48">
        <f>VLOOKUP(Table1[[#This Row],[Status]],Auxiliar!$B$16:$C$23,2,0)</f>
        <v>1</v>
      </c>
      <c r="K1148" s="22" t="s">
        <v>1164</v>
      </c>
      <c r="L1148" s="22" t="s">
        <v>1144</v>
      </c>
      <c r="M1148" s="22" t="s">
        <v>1155</v>
      </c>
      <c r="N1148" s="53">
        <v>45546</v>
      </c>
      <c r="O1148" s="22">
        <f>INDEX(Auxiliar!$D$5:$F$13,MATCH(Table1[[#This Row],[Tipologia_Testes]],Auxiliar!$B$5:$B$13,0),MATCH(Table1[[#This Row],[Complexidade]],Auxiliar!$D$4:$F$4,0))</f>
        <v>0.5</v>
      </c>
      <c r="P1148" s="3"/>
      <c r="Q1148" s="3"/>
      <c r="R1148" s="173">
        <v>45261</v>
      </c>
      <c r="S1148" s="173"/>
      <c r="T1148" s="173"/>
      <c r="U1148" s="173">
        <v>45534</v>
      </c>
      <c r="V1148" s="173">
        <v>45534</v>
      </c>
      <c r="W1148" s="3">
        <f>VLOOKUP(Table1[[#This Row],[Status]],Auxiliar!$B$16:$D$23,3,0)*Table1[[#This Row],[Estimação (horas)]]</f>
        <v>0.5</v>
      </c>
      <c r="X1148" s="3"/>
    </row>
    <row r="1149" spans="2:24" ht="17.399999999999999" hidden="1" customHeight="1">
      <c r="B1149" s="14" t="s">
        <v>28</v>
      </c>
      <c r="C1149" s="14" t="s">
        <v>178</v>
      </c>
      <c r="D1149" s="14" t="s">
        <v>1198</v>
      </c>
      <c r="E1149" s="3" t="s">
        <v>38</v>
      </c>
      <c r="F1149" s="14" t="s">
        <v>212</v>
      </c>
      <c r="G1149" s="14" t="s">
        <v>226</v>
      </c>
      <c r="H1149" s="66" t="str">
        <f>Table1[[#This Row],[Tabela]]&amp;Table1[[#This Row],[Campo]]</f>
        <v>modesg_inp_emss_bens_imoveisscp2_ftr_emss</v>
      </c>
      <c r="I1149" s="3" t="s">
        <v>477</v>
      </c>
      <c r="J1149" s="48">
        <f>VLOOKUP(Table1[[#This Row],[Status]],Auxiliar!$B$16:$C$23,2,0)</f>
        <v>1</v>
      </c>
      <c r="K1149" s="22" t="s">
        <v>1141</v>
      </c>
      <c r="L1149" s="22" t="s">
        <v>1144</v>
      </c>
      <c r="M1149" s="22" t="s">
        <v>1155</v>
      </c>
      <c r="N1149" s="53">
        <v>45546</v>
      </c>
      <c r="O1149" s="22">
        <f>INDEX(Auxiliar!$D$5:$F$13,MATCH(Table1[[#This Row],[Tipologia_Testes]],Auxiliar!$B$5:$B$13,0),MATCH(Table1[[#This Row],[Complexidade]],Auxiliar!$D$4:$F$4,0))</f>
        <v>0.1</v>
      </c>
      <c r="P1149" s="3" t="s">
        <v>1224</v>
      </c>
      <c r="Q1149" s="3"/>
      <c r="R1149" s="173">
        <v>45261</v>
      </c>
      <c r="S1149" s="173"/>
      <c r="T1149" s="173"/>
      <c r="U1149" s="173">
        <v>45534</v>
      </c>
      <c r="V1149" s="173">
        <v>45534</v>
      </c>
      <c r="W1149" s="3">
        <f>VLOOKUP(Table1[[#This Row],[Status]],Auxiliar!$B$16:$D$23,3,0)*Table1[[#This Row],[Estimação (horas)]]</f>
        <v>0.1</v>
      </c>
      <c r="X1149" s="3"/>
    </row>
    <row r="1150" spans="2:24" ht="17.399999999999999" hidden="1" customHeight="1">
      <c r="B1150" s="14" t="s">
        <v>28</v>
      </c>
      <c r="C1150" s="14" t="s">
        <v>178</v>
      </c>
      <c r="D1150" s="14" t="s">
        <v>1198</v>
      </c>
      <c r="E1150" s="3" t="s">
        <v>38</v>
      </c>
      <c r="F1150" s="14" t="s">
        <v>212</v>
      </c>
      <c r="G1150" s="14" t="s">
        <v>226</v>
      </c>
      <c r="H1150" s="66" t="str">
        <f>Table1[[#This Row],[Tabela]]&amp;Table1[[#This Row],[Campo]]</f>
        <v>modesg_inp_emss_bens_imoveisscp2_ftr_emss</v>
      </c>
      <c r="I1150" s="3" t="s">
        <v>477</v>
      </c>
      <c r="J1150" s="48">
        <f>VLOOKUP(Table1[[#This Row],[Status]],Auxiliar!$B$16:$C$23,2,0)</f>
        <v>1</v>
      </c>
      <c r="K1150" s="22" t="s">
        <v>1164</v>
      </c>
      <c r="L1150" s="22" t="s">
        <v>1144</v>
      </c>
      <c r="M1150" s="22" t="s">
        <v>1155</v>
      </c>
      <c r="N1150" s="53">
        <v>45546</v>
      </c>
      <c r="O1150" s="22">
        <f>INDEX(Auxiliar!$D$5:$F$13,MATCH(Table1[[#This Row],[Tipologia_Testes]],Auxiliar!$B$5:$B$13,0),MATCH(Table1[[#This Row],[Complexidade]],Auxiliar!$D$4:$F$4,0))</f>
        <v>0.5</v>
      </c>
      <c r="P1150" s="3"/>
      <c r="Q1150" s="3"/>
      <c r="R1150" s="173">
        <v>45261</v>
      </c>
      <c r="S1150" s="173"/>
      <c r="T1150" s="173"/>
      <c r="U1150" s="173">
        <v>45534</v>
      </c>
      <c r="V1150" s="173">
        <v>45534</v>
      </c>
      <c r="W1150" s="3">
        <f>VLOOKUP(Table1[[#This Row],[Status]],Auxiliar!$B$16:$D$23,3,0)*Table1[[#This Row],[Estimação (horas)]]</f>
        <v>0.5</v>
      </c>
      <c r="X1150" s="3"/>
    </row>
    <row r="1151" spans="2:24" ht="17.399999999999999" hidden="1" customHeight="1">
      <c r="B1151" s="21" t="s">
        <v>28</v>
      </c>
      <c r="C1151" s="21" t="s">
        <v>178</v>
      </c>
      <c r="D1151" s="14" t="s">
        <v>1198</v>
      </c>
      <c r="E1151" s="3" t="s">
        <v>38</v>
      </c>
      <c r="F1151" s="21" t="s">
        <v>212</v>
      </c>
      <c r="G1151" s="21" t="s">
        <v>1225</v>
      </c>
      <c r="H1151" s="67" t="str">
        <f>Table1[[#This Row],[Tabela]]&amp;Table1[[#This Row],[Campo]]</f>
        <v>modesg_inp_emss_bens_imoveistipo_fator_emissao</v>
      </c>
      <c r="I1151" s="3" t="s">
        <v>477</v>
      </c>
      <c r="J1151" s="47">
        <f>VLOOKUP(Table1[[#This Row],[Status]],Auxiliar!$B$16:$C$23,2,0)</f>
        <v>1</v>
      </c>
      <c r="K1151" s="46" t="s">
        <v>1164</v>
      </c>
      <c r="L1151" s="22" t="s">
        <v>1144</v>
      </c>
      <c r="M1151" s="22" t="s">
        <v>1155</v>
      </c>
      <c r="N1151" s="53">
        <v>45546</v>
      </c>
      <c r="O1151" s="22">
        <f>INDEX(Auxiliar!$D$5:$F$13,MATCH(Table1[[#This Row],[Tipologia_Testes]],Auxiliar!$B$5:$B$13,0),MATCH(Table1[[#This Row],[Complexidade]],Auxiliar!$D$4:$F$4,0))</f>
        <v>0.5</v>
      </c>
      <c r="P1151" s="33"/>
      <c r="Q1151" s="33"/>
      <c r="R1151" s="173">
        <v>45261</v>
      </c>
      <c r="S1151" s="173"/>
      <c r="T1151" s="173"/>
      <c r="U1151" s="173">
        <v>45534</v>
      </c>
      <c r="V1151" s="173">
        <v>45534</v>
      </c>
      <c r="W1151" s="3">
        <f>VLOOKUP(Table1[[#This Row],[Status]],Auxiliar!$B$16:$D$23,3,0)*Table1[[#This Row],[Estimação (horas)]]</f>
        <v>0.5</v>
      </c>
      <c r="X1151" s="33"/>
    </row>
    <row r="1152" spans="2:24" ht="34.799999999999997" hidden="1" customHeight="1">
      <c r="B1152" s="40" t="s">
        <v>28</v>
      </c>
      <c r="C1152" s="40" t="s">
        <v>28</v>
      </c>
      <c r="D1152" s="37" t="s">
        <v>325</v>
      </c>
      <c r="E1152" s="119" t="s">
        <v>1226</v>
      </c>
      <c r="F1152" s="41" t="s">
        <v>323</v>
      </c>
      <c r="G1152" s="39" t="s">
        <v>324</v>
      </c>
      <c r="H1152" s="68" t="str">
        <f>Table1[[#This Row],[Tabela]]&amp;Table1[[#This Row],[Campo]]</f>
        <v>lt003_entitynace_esg</v>
      </c>
      <c r="I1152" s="3" t="s">
        <v>30</v>
      </c>
      <c r="J1152" s="47">
        <f>VLOOKUP(Table1[[#This Row],[Status]],Auxiliar!$B$16:$C$23,2,0)</f>
        <v>7</v>
      </c>
      <c r="K1152" s="47" t="s">
        <v>1137</v>
      </c>
      <c r="L1152" s="48" t="s">
        <v>1144</v>
      </c>
      <c r="M1152" s="22" t="s">
        <v>1145</v>
      </c>
      <c r="N1152" s="53">
        <v>45485</v>
      </c>
      <c r="O1152" s="22">
        <f>INDEX(Auxiliar!$D$5:$F$13,MATCH(Table1[[#This Row],[Tipologia_Testes]],Auxiliar!$B$5:$B$13,0),MATCH(Table1[[#This Row],[Complexidade]],Auxiliar!$D$4:$F$4,0))</f>
        <v>2</v>
      </c>
      <c r="P1152" s="49"/>
      <c r="Q1152" s="132"/>
      <c r="R1152" s="173">
        <v>45261</v>
      </c>
      <c r="S1152" s="173"/>
      <c r="T1152" s="173"/>
      <c r="U1152" s="173"/>
      <c r="V1152" s="173"/>
      <c r="W1152" s="3">
        <f>VLOOKUP(Table1[[#This Row],[Status]],Auxiliar!$B$16:$D$23,3,0)*Table1[[#This Row],[Estimação (horas)]]</f>
        <v>0</v>
      </c>
      <c r="X1152" s="132"/>
    </row>
    <row r="1153" spans="2:24" ht="34.799999999999997" hidden="1" customHeight="1">
      <c r="B1153" s="40" t="s">
        <v>28</v>
      </c>
      <c r="C1153" s="40" t="s">
        <v>28</v>
      </c>
      <c r="D1153" s="37" t="s">
        <v>325</v>
      </c>
      <c r="E1153" s="119" t="s">
        <v>1226</v>
      </c>
      <c r="F1153" s="41" t="s">
        <v>323</v>
      </c>
      <c r="G1153" s="39" t="s">
        <v>324</v>
      </c>
      <c r="H1153" s="68" t="str">
        <f>Table1[[#This Row],[Tabela]]&amp;Table1[[#This Row],[Campo]]</f>
        <v>lt003_entitynace_esg</v>
      </c>
      <c r="I1153" s="3" t="s">
        <v>30</v>
      </c>
      <c r="J1153" s="47">
        <f>VLOOKUP(Table1[[#This Row],[Status]],Auxiliar!$B$16:$C$23,2,0)</f>
        <v>7</v>
      </c>
      <c r="K1153" s="47" t="s">
        <v>1138</v>
      </c>
      <c r="L1153" s="48" t="s">
        <v>1144</v>
      </c>
      <c r="M1153" s="22" t="s">
        <v>1145</v>
      </c>
      <c r="N1153" s="53">
        <v>45485</v>
      </c>
      <c r="O1153" s="22">
        <f>INDEX(Auxiliar!$D$5:$F$13,MATCH(Table1[[#This Row],[Tipologia_Testes]],Auxiliar!$B$5:$B$13,0),MATCH(Table1[[#This Row],[Complexidade]],Auxiliar!$D$4:$F$4,0))</f>
        <v>2</v>
      </c>
      <c r="P1153" s="49"/>
      <c r="Q1153" s="132"/>
      <c r="R1153" s="173">
        <v>45261</v>
      </c>
      <c r="S1153" s="173"/>
      <c r="T1153" s="173"/>
      <c r="U1153" s="173"/>
      <c r="V1153" s="173"/>
      <c r="W1153" s="3">
        <f>VLOOKUP(Table1[[#This Row],[Status]],Auxiliar!$B$16:$D$23,3,0)*Table1[[#This Row],[Estimação (horas)]]</f>
        <v>0</v>
      </c>
      <c r="X1153" s="132"/>
    </row>
    <row r="1154" spans="2:24" ht="34.799999999999997" hidden="1" customHeight="1">
      <c r="B1154" s="40" t="s">
        <v>28</v>
      </c>
      <c r="C1154" s="40" t="s">
        <v>28</v>
      </c>
      <c r="D1154" s="37" t="s">
        <v>325</v>
      </c>
      <c r="E1154" s="119" t="s">
        <v>1226</v>
      </c>
      <c r="F1154" s="41" t="s">
        <v>323</v>
      </c>
      <c r="G1154" s="39" t="s">
        <v>324</v>
      </c>
      <c r="H1154" s="68" t="str">
        <f>Table1[[#This Row],[Tabela]]&amp;Table1[[#This Row],[Campo]]</f>
        <v>lt003_entitynace_esg</v>
      </c>
      <c r="I1154" s="3" t="s">
        <v>30</v>
      </c>
      <c r="J1154" s="47">
        <f>VLOOKUP(Table1[[#This Row],[Status]],Auxiliar!$B$16:$C$23,2,0)</f>
        <v>7</v>
      </c>
      <c r="K1154" s="47" t="s">
        <v>1141</v>
      </c>
      <c r="L1154" s="48" t="s">
        <v>1144</v>
      </c>
      <c r="M1154" s="22" t="s">
        <v>1145</v>
      </c>
      <c r="N1154" s="53">
        <v>45485</v>
      </c>
      <c r="O1154" s="22">
        <f>INDEX(Auxiliar!$D$5:$F$13,MATCH(Table1[[#This Row],[Tipologia_Testes]],Auxiliar!$B$5:$B$13,0),MATCH(Table1[[#This Row],[Complexidade]],Auxiliar!$D$4:$F$4,0))</f>
        <v>0.1</v>
      </c>
      <c r="P1154" s="49"/>
      <c r="Q1154" s="132"/>
      <c r="R1154" s="173">
        <v>45261</v>
      </c>
      <c r="S1154" s="173"/>
      <c r="T1154" s="173"/>
      <c r="U1154" s="173"/>
      <c r="V1154" s="173"/>
      <c r="W1154" s="3">
        <f>VLOOKUP(Table1[[#This Row],[Status]],Auxiliar!$B$16:$D$23,3,0)*Table1[[#This Row],[Estimação (horas)]]</f>
        <v>0</v>
      </c>
      <c r="X1154" s="132"/>
    </row>
    <row r="1155" spans="2:24" ht="34.799999999999997" hidden="1" customHeight="1">
      <c r="B1155" s="40" t="s">
        <v>28</v>
      </c>
      <c r="C1155" s="40" t="s">
        <v>28</v>
      </c>
      <c r="D1155" s="37" t="s">
        <v>312</v>
      </c>
      <c r="E1155" s="41" t="s">
        <v>247</v>
      </c>
      <c r="F1155" s="41" t="s">
        <v>323</v>
      </c>
      <c r="G1155" s="39" t="s">
        <v>326</v>
      </c>
      <c r="H1155" s="68" t="str">
        <f>Table1[[#This Row],[Tabela]]&amp;Table1[[#This Row],[Campo]]</f>
        <v>lt003_entitytxnmy_elgbl_capex_ccm</v>
      </c>
      <c r="I1155" s="3" t="s">
        <v>30</v>
      </c>
      <c r="J1155" s="47">
        <f>VLOOKUP(Table1[[#This Row],[Status]],Auxiliar!$B$16:$C$23,2,0)</f>
        <v>7</v>
      </c>
      <c r="K1155" s="47" t="s">
        <v>1137</v>
      </c>
      <c r="L1155" s="48" t="s">
        <v>1144</v>
      </c>
      <c r="M1155" s="22" t="s">
        <v>1145</v>
      </c>
      <c r="N1155" s="53">
        <v>45485</v>
      </c>
      <c r="O1155" s="22">
        <f>INDEX(Auxiliar!$D$5:$F$13,MATCH(Table1[[#This Row],[Tipologia_Testes]],Auxiliar!$B$5:$B$13,0),MATCH(Table1[[#This Row],[Complexidade]],Auxiliar!$D$4:$F$4,0))</f>
        <v>2</v>
      </c>
      <c r="P1155" s="49"/>
      <c r="Q1155" s="132"/>
      <c r="R1155" s="173">
        <v>45261</v>
      </c>
      <c r="S1155" s="173"/>
      <c r="T1155" s="173"/>
      <c r="U1155" s="173"/>
      <c r="V1155" s="173"/>
      <c r="W1155" s="3">
        <f>VLOOKUP(Table1[[#This Row],[Status]],Auxiliar!$B$16:$D$23,3,0)*Table1[[#This Row],[Estimação (horas)]]</f>
        <v>0</v>
      </c>
      <c r="X1155" s="132"/>
    </row>
    <row r="1156" spans="2:24" ht="17.399999999999999" hidden="1" customHeight="1">
      <c r="B1156" s="40" t="s">
        <v>28</v>
      </c>
      <c r="C1156" s="40" t="s">
        <v>28</v>
      </c>
      <c r="D1156" s="40" t="s">
        <v>312</v>
      </c>
      <c r="E1156" s="40" t="s">
        <v>247</v>
      </c>
      <c r="F1156" s="40" t="s">
        <v>323</v>
      </c>
      <c r="G1156" s="40" t="s">
        <v>326</v>
      </c>
      <c r="H1156" s="67" t="str">
        <f>Table1[[#This Row],[Tabela]]&amp;Table1[[#This Row],[Campo]]</f>
        <v>lt003_entitytxnmy_elgbl_capex_ccm</v>
      </c>
      <c r="I1156" s="3" t="s">
        <v>30</v>
      </c>
      <c r="J1156" s="47">
        <f>VLOOKUP(Table1[[#This Row],[Status]],Auxiliar!$B$16:$C$23,2,0)</f>
        <v>7</v>
      </c>
      <c r="K1156" s="47" t="s">
        <v>1138</v>
      </c>
      <c r="L1156" s="48" t="s">
        <v>1144</v>
      </c>
      <c r="M1156" s="22" t="s">
        <v>1145</v>
      </c>
      <c r="N1156" s="53">
        <v>45485</v>
      </c>
      <c r="O1156" s="22">
        <f>INDEX(Auxiliar!$D$5:$F$13,MATCH(Table1[[#This Row],[Tipologia_Testes]],Auxiliar!$B$5:$B$13,0),MATCH(Table1[[#This Row],[Complexidade]],Auxiliar!$D$4:$F$4,0))</f>
        <v>2</v>
      </c>
      <c r="P1156" s="49"/>
      <c r="Q1156" s="132"/>
      <c r="R1156" s="173">
        <v>45261</v>
      </c>
      <c r="S1156" s="173"/>
      <c r="T1156" s="173"/>
      <c r="U1156" s="173"/>
      <c r="V1156" s="173"/>
      <c r="W1156" s="3">
        <f>VLOOKUP(Table1[[#This Row],[Status]],Auxiliar!$B$16:$D$23,3,0)*Table1[[#This Row],[Estimação (horas)]]</f>
        <v>0</v>
      </c>
      <c r="X1156" s="132"/>
    </row>
    <row r="1157" spans="2:24" ht="17.399999999999999" hidden="1" customHeight="1">
      <c r="B1157" s="40" t="s">
        <v>28</v>
      </c>
      <c r="C1157" s="40" t="s">
        <v>28</v>
      </c>
      <c r="D1157" s="40" t="s">
        <v>312</v>
      </c>
      <c r="E1157" s="40" t="s">
        <v>247</v>
      </c>
      <c r="F1157" s="40" t="s">
        <v>323</v>
      </c>
      <c r="G1157" s="40" t="s">
        <v>326</v>
      </c>
      <c r="H1157" s="67" t="str">
        <f>Table1[[#This Row],[Tabela]]&amp;Table1[[#This Row],[Campo]]</f>
        <v>lt003_entitytxnmy_elgbl_capex_ccm</v>
      </c>
      <c r="I1157" s="3" t="s">
        <v>30</v>
      </c>
      <c r="J1157" s="47">
        <f>VLOOKUP(Table1[[#This Row],[Status]],Auxiliar!$B$16:$C$23,2,0)</f>
        <v>7</v>
      </c>
      <c r="K1157" s="47" t="s">
        <v>1141</v>
      </c>
      <c r="L1157" s="48" t="s">
        <v>1144</v>
      </c>
      <c r="M1157" s="22" t="s">
        <v>1145</v>
      </c>
      <c r="N1157" s="53">
        <v>45485</v>
      </c>
      <c r="O1157" s="22">
        <f>INDEX(Auxiliar!$D$5:$F$13,MATCH(Table1[[#This Row],[Tipologia_Testes]],Auxiliar!$B$5:$B$13,0),MATCH(Table1[[#This Row],[Complexidade]],Auxiliar!$D$4:$F$4,0))</f>
        <v>0.1</v>
      </c>
      <c r="P1157" s="49"/>
      <c r="Q1157" s="132"/>
      <c r="R1157" s="173">
        <v>45261</v>
      </c>
      <c r="S1157" s="173"/>
      <c r="T1157" s="173"/>
      <c r="U1157" s="173"/>
      <c r="V1157" s="173"/>
      <c r="W1157" s="3">
        <f>VLOOKUP(Table1[[#This Row],[Status]],Auxiliar!$B$16:$D$23,3,0)*Table1[[#This Row],[Estimação (horas)]]</f>
        <v>0</v>
      </c>
      <c r="X1157" s="132"/>
    </row>
    <row r="1158" spans="2:24" ht="34.799999999999997" hidden="1" customHeight="1">
      <c r="B1158" s="40" t="s">
        <v>28</v>
      </c>
      <c r="C1158" s="40" t="s">
        <v>28</v>
      </c>
      <c r="D1158" s="39" t="s">
        <v>312</v>
      </c>
      <c r="E1158" s="41" t="s">
        <v>243</v>
      </c>
      <c r="F1158" s="41" t="s">
        <v>323</v>
      </c>
      <c r="G1158" s="39" t="s">
        <v>327</v>
      </c>
      <c r="H1158" s="68" t="str">
        <f>Table1[[#This Row],[Tabela]]&amp;Table1[[#This Row],[Campo]]</f>
        <v>lt003_entitytxnmy_elgbl_trnvr_ccm</v>
      </c>
      <c r="I1158" s="3" t="s">
        <v>30</v>
      </c>
      <c r="J1158" s="47">
        <f>VLOOKUP(Table1[[#This Row],[Status]],Auxiliar!$B$16:$C$23,2,0)</f>
        <v>7</v>
      </c>
      <c r="K1158" s="47" t="s">
        <v>1137</v>
      </c>
      <c r="L1158" s="48" t="s">
        <v>1144</v>
      </c>
      <c r="M1158" s="22" t="s">
        <v>1145</v>
      </c>
      <c r="N1158" s="53">
        <v>45485</v>
      </c>
      <c r="O1158" s="22">
        <f>INDEX(Auxiliar!$D$5:$F$13,MATCH(Table1[[#This Row],[Tipologia_Testes]],Auxiliar!$B$5:$B$13,0),MATCH(Table1[[#This Row],[Complexidade]],Auxiliar!$D$4:$F$4,0))</f>
        <v>2</v>
      </c>
      <c r="P1158" s="49"/>
      <c r="Q1158" s="132"/>
      <c r="R1158" s="173">
        <v>45261</v>
      </c>
      <c r="S1158" s="173"/>
      <c r="T1158" s="173"/>
      <c r="U1158" s="173"/>
      <c r="V1158" s="173"/>
      <c r="W1158" s="3">
        <f>VLOOKUP(Table1[[#This Row],[Status]],Auxiliar!$B$16:$D$23,3,0)*Table1[[#This Row],[Estimação (horas)]]</f>
        <v>0</v>
      </c>
      <c r="X1158" s="132"/>
    </row>
    <row r="1159" spans="2:24" ht="17.399999999999999" hidden="1" customHeight="1">
      <c r="B1159" s="40" t="s">
        <v>28</v>
      </c>
      <c r="C1159" s="40" t="s">
        <v>28</v>
      </c>
      <c r="D1159" s="40" t="s">
        <v>312</v>
      </c>
      <c r="E1159" s="40" t="s">
        <v>243</v>
      </c>
      <c r="F1159" s="40" t="s">
        <v>323</v>
      </c>
      <c r="G1159" s="40" t="s">
        <v>327</v>
      </c>
      <c r="H1159" s="67" t="str">
        <f>Table1[[#This Row],[Tabela]]&amp;Table1[[#This Row],[Campo]]</f>
        <v>lt003_entitytxnmy_elgbl_trnvr_ccm</v>
      </c>
      <c r="I1159" s="3" t="s">
        <v>30</v>
      </c>
      <c r="J1159" s="47">
        <f>VLOOKUP(Table1[[#This Row],[Status]],Auxiliar!$B$16:$C$23,2,0)</f>
        <v>7</v>
      </c>
      <c r="K1159" s="47" t="s">
        <v>1138</v>
      </c>
      <c r="L1159" s="48" t="s">
        <v>1144</v>
      </c>
      <c r="M1159" s="22" t="s">
        <v>1145</v>
      </c>
      <c r="N1159" s="53">
        <v>45485</v>
      </c>
      <c r="O1159" s="22">
        <f>INDEX(Auxiliar!$D$5:$F$13,MATCH(Table1[[#This Row],[Tipologia_Testes]],Auxiliar!$B$5:$B$13,0),MATCH(Table1[[#This Row],[Complexidade]],Auxiliar!$D$4:$F$4,0))</f>
        <v>2</v>
      </c>
      <c r="P1159" s="49"/>
      <c r="Q1159" s="132"/>
      <c r="R1159" s="173">
        <v>45261</v>
      </c>
      <c r="S1159" s="173"/>
      <c r="T1159" s="173"/>
      <c r="U1159" s="173"/>
      <c r="V1159" s="173"/>
      <c r="W1159" s="3">
        <f>VLOOKUP(Table1[[#This Row],[Status]],Auxiliar!$B$16:$D$23,3,0)*Table1[[#This Row],[Estimação (horas)]]</f>
        <v>0</v>
      </c>
      <c r="X1159" s="132"/>
    </row>
    <row r="1160" spans="2:24" ht="17.399999999999999" hidden="1" customHeight="1">
      <c r="B1160" s="40" t="s">
        <v>28</v>
      </c>
      <c r="C1160" s="40" t="s">
        <v>28</v>
      </c>
      <c r="D1160" s="40" t="s">
        <v>312</v>
      </c>
      <c r="E1160" s="40" t="s">
        <v>243</v>
      </c>
      <c r="F1160" s="40" t="s">
        <v>323</v>
      </c>
      <c r="G1160" s="40" t="s">
        <v>327</v>
      </c>
      <c r="H1160" s="67" t="str">
        <f>Table1[[#This Row],[Tabela]]&amp;Table1[[#This Row],[Campo]]</f>
        <v>lt003_entitytxnmy_elgbl_trnvr_ccm</v>
      </c>
      <c r="I1160" s="3" t="s">
        <v>30</v>
      </c>
      <c r="J1160" s="47">
        <f>VLOOKUP(Table1[[#This Row],[Status]],Auxiliar!$B$16:$C$23,2,0)</f>
        <v>7</v>
      </c>
      <c r="K1160" s="47" t="s">
        <v>1141</v>
      </c>
      <c r="L1160" s="48" t="s">
        <v>1144</v>
      </c>
      <c r="M1160" s="22" t="s">
        <v>1145</v>
      </c>
      <c r="N1160" s="53">
        <v>45485</v>
      </c>
      <c r="O1160" s="22">
        <f>INDEX(Auxiliar!$D$5:$F$13,MATCH(Table1[[#This Row],[Tipologia_Testes]],Auxiliar!$B$5:$B$13,0),MATCH(Table1[[#This Row],[Complexidade]],Auxiliar!$D$4:$F$4,0))</f>
        <v>0.1</v>
      </c>
      <c r="P1160" s="49"/>
      <c r="Q1160" s="132"/>
      <c r="R1160" s="173">
        <v>45261</v>
      </c>
      <c r="S1160" s="173"/>
      <c r="T1160" s="173"/>
      <c r="U1160" s="173"/>
      <c r="V1160" s="173"/>
      <c r="W1160" s="3">
        <f>VLOOKUP(Table1[[#This Row],[Status]],Auxiliar!$B$16:$D$23,3,0)*Table1[[#This Row],[Estimação (horas)]]</f>
        <v>0</v>
      </c>
      <c r="X1160" s="132"/>
    </row>
    <row r="1161" spans="2:24" ht="34.799999999999997" hidden="1" customHeight="1">
      <c r="B1161" s="40" t="s">
        <v>28</v>
      </c>
      <c r="C1161" s="40" t="s">
        <v>28</v>
      </c>
      <c r="D1161" s="37" t="s">
        <v>312</v>
      </c>
      <c r="E1161" s="41" t="s">
        <v>240</v>
      </c>
      <c r="F1161" s="41" t="s">
        <v>323</v>
      </c>
      <c r="G1161" s="39" t="s">
        <v>328</v>
      </c>
      <c r="H1161" s="68" t="str">
        <f>Table1[[#This Row],[Tabela]]&amp;Table1[[#This Row],[Campo]]</f>
        <v>lt003_entitytxnmy_elgbl_capex_cca</v>
      </c>
      <c r="I1161" s="3" t="s">
        <v>30</v>
      </c>
      <c r="J1161" s="47">
        <f>VLOOKUP(Table1[[#This Row],[Status]],Auxiliar!$B$16:$C$23,2,0)</f>
        <v>7</v>
      </c>
      <c r="K1161" s="47" t="s">
        <v>1137</v>
      </c>
      <c r="L1161" s="48" t="s">
        <v>1144</v>
      </c>
      <c r="M1161" s="22" t="s">
        <v>1145</v>
      </c>
      <c r="N1161" s="53">
        <v>45485</v>
      </c>
      <c r="O1161" s="22">
        <f>INDEX(Auxiliar!$D$5:$F$13,MATCH(Table1[[#This Row],[Tipologia_Testes]],Auxiliar!$B$5:$B$13,0),MATCH(Table1[[#This Row],[Complexidade]],Auxiliar!$D$4:$F$4,0))</f>
        <v>2</v>
      </c>
      <c r="P1161" s="49"/>
      <c r="Q1161" s="132"/>
      <c r="R1161" s="173">
        <v>45261</v>
      </c>
      <c r="S1161" s="173"/>
      <c r="T1161" s="173"/>
      <c r="U1161" s="173"/>
      <c r="V1161" s="173"/>
      <c r="W1161" s="3">
        <f>VLOOKUP(Table1[[#This Row],[Status]],Auxiliar!$B$16:$D$23,3,0)*Table1[[#This Row],[Estimação (horas)]]</f>
        <v>0</v>
      </c>
      <c r="X1161" s="132"/>
    </row>
    <row r="1162" spans="2:24" ht="17.399999999999999" hidden="1" customHeight="1">
      <c r="B1162" s="40" t="s">
        <v>28</v>
      </c>
      <c r="C1162" s="40" t="s">
        <v>28</v>
      </c>
      <c r="D1162" s="40" t="s">
        <v>312</v>
      </c>
      <c r="E1162" s="40" t="s">
        <v>240</v>
      </c>
      <c r="F1162" s="40" t="s">
        <v>323</v>
      </c>
      <c r="G1162" s="40" t="s">
        <v>328</v>
      </c>
      <c r="H1162" s="67" t="str">
        <f>Table1[[#This Row],[Tabela]]&amp;Table1[[#This Row],[Campo]]</f>
        <v>lt003_entitytxnmy_elgbl_capex_cca</v>
      </c>
      <c r="I1162" s="3" t="s">
        <v>30</v>
      </c>
      <c r="J1162" s="47">
        <f>VLOOKUP(Table1[[#This Row],[Status]],Auxiliar!$B$16:$C$23,2,0)</f>
        <v>7</v>
      </c>
      <c r="K1162" s="47" t="s">
        <v>1138</v>
      </c>
      <c r="L1162" s="48" t="s">
        <v>1144</v>
      </c>
      <c r="M1162" s="22" t="s">
        <v>1145</v>
      </c>
      <c r="N1162" s="53">
        <v>45485</v>
      </c>
      <c r="O1162" s="22">
        <f>INDEX(Auxiliar!$D$5:$F$13,MATCH(Table1[[#This Row],[Tipologia_Testes]],Auxiliar!$B$5:$B$13,0),MATCH(Table1[[#This Row],[Complexidade]],Auxiliar!$D$4:$F$4,0))</f>
        <v>2</v>
      </c>
      <c r="P1162" s="49"/>
      <c r="Q1162" s="132"/>
      <c r="R1162" s="173">
        <v>45261</v>
      </c>
      <c r="S1162" s="173"/>
      <c r="T1162" s="173"/>
      <c r="U1162" s="173"/>
      <c r="V1162" s="173"/>
      <c r="W1162" s="3">
        <f>VLOOKUP(Table1[[#This Row],[Status]],Auxiliar!$B$16:$D$23,3,0)*Table1[[#This Row],[Estimação (horas)]]</f>
        <v>0</v>
      </c>
      <c r="X1162" s="132"/>
    </row>
    <row r="1163" spans="2:24" ht="17.399999999999999" hidden="1" customHeight="1">
      <c r="B1163" s="40" t="s">
        <v>28</v>
      </c>
      <c r="C1163" s="40" t="s">
        <v>28</v>
      </c>
      <c r="D1163" s="40" t="s">
        <v>312</v>
      </c>
      <c r="E1163" s="40" t="s">
        <v>240</v>
      </c>
      <c r="F1163" s="40" t="s">
        <v>323</v>
      </c>
      <c r="G1163" s="40" t="s">
        <v>328</v>
      </c>
      <c r="H1163" s="67" t="str">
        <f>Table1[[#This Row],[Tabela]]&amp;Table1[[#This Row],[Campo]]</f>
        <v>lt003_entitytxnmy_elgbl_capex_cca</v>
      </c>
      <c r="I1163" s="3" t="s">
        <v>30</v>
      </c>
      <c r="J1163" s="47">
        <f>VLOOKUP(Table1[[#This Row],[Status]],Auxiliar!$B$16:$C$23,2,0)</f>
        <v>7</v>
      </c>
      <c r="K1163" s="47" t="s">
        <v>1141</v>
      </c>
      <c r="L1163" s="48" t="s">
        <v>1144</v>
      </c>
      <c r="M1163" s="22" t="s">
        <v>1145</v>
      </c>
      <c r="N1163" s="53">
        <v>45485</v>
      </c>
      <c r="O1163" s="22">
        <f>INDEX(Auxiliar!$D$5:$F$13,MATCH(Table1[[#This Row],[Tipologia_Testes]],Auxiliar!$B$5:$B$13,0),MATCH(Table1[[#This Row],[Complexidade]],Auxiliar!$D$4:$F$4,0))</f>
        <v>0.1</v>
      </c>
      <c r="P1163" s="49"/>
      <c r="Q1163" s="132"/>
      <c r="R1163" s="173">
        <v>45261</v>
      </c>
      <c r="S1163" s="173"/>
      <c r="T1163" s="173"/>
      <c r="U1163" s="173"/>
      <c r="V1163" s="173"/>
      <c r="W1163" s="3">
        <f>VLOOKUP(Table1[[#This Row],[Status]],Auxiliar!$B$16:$D$23,3,0)*Table1[[#This Row],[Estimação (horas)]]</f>
        <v>0</v>
      </c>
      <c r="X1163" s="132"/>
    </row>
    <row r="1164" spans="2:24" ht="34.799999999999997" hidden="1" customHeight="1">
      <c r="B1164" s="40" t="s">
        <v>28</v>
      </c>
      <c r="C1164" s="40" t="s">
        <v>28</v>
      </c>
      <c r="D1164" s="39" t="s">
        <v>312</v>
      </c>
      <c r="E1164" s="41" t="s">
        <v>237</v>
      </c>
      <c r="F1164" s="41" t="s">
        <v>323</v>
      </c>
      <c r="G1164" s="39" t="s">
        <v>329</v>
      </c>
      <c r="H1164" s="68" t="str">
        <f>Table1[[#This Row],[Tabela]]&amp;Table1[[#This Row],[Campo]]</f>
        <v>lt003_entitytxnmy_elgbl_trnvr_cca</v>
      </c>
      <c r="I1164" s="3" t="s">
        <v>30</v>
      </c>
      <c r="J1164" s="47">
        <f>VLOOKUP(Table1[[#This Row],[Status]],Auxiliar!$B$16:$C$23,2,0)</f>
        <v>7</v>
      </c>
      <c r="K1164" s="47" t="s">
        <v>1137</v>
      </c>
      <c r="L1164" s="48" t="s">
        <v>1144</v>
      </c>
      <c r="M1164" s="22" t="s">
        <v>1145</v>
      </c>
      <c r="N1164" s="53">
        <v>45485</v>
      </c>
      <c r="O1164" s="22">
        <f>INDEX(Auxiliar!$D$5:$F$13,MATCH(Table1[[#This Row],[Tipologia_Testes]],Auxiliar!$B$5:$B$13,0),MATCH(Table1[[#This Row],[Complexidade]],Auxiliar!$D$4:$F$4,0))</f>
        <v>2</v>
      </c>
      <c r="P1164" s="49"/>
      <c r="Q1164" s="132"/>
      <c r="R1164" s="173">
        <v>45261</v>
      </c>
      <c r="S1164" s="173"/>
      <c r="T1164" s="173"/>
      <c r="U1164" s="173"/>
      <c r="V1164" s="173"/>
      <c r="W1164" s="3">
        <f>VLOOKUP(Table1[[#This Row],[Status]],Auxiliar!$B$16:$D$23,3,0)*Table1[[#This Row],[Estimação (horas)]]</f>
        <v>0</v>
      </c>
      <c r="X1164" s="132"/>
    </row>
    <row r="1165" spans="2:24" ht="17.399999999999999" hidden="1" customHeight="1">
      <c r="B1165" s="40" t="s">
        <v>28</v>
      </c>
      <c r="C1165" s="40" t="s">
        <v>28</v>
      </c>
      <c r="D1165" s="40" t="s">
        <v>312</v>
      </c>
      <c r="E1165" s="40" t="s">
        <v>237</v>
      </c>
      <c r="F1165" s="40" t="s">
        <v>323</v>
      </c>
      <c r="G1165" s="40" t="s">
        <v>329</v>
      </c>
      <c r="H1165" s="67" t="str">
        <f>Table1[[#This Row],[Tabela]]&amp;Table1[[#This Row],[Campo]]</f>
        <v>lt003_entitytxnmy_elgbl_trnvr_cca</v>
      </c>
      <c r="I1165" s="3" t="s">
        <v>30</v>
      </c>
      <c r="J1165" s="47">
        <f>VLOOKUP(Table1[[#This Row],[Status]],Auxiliar!$B$16:$C$23,2,0)</f>
        <v>7</v>
      </c>
      <c r="K1165" s="47" t="s">
        <v>1138</v>
      </c>
      <c r="L1165" s="48" t="s">
        <v>1144</v>
      </c>
      <c r="M1165" s="22" t="s">
        <v>1145</v>
      </c>
      <c r="N1165" s="53">
        <v>45485</v>
      </c>
      <c r="O1165" s="22">
        <f>INDEX(Auxiliar!$D$5:$F$13,MATCH(Table1[[#This Row],[Tipologia_Testes]],Auxiliar!$B$5:$B$13,0),MATCH(Table1[[#This Row],[Complexidade]],Auxiliar!$D$4:$F$4,0))</f>
        <v>2</v>
      </c>
      <c r="P1165" s="49"/>
      <c r="Q1165" s="132"/>
      <c r="R1165" s="173">
        <v>45261</v>
      </c>
      <c r="S1165" s="173"/>
      <c r="T1165" s="173"/>
      <c r="U1165" s="173"/>
      <c r="V1165" s="173"/>
      <c r="W1165" s="3">
        <f>VLOOKUP(Table1[[#This Row],[Status]],Auxiliar!$B$16:$D$23,3,0)*Table1[[#This Row],[Estimação (horas)]]</f>
        <v>0</v>
      </c>
      <c r="X1165" s="132"/>
    </row>
    <row r="1166" spans="2:24" ht="17.399999999999999" hidden="1" customHeight="1">
      <c r="B1166" s="40" t="s">
        <v>28</v>
      </c>
      <c r="C1166" s="40" t="s">
        <v>28</v>
      </c>
      <c r="D1166" s="40" t="s">
        <v>312</v>
      </c>
      <c r="E1166" s="40" t="s">
        <v>237</v>
      </c>
      <c r="F1166" s="40" t="s">
        <v>323</v>
      </c>
      <c r="G1166" s="40" t="s">
        <v>329</v>
      </c>
      <c r="H1166" s="67" t="str">
        <f>Table1[[#This Row],[Tabela]]&amp;Table1[[#This Row],[Campo]]</f>
        <v>lt003_entitytxnmy_elgbl_trnvr_cca</v>
      </c>
      <c r="I1166" s="3" t="s">
        <v>30</v>
      </c>
      <c r="J1166" s="47">
        <f>VLOOKUP(Table1[[#This Row],[Status]],Auxiliar!$B$16:$C$23,2,0)</f>
        <v>7</v>
      </c>
      <c r="K1166" s="47" t="s">
        <v>1141</v>
      </c>
      <c r="L1166" s="48" t="s">
        <v>1144</v>
      </c>
      <c r="M1166" s="22" t="s">
        <v>1145</v>
      </c>
      <c r="N1166" s="53">
        <v>45485</v>
      </c>
      <c r="O1166" s="22">
        <f>INDEX(Auxiliar!$D$5:$F$13,MATCH(Table1[[#This Row],[Tipologia_Testes]],Auxiliar!$B$5:$B$13,0),MATCH(Table1[[#This Row],[Complexidade]],Auxiliar!$D$4:$F$4,0))</f>
        <v>0.1</v>
      </c>
      <c r="P1166" s="49"/>
      <c r="Q1166" s="132"/>
      <c r="R1166" s="173">
        <v>45261</v>
      </c>
      <c r="S1166" s="173"/>
      <c r="T1166" s="173"/>
      <c r="U1166" s="173"/>
      <c r="V1166" s="173"/>
      <c r="W1166" s="3">
        <f>VLOOKUP(Table1[[#This Row],[Status]],Auxiliar!$B$16:$D$23,3,0)*Table1[[#This Row],[Estimação (horas)]]</f>
        <v>0</v>
      </c>
      <c r="X1166" s="132"/>
    </row>
    <row r="1167" spans="2:24" ht="34.799999999999997" hidden="1" customHeight="1">
      <c r="B1167" s="40" t="s">
        <v>28</v>
      </c>
      <c r="C1167" s="40" t="s">
        <v>28</v>
      </c>
      <c r="D1167" s="37" t="s">
        <v>312</v>
      </c>
      <c r="E1167" s="41" t="s">
        <v>248</v>
      </c>
      <c r="F1167" s="41" t="s">
        <v>323</v>
      </c>
      <c r="G1167" s="39" t="s">
        <v>330</v>
      </c>
      <c r="H1167" s="68" t="str">
        <f>Table1[[#This Row],[Tabela]]&amp;Table1[[#This Row],[Campo]]</f>
        <v>lt003_entityenblng_capex_ccm</v>
      </c>
      <c r="I1167" s="3" t="s">
        <v>30</v>
      </c>
      <c r="J1167" s="47">
        <f>VLOOKUP(Table1[[#This Row],[Status]],Auxiliar!$B$16:$C$23,2,0)</f>
        <v>7</v>
      </c>
      <c r="K1167" s="47" t="s">
        <v>1137</v>
      </c>
      <c r="L1167" s="48" t="s">
        <v>1144</v>
      </c>
      <c r="M1167" s="22" t="s">
        <v>1145</v>
      </c>
      <c r="N1167" s="53">
        <v>45485</v>
      </c>
      <c r="O1167" s="22">
        <f>INDEX(Auxiliar!$D$5:$F$13,MATCH(Table1[[#This Row],[Tipologia_Testes]],Auxiliar!$B$5:$B$13,0),MATCH(Table1[[#This Row],[Complexidade]],Auxiliar!$D$4:$F$4,0))</f>
        <v>2</v>
      </c>
      <c r="P1167" s="49"/>
      <c r="Q1167" s="132"/>
      <c r="R1167" s="173">
        <v>45261</v>
      </c>
      <c r="S1167" s="173"/>
      <c r="T1167" s="173"/>
      <c r="U1167" s="173"/>
      <c r="V1167" s="173"/>
      <c r="W1167" s="3">
        <f>VLOOKUP(Table1[[#This Row],[Status]],Auxiliar!$B$16:$D$23,3,0)*Table1[[#This Row],[Estimação (horas)]]</f>
        <v>0</v>
      </c>
      <c r="X1167" s="132"/>
    </row>
    <row r="1168" spans="2:24" ht="17.399999999999999" hidden="1" customHeight="1">
      <c r="B1168" s="40" t="s">
        <v>28</v>
      </c>
      <c r="C1168" s="40" t="s">
        <v>28</v>
      </c>
      <c r="D1168" s="40" t="s">
        <v>312</v>
      </c>
      <c r="E1168" s="40" t="s">
        <v>248</v>
      </c>
      <c r="F1168" s="40" t="s">
        <v>323</v>
      </c>
      <c r="G1168" s="40" t="s">
        <v>330</v>
      </c>
      <c r="H1168" s="67" t="str">
        <f>Table1[[#This Row],[Tabela]]&amp;Table1[[#This Row],[Campo]]</f>
        <v>lt003_entityenblng_capex_ccm</v>
      </c>
      <c r="I1168" s="3" t="s">
        <v>30</v>
      </c>
      <c r="J1168" s="47">
        <f>VLOOKUP(Table1[[#This Row],[Status]],Auxiliar!$B$16:$C$23,2,0)</f>
        <v>7</v>
      </c>
      <c r="K1168" s="47" t="s">
        <v>1138</v>
      </c>
      <c r="L1168" s="48" t="s">
        <v>1144</v>
      </c>
      <c r="M1168" s="22" t="s">
        <v>1145</v>
      </c>
      <c r="N1168" s="53">
        <v>45485</v>
      </c>
      <c r="O1168" s="22">
        <f>INDEX(Auxiliar!$D$5:$F$13,MATCH(Table1[[#This Row],[Tipologia_Testes]],Auxiliar!$B$5:$B$13,0),MATCH(Table1[[#This Row],[Complexidade]],Auxiliar!$D$4:$F$4,0))</f>
        <v>2</v>
      </c>
      <c r="P1168" s="49"/>
      <c r="Q1168" s="132"/>
      <c r="R1168" s="173">
        <v>45261</v>
      </c>
      <c r="S1168" s="173"/>
      <c r="T1168" s="173"/>
      <c r="U1168" s="173"/>
      <c r="V1168" s="173"/>
      <c r="W1168" s="3">
        <f>VLOOKUP(Table1[[#This Row],[Status]],Auxiliar!$B$16:$D$23,3,0)*Table1[[#This Row],[Estimação (horas)]]</f>
        <v>0</v>
      </c>
      <c r="X1168" s="132"/>
    </row>
    <row r="1169" spans="2:24" ht="17.399999999999999" hidden="1" customHeight="1">
      <c r="B1169" s="40" t="s">
        <v>28</v>
      </c>
      <c r="C1169" s="40" t="s">
        <v>28</v>
      </c>
      <c r="D1169" s="40" t="s">
        <v>312</v>
      </c>
      <c r="E1169" s="40" t="s">
        <v>248</v>
      </c>
      <c r="F1169" s="40" t="s">
        <v>323</v>
      </c>
      <c r="G1169" s="40" t="s">
        <v>330</v>
      </c>
      <c r="H1169" s="67" t="str">
        <f>Table1[[#This Row],[Tabela]]&amp;Table1[[#This Row],[Campo]]</f>
        <v>lt003_entityenblng_capex_ccm</v>
      </c>
      <c r="I1169" s="3" t="s">
        <v>30</v>
      </c>
      <c r="J1169" s="47">
        <f>VLOOKUP(Table1[[#This Row],[Status]],Auxiliar!$B$16:$C$23,2,0)</f>
        <v>7</v>
      </c>
      <c r="K1169" s="47" t="s">
        <v>1141</v>
      </c>
      <c r="L1169" s="48" t="s">
        <v>1144</v>
      </c>
      <c r="M1169" s="22" t="s">
        <v>1145</v>
      </c>
      <c r="N1169" s="53">
        <v>45485</v>
      </c>
      <c r="O1169" s="22">
        <f>INDEX(Auxiliar!$D$5:$F$13,MATCH(Table1[[#This Row],[Tipologia_Testes]],Auxiliar!$B$5:$B$13,0),MATCH(Table1[[#This Row],[Complexidade]],Auxiliar!$D$4:$F$4,0))</f>
        <v>0.1</v>
      </c>
      <c r="P1169" s="49"/>
      <c r="Q1169" s="132"/>
      <c r="R1169" s="173">
        <v>45261</v>
      </c>
      <c r="S1169" s="173"/>
      <c r="T1169" s="173"/>
      <c r="U1169" s="173"/>
      <c r="V1169" s="173"/>
      <c r="W1169" s="3">
        <f>VLOOKUP(Table1[[#This Row],[Status]],Auxiliar!$B$16:$D$23,3,0)*Table1[[#This Row],[Estimação (horas)]]</f>
        <v>0</v>
      </c>
      <c r="X1169" s="132"/>
    </row>
    <row r="1170" spans="2:24" ht="34.799999999999997" hidden="1" customHeight="1">
      <c r="B1170" s="40" t="s">
        <v>28</v>
      </c>
      <c r="C1170" s="40" t="s">
        <v>28</v>
      </c>
      <c r="D1170" s="37" t="s">
        <v>312</v>
      </c>
      <c r="E1170" s="41" t="s">
        <v>241</v>
      </c>
      <c r="F1170" s="41" t="s">
        <v>323</v>
      </c>
      <c r="G1170" s="39" t="s">
        <v>331</v>
      </c>
      <c r="H1170" s="68" t="str">
        <f>Table1[[#This Row],[Tabela]]&amp;Table1[[#This Row],[Campo]]</f>
        <v>lt003_entityenblng_capex_cca</v>
      </c>
      <c r="I1170" s="3" t="s">
        <v>30</v>
      </c>
      <c r="J1170" s="47">
        <f>VLOOKUP(Table1[[#This Row],[Status]],Auxiliar!$B$16:$C$23,2,0)</f>
        <v>7</v>
      </c>
      <c r="K1170" s="47" t="s">
        <v>1137</v>
      </c>
      <c r="L1170" s="48" t="s">
        <v>1144</v>
      </c>
      <c r="M1170" s="22" t="s">
        <v>1145</v>
      </c>
      <c r="N1170" s="53">
        <v>45485</v>
      </c>
      <c r="O1170" s="22">
        <f>INDEX(Auxiliar!$D$5:$F$13,MATCH(Table1[[#This Row],[Tipologia_Testes]],Auxiliar!$B$5:$B$13,0),MATCH(Table1[[#This Row],[Complexidade]],Auxiliar!$D$4:$F$4,0))</f>
        <v>2</v>
      </c>
      <c r="P1170" s="49"/>
      <c r="Q1170" s="132"/>
      <c r="R1170" s="173">
        <v>45261</v>
      </c>
      <c r="S1170" s="173"/>
      <c r="T1170" s="173"/>
      <c r="U1170" s="173"/>
      <c r="V1170" s="173"/>
      <c r="W1170" s="3">
        <f>VLOOKUP(Table1[[#This Row],[Status]],Auxiliar!$B$16:$D$23,3,0)*Table1[[#This Row],[Estimação (horas)]]</f>
        <v>0</v>
      </c>
      <c r="X1170" s="132"/>
    </row>
    <row r="1171" spans="2:24" ht="17.399999999999999" hidden="1" customHeight="1">
      <c r="B1171" s="40" t="s">
        <v>28</v>
      </c>
      <c r="C1171" s="40" t="s">
        <v>28</v>
      </c>
      <c r="D1171" s="40" t="s">
        <v>312</v>
      </c>
      <c r="E1171" s="40" t="s">
        <v>241</v>
      </c>
      <c r="F1171" s="40" t="s">
        <v>323</v>
      </c>
      <c r="G1171" s="40" t="s">
        <v>331</v>
      </c>
      <c r="H1171" s="67" t="str">
        <f>Table1[[#This Row],[Tabela]]&amp;Table1[[#This Row],[Campo]]</f>
        <v>lt003_entityenblng_capex_cca</v>
      </c>
      <c r="I1171" s="3" t="s">
        <v>30</v>
      </c>
      <c r="J1171" s="47">
        <f>VLOOKUP(Table1[[#This Row],[Status]],Auxiliar!$B$16:$C$23,2,0)</f>
        <v>7</v>
      </c>
      <c r="K1171" s="47" t="s">
        <v>1138</v>
      </c>
      <c r="L1171" s="48" t="s">
        <v>1144</v>
      </c>
      <c r="M1171" s="22" t="s">
        <v>1145</v>
      </c>
      <c r="N1171" s="53">
        <v>45485</v>
      </c>
      <c r="O1171" s="22">
        <f>INDEX(Auxiliar!$D$5:$F$13,MATCH(Table1[[#This Row],[Tipologia_Testes]],Auxiliar!$B$5:$B$13,0),MATCH(Table1[[#This Row],[Complexidade]],Auxiliar!$D$4:$F$4,0))</f>
        <v>2</v>
      </c>
      <c r="P1171" s="49"/>
      <c r="Q1171" s="132"/>
      <c r="R1171" s="173">
        <v>45261</v>
      </c>
      <c r="S1171" s="173"/>
      <c r="T1171" s="173"/>
      <c r="U1171" s="173"/>
      <c r="V1171" s="173"/>
      <c r="W1171" s="3">
        <f>VLOOKUP(Table1[[#This Row],[Status]],Auxiliar!$B$16:$D$23,3,0)*Table1[[#This Row],[Estimação (horas)]]</f>
        <v>0</v>
      </c>
      <c r="X1171" s="132"/>
    </row>
    <row r="1172" spans="2:24" ht="17.399999999999999" hidden="1" customHeight="1">
      <c r="B1172" s="40" t="s">
        <v>28</v>
      </c>
      <c r="C1172" s="40" t="s">
        <v>28</v>
      </c>
      <c r="D1172" s="40" t="s">
        <v>312</v>
      </c>
      <c r="E1172" s="40" t="s">
        <v>241</v>
      </c>
      <c r="F1172" s="40" t="s">
        <v>323</v>
      </c>
      <c r="G1172" s="40" t="s">
        <v>331</v>
      </c>
      <c r="H1172" s="67" t="str">
        <f>Table1[[#This Row],[Tabela]]&amp;Table1[[#This Row],[Campo]]</f>
        <v>lt003_entityenblng_capex_cca</v>
      </c>
      <c r="I1172" s="3" t="s">
        <v>30</v>
      </c>
      <c r="J1172" s="47">
        <f>VLOOKUP(Table1[[#This Row],[Status]],Auxiliar!$B$16:$C$23,2,0)</f>
        <v>7</v>
      </c>
      <c r="K1172" s="47" t="s">
        <v>1141</v>
      </c>
      <c r="L1172" s="48" t="s">
        <v>1144</v>
      </c>
      <c r="M1172" s="22" t="s">
        <v>1145</v>
      </c>
      <c r="N1172" s="53">
        <v>45485</v>
      </c>
      <c r="O1172" s="22">
        <f>INDEX(Auxiliar!$D$5:$F$13,MATCH(Table1[[#This Row],[Tipologia_Testes]],Auxiliar!$B$5:$B$13,0),MATCH(Table1[[#This Row],[Complexidade]],Auxiliar!$D$4:$F$4,0))</f>
        <v>0.1</v>
      </c>
      <c r="P1172" s="49"/>
      <c r="Q1172" s="132"/>
      <c r="R1172" s="173">
        <v>45261</v>
      </c>
      <c r="S1172" s="173"/>
      <c r="T1172" s="173"/>
      <c r="U1172" s="173"/>
      <c r="V1172" s="173"/>
      <c r="W1172" s="3">
        <f>VLOOKUP(Table1[[#This Row],[Status]],Auxiliar!$B$16:$D$23,3,0)*Table1[[#This Row],[Estimação (horas)]]</f>
        <v>0</v>
      </c>
      <c r="X1172" s="132"/>
    </row>
    <row r="1173" spans="2:24" ht="34.799999999999997" hidden="1" customHeight="1">
      <c r="B1173" s="40" t="s">
        <v>28</v>
      </c>
      <c r="C1173" s="40" t="s">
        <v>28</v>
      </c>
      <c r="D1173" s="37" t="s">
        <v>312</v>
      </c>
      <c r="E1173" s="41" t="s">
        <v>249</v>
      </c>
      <c r="F1173" s="41" t="s">
        <v>323</v>
      </c>
      <c r="G1173" s="39" t="s">
        <v>332</v>
      </c>
      <c r="H1173" s="68" t="str">
        <f>Table1[[#This Row],[Tabela]]&amp;Table1[[#This Row],[Campo]]</f>
        <v>lt003_entitytrnstnl_capex</v>
      </c>
      <c r="I1173" s="3" t="s">
        <v>30</v>
      </c>
      <c r="J1173" s="47">
        <f>VLOOKUP(Table1[[#This Row],[Status]],Auxiliar!$B$16:$C$23,2,0)</f>
        <v>7</v>
      </c>
      <c r="K1173" s="47" t="s">
        <v>1137</v>
      </c>
      <c r="L1173" s="48" t="s">
        <v>1144</v>
      </c>
      <c r="M1173" s="22" t="s">
        <v>1145</v>
      </c>
      <c r="N1173" s="53">
        <v>45485</v>
      </c>
      <c r="O1173" s="22">
        <f>INDEX(Auxiliar!$D$5:$F$13,MATCH(Table1[[#This Row],[Tipologia_Testes]],Auxiliar!$B$5:$B$13,0),MATCH(Table1[[#This Row],[Complexidade]],Auxiliar!$D$4:$F$4,0))</f>
        <v>2</v>
      </c>
      <c r="P1173" s="49"/>
      <c r="Q1173" s="132"/>
      <c r="R1173" s="173">
        <v>45261</v>
      </c>
      <c r="S1173" s="173"/>
      <c r="T1173" s="173"/>
      <c r="U1173" s="173"/>
      <c r="V1173" s="173"/>
      <c r="W1173" s="3">
        <f>VLOOKUP(Table1[[#This Row],[Status]],Auxiliar!$B$16:$D$23,3,0)*Table1[[#This Row],[Estimação (horas)]]</f>
        <v>0</v>
      </c>
      <c r="X1173" s="132"/>
    </row>
    <row r="1174" spans="2:24" ht="17.399999999999999" hidden="1" customHeight="1">
      <c r="B1174" s="40" t="s">
        <v>28</v>
      </c>
      <c r="C1174" s="40" t="s">
        <v>28</v>
      </c>
      <c r="D1174" s="40" t="s">
        <v>312</v>
      </c>
      <c r="E1174" s="40" t="s">
        <v>249</v>
      </c>
      <c r="F1174" s="40" t="s">
        <v>323</v>
      </c>
      <c r="G1174" s="40" t="s">
        <v>332</v>
      </c>
      <c r="H1174" s="67" t="str">
        <f>Table1[[#This Row],[Tabela]]&amp;Table1[[#This Row],[Campo]]</f>
        <v>lt003_entitytrnstnl_capex</v>
      </c>
      <c r="I1174" s="3" t="s">
        <v>30</v>
      </c>
      <c r="J1174" s="47">
        <f>VLOOKUP(Table1[[#This Row],[Status]],Auxiliar!$B$16:$C$23,2,0)</f>
        <v>7</v>
      </c>
      <c r="K1174" s="47" t="s">
        <v>1138</v>
      </c>
      <c r="L1174" s="48" t="s">
        <v>1144</v>
      </c>
      <c r="M1174" s="22" t="s">
        <v>1145</v>
      </c>
      <c r="N1174" s="53">
        <v>45485</v>
      </c>
      <c r="O1174" s="22">
        <f>INDEX(Auxiliar!$D$5:$F$13,MATCH(Table1[[#This Row],[Tipologia_Testes]],Auxiliar!$B$5:$B$13,0),MATCH(Table1[[#This Row],[Complexidade]],Auxiliar!$D$4:$F$4,0))</f>
        <v>2</v>
      </c>
      <c r="P1174" s="49"/>
      <c r="Q1174" s="132"/>
      <c r="R1174" s="173">
        <v>45261</v>
      </c>
      <c r="S1174" s="173"/>
      <c r="T1174" s="173"/>
      <c r="U1174" s="173"/>
      <c r="V1174" s="173"/>
      <c r="W1174" s="3">
        <f>VLOOKUP(Table1[[#This Row],[Status]],Auxiliar!$B$16:$D$23,3,0)*Table1[[#This Row],[Estimação (horas)]]</f>
        <v>0</v>
      </c>
      <c r="X1174" s="132"/>
    </row>
    <row r="1175" spans="2:24" ht="17.399999999999999" hidden="1" customHeight="1">
      <c r="B1175" s="40" t="s">
        <v>28</v>
      </c>
      <c r="C1175" s="40" t="s">
        <v>28</v>
      </c>
      <c r="D1175" s="40" t="s">
        <v>312</v>
      </c>
      <c r="E1175" s="40" t="s">
        <v>249</v>
      </c>
      <c r="F1175" s="40" t="s">
        <v>323</v>
      </c>
      <c r="G1175" s="40" t="s">
        <v>332</v>
      </c>
      <c r="H1175" s="67" t="str">
        <f>Table1[[#This Row],[Tabela]]&amp;Table1[[#This Row],[Campo]]</f>
        <v>lt003_entitytrnstnl_capex</v>
      </c>
      <c r="I1175" s="3" t="s">
        <v>30</v>
      </c>
      <c r="J1175" s="47">
        <f>VLOOKUP(Table1[[#This Row],[Status]],Auxiliar!$B$16:$C$23,2,0)</f>
        <v>7</v>
      </c>
      <c r="K1175" s="47" t="s">
        <v>1141</v>
      </c>
      <c r="L1175" s="48" t="s">
        <v>1144</v>
      </c>
      <c r="M1175" s="22" t="s">
        <v>1145</v>
      </c>
      <c r="N1175" s="53">
        <v>45485</v>
      </c>
      <c r="O1175" s="22">
        <f>INDEX(Auxiliar!$D$5:$F$13,MATCH(Table1[[#This Row],[Tipologia_Testes]],Auxiliar!$B$5:$B$13,0),MATCH(Table1[[#This Row],[Complexidade]],Auxiliar!$D$4:$F$4,0))</f>
        <v>0.1</v>
      </c>
      <c r="P1175" s="49"/>
      <c r="Q1175" s="132"/>
      <c r="R1175" s="173">
        <v>45261</v>
      </c>
      <c r="S1175" s="173"/>
      <c r="T1175" s="173"/>
      <c r="U1175" s="173"/>
      <c r="V1175" s="173"/>
      <c r="W1175" s="3">
        <f>VLOOKUP(Table1[[#This Row],[Status]],Auxiliar!$B$16:$D$23,3,0)*Table1[[#This Row],[Estimação (horas)]]</f>
        <v>0</v>
      </c>
      <c r="X1175" s="132"/>
    </row>
    <row r="1176" spans="2:24" ht="34.799999999999997" hidden="1" customHeight="1">
      <c r="B1176" s="40" t="s">
        <v>28</v>
      </c>
      <c r="C1176" s="40" t="s">
        <v>28</v>
      </c>
      <c r="D1176" s="37" t="s">
        <v>312</v>
      </c>
      <c r="E1176" s="41" t="s">
        <v>250</v>
      </c>
      <c r="F1176" s="41" t="s">
        <v>323</v>
      </c>
      <c r="G1176" s="39" t="s">
        <v>333</v>
      </c>
      <c r="H1176" s="68" t="str">
        <f>Table1[[#This Row],[Tabela]]&amp;Table1[[#This Row],[Campo]]</f>
        <v>lt003_entitypure_capex_ccm</v>
      </c>
      <c r="I1176" s="3" t="s">
        <v>30</v>
      </c>
      <c r="J1176" s="47">
        <f>VLOOKUP(Table1[[#This Row],[Status]],Auxiliar!$B$16:$C$23,2,0)</f>
        <v>7</v>
      </c>
      <c r="K1176" s="47" t="s">
        <v>1137</v>
      </c>
      <c r="L1176" s="48" t="s">
        <v>1144</v>
      </c>
      <c r="M1176" s="22" t="s">
        <v>1145</v>
      </c>
      <c r="N1176" s="53">
        <v>45485</v>
      </c>
      <c r="O1176" s="22">
        <f>INDEX(Auxiliar!$D$5:$F$13,MATCH(Table1[[#This Row],[Tipologia_Testes]],Auxiliar!$B$5:$B$13,0),MATCH(Table1[[#This Row],[Complexidade]],Auxiliar!$D$4:$F$4,0))</f>
        <v>2</v>
      </c>
      <c r="P1176" s="49"/>
      <c r="Q1176" s="132"/>
      <c r="R1176" s="173">
        <v>45261</v>
      </c>
      <c r="S1176" s="173"/>
      <c r="T1176" s="173"/>
      <c r="U1176" s="173"/>
      <c r="V1176" s="173"/>
      <c r="W1176" s="3">
        <f>VLOOKUP(Table1[[#This Row],[Status]],Auxiliar!$B$16:$D$23,3,0)*Table1[[#This Row],[Estimação (horas)]]</f>
        <v>0</v>
      </c>
      <c r="X1176" s="132"/>
    </row>
    <row r="1177" spans="2:24" ht="17.399999999999999" hidden="1" customHeight="1">
      <c r="B1177" s="40" t="s">
        <v>28</v>
      </c>
      <c r="C1177" s="40" t="s">
        <v>28</v>
      </c>
      <c r="D1177" s="40" t="s">
        <v>312</v>
      </c>
      <c r="E1177" s="40" t="s">
        <v>250</v>
      </c>
      <c r="F1177" s="40" t="s">
        <v>323</v>
      </c>
      <c r="G1177" s="40" t="s">
        <v>333</v>
      </c>
      <c r="H1177" s="67" t="str">
        <f>Table1[[#This Row],[Tabela]]&amp;Table1[[#This Row],[Campo]]</f>
        <v>lt003_entitypure_capex_ccm</v>
      </c>
      <c r="I1177" s="3" t="s">
        <v>30</v>
      </c>
      <c r="J1177" s="47">
        <f>VLOOKUP(Table1[[#This Row],[Status]],Auxiliar!$B$16:$C$23,2,0)</f>
        <v>7</v>
      </c>
      <c r="K1177" s="47" t="s">
        <v>1138</v>
      </c>
      <c r="L1177" s="48" t="s">
        <v>1144</v>
      </c>
      <c r="M1177" s="22" t="s">
        <v>1145</v>
      </c>
      <c r="N1177" s="53">
        <v>45485</v>
      </c>
      <c r="O1177" s="22">
        <f>INDEX(Auxiliar!$D$5:$F$13,MATCH(Table1[[#This Row],[Tipologia_Testes]],Auxiliar!$B$5:$B$13,0),MATCH(Table1[[#This Row],[Complexidade]],Auxiliar!$D$4:$F$4,0))</f>
        <v>2</v>
      </c>
      <c r="P1177" s="49"/>
      <c r="Q1177" s="132"/>
      <c r="R1177" s="173">
        <v>45261</v>
      </c>
      <c r="S1177" s="173"/>
      <c r="T1177" s="173"/>
      <c r="U1177" s="173"/>
      <c r="V1177" s="173"/>
      <c r="W1177" s="3">
        <f>VLOOKUP(Table1[[#This Row],[Status]],Auxiliar!$B$16:$D$23,3,0)*Table1[[#This Row],[Estimação (horas)]]</f>
        <v>0</v>
      </c>
      <c r="X1177" s="132"/>
    </row>
    <row r="1178" spans="2:24" ht="17.399999999999999" hidden="1" customHeight="1">
      <c r="B1178" s="40" t="s">
        <v>28</v>
      </c>
      <c r="C1178" s="40" t="s">
        <v>28</v>
      </c>
      <c r="D1178" s="40" t="s">
        <v>312</v>
      </c>
      <c r="E1178" s="40" t="s">
        <v>250</v>
      </c>
      <c r="F1178" s="40" t="s">
        <v>323</v>
      </c>
      <c r="G1178" s="40" t="s">
        <v>333</v>
      </c>
      <c r="H1178" s="67" t="str">
        <f>Table1[[#This Row],[Tabela]]&amp;Table1[[#This Row],[Campo]]</f>
        <v>lt003_entitypure_capex_ccm</v>
      </c>
      <c r="I1178" s="3" t="s">
        <v>30</v>
      </c>
      <c r="J1178" s="47">
        <f>VLOOKUP(Table1[[#This Row],[Status]],Auxiliar!$B$16:$C$23,2,0)</f>
        <v>7</v>
      </c>
      <c r="K1178" s="47" t="s">
        <v>1141</v>
      </c>
      <c r="L1178" s="48" t="s">
        <v>1144</v>
      </c>
      <c r="M1178" s="22" t="s">
        <v>1145</v>
      </c>
      <c r="N1178" s="53">
        <v>45485</v>
      </c>
      <c r="O1178" s="22">
        <f>INDEX(Auxiliar!$D$5:$F$13,MATCH(Table1[[#This Row],[Tipologia_Testes]],Auxiliar!$B$5:$B$13,0),MATCH(Table1[[#This Row],[Complexidade]],Auxiliar!$D$4:$F$4,0))</f>
        <v>0.1</v>
      </c>
      <c r="P1178" s="49"/>
      <c r="Q1178" s="132"/>
      <c r="R1178" s="173">
        <v>45261</v>
      </c>
      <c r="S1178" s="173"/>
      <c r="T1178" s="173"/>
      <c r="U1178" s="173"/>
      <c r="V1178" s="173"/>
      <c r="W1178" s="3">
        <f>VLOOKUP(Table1[[#This Row],[Status]],Auxiliar!$B$16:$D$23,3,0)*Table1[[#This Row],[Estimação (horas)]]</f>
        <v>0</v>
      </c>
      <c r="X1178" s="132"/>
    </row>
    <row r="1179" spans="2:24" ht="34.799999999999997" hidden="1" customHeight="1">
      <c r="B1179" s="40" t="s">
        <v>28</v>
      </c>
      <c r="C1179" s="40" t="s">
        <v>28</v>
      </c>
      <c r="D1179" s="37" t="s">
        <v>312</v>
      </c>
      <c r="E1179" s="41" t="s">
        <v>242</v>
      </c>
      <c r="F1179" s="41" t="s">
        <v>323</v>
      </c>
      <c r="G1179" s="39" t="s">
        <v>334</v>
      </c>
      <c r="H1179" s="68" t="str">
        <f>Table1[[#This Row],[Tabela]]&amp;Table1[[#This Row],[Campo]]</f>
        <v>lt003_entitypure_capex_cca</v>
      </c>
      <c r="I1179" s="3" t="s">
        <v>30</v>
      </c>
      <c r="J1179" s="47">
        <f>VLOOKUP(Table1[[#This Row],[Status]],Auxiliar!$B$16:$C$23,2,0)</f>
        <v>7</v>
      </c>
      <c r="K1179" s="47" t="s">
        <v>1137</v>
      </c>
      <c r="L1179" s="48" t="s">
        <v>1144</v>
      </c>
      <c r="M1179" s="22" t="s">
        <v>1145</v>
      </c>
      <c r="N1179" s="53">
        <v>45485</v>
      </c>
      <c r="O1179" s="22">
        <f>INDEX(Auxiliar!$D$5:$F$13,MATCH(Table1[[#This Row],[Tipologia_Testes]],Auxiliar!$B$5:$B$13,0),MATCH(Table1[[#This Row],[Complexidade]],Auxiliar!$D$4:$F$4,0))</f>
        <v>2</v>
      </c>
      <c r="P1179" s="49"/>
      <c r="Q1179" s="132"/>
      <c r="R1179" s="173">
        <v>45261</v>
      </c>
      <c r="S1179" s="173"/>
      <c r="T1179" s="173"/>
      <c r="U1179" s="173"/>
      <c r="V1179" s="173"/>
      <c r="W1179" s="3">
        <f>VLOOKUP(Table1[[#This Row],[Status]],Auxiliar!$B$16:$D$23,3,0)*Table1[[#This Row],[Estimação (horas)]]</f>
        <v>0</v>
      </c>
      <c r="X1179" s="132"/>
    </row>
    <row r="1180" spans="2:24" ht="17.399999999999999" hidden="1" customHeight="1">
      <c r="B1180" s="40" t="s">
        <v>28</v>
      </c>
      <c r="C1180" s="40" t="s">
        <v>28</v>
      </c>
      <c r="D1180" s="40" t="s">
        <v>312</v>
      </c>
      <c r="E1180" s="40" t="s">
        <v>242</v>
      </c>
      <c r="F1180" s="40" t="s">
        <v>323</v>
      </c>
      <c r="G1180" s="40" t="s">
        <v>334</v>
      </c>
      <c r="H1180" s="67" t="str">
        <f>Table1[[#This Row],[Tabela]]&amp;Table1[[#This Row],[Campo]]</f>
        <v>lt003_entitypure_capex_cca</v>
      </c>
      <c r="I1180" s="3" t="s">
        <v>30</v>
      </c>
      <c r="J1180" s="47">
        <f>VLOOKUP(Table1[[#This Row],[Status]],Auxiliar!$B$16:$C$23,2,0)</f>
        <v>7</v>
      </c>
      <c r="K1180" s="47" t="s">
        <v>1138</v>
      </c>
      <c r="L1180" s="48" t="s">
        <v>1144</v>
      </c>
      <c r="M1180" s="22" t="s">
        <v>1145</v>
      </c>
      <c r="N1180" s="53">
        <v>45485</v>
      </c>
      <c r="O1180" s="22">
        <f>INDEX(Auxiliar!$D$5:$F$13,MATCH(Table1[[#This Row],[Tipologia_Testes]],Auxiliar!$B$5:$B$13,0),MATCH(Table1[[#This Row],[Complexidade]],Auxiliar!$D$4:$F$4,0))</f>
        <v>2</v>
      </c>
      <c r="P1180" s="49"/>
      <c r="Q1180" s="132"/>
      <c r="R1180" s="173">
        <v>45261</v>
      </c>
      <c r="S1180" s="173"/>
      <c r="T1180" s="173"/>
      <c r="U1180" s="173"/>
      <c r="V1180" s="173"/>
      <c r="W1180" s="3">
        <f>VLOOKUP(Table1[[#This Row],[Status]],Auxiliar!$B$16:$D$23,3,0)*Table1[[#This Row],[Estimação (horas)]]</f>
        <v>0</v>
      </c>
      <c r="X1180" s="132"/>
    </row>
    <row r="1181" spans="2:24" ht="17.399999999999999" hidden="1" customHeight="1">
      <c r="B1181" s="40" t="s">
        <v>28</v>
      </c>
      <c r="C1181" s="40" t="s">
        <v>28</v>
      </c>
      <c r="D1181" s="40" t="s">
        <v>312</v>
      </c>
      <c r="E1181" s="40" t="s">
        <v>242</v>
      </c>
      <c r="F1181" s="40" t="s">
        <v>323</v>
      </c>
      <c r="G1181" s="40" t="s">
        <v>334</v>
      </c>
      <c r="H1181" s="67" t="str">
        <f>Table1[[#This Row],[Tabela]]&amp;Table1[[#This Row],[Campo]]</f>
        <v>lt003_entitypure_capex_cca</v>
      </c>
      <c r="I1181" s="3" t="s">
        <v>30</v>
      </c>
      <c r="J1181" s="47">
        <f>VLOOKUP(Table1[[#This Row],[Status]],Auxiliar!$B$16:$C$23,2,0)</f>
        <v>7</v>
      </c>
      <c r="K1181" s="47" t="s">
        <v>1141</v>
      </c>
      <c r="L1181" s="48" t="s">
        <v>1144</v>
      </c>
      <c r="M1181" s="22" t="s">
        <v>1145</v>
      </c>
      <c r="N1181" s="53">
        <v>45485</v>
      </c>
      <c r="O1181" s="22">
        <f>INDEX(Auxiliar!$D$5:$F$13,MATCH(Table1[[#This Row],[Tipologia_Testes]],Auxiliar!$B$5:$B$13,0),MATCH(Table1[[#This Row],[Complexidade]],Auxiliar!$D$4:$F$4,0))</f>
        <v>0.1</v>
      </c>
      <c r="P1181" s="49"/>
      <c r="Q1181" s="132"/>
      <c r="R1181" s="173">
        <v>45261</v>
      </c>
      <c r="S1181" s="173"/>
      <c r="T1181" s="173"/>
      <c r="U1181" s="173"/>
      <c r="V1181" s="173"/>
      <c r="W1181" s="3">
        <f>VLOOKUP(Table1[[#This Row],[Status]],Auxiliar!$B$16:$D$23,3,0)*Table1[[#This Row],[Estimação (horas)]]</f>
        <v>0</v>
      </c>
      <c r="X1181" s="132"/>
    </row>
    <row r="1182" spans="2:24" ht="34.799999999999997" hidden="1" customHeight="1">
      <c r="B1182" s="40" t="s">
        <v>28</v>
      </c>
      <c r="C1182" s="40" t="s">
        <v>28</v>
      </c>
      <c r="D1182" s="39" t="s">
        <v>312</v>
      </c>
      <c r="E1182" s="41" t="s">
        <v>244</v>
      </c>
      <c r="F1182" s="41" t="s">
        <v>323</v>
      </c>
      <c r="G1182" s="39" t="s">
        <v>335</v>
      </c>
      <c r="H1182" s="68" t="str">
        <f>Table1[[#This Row],[Tabela]]&amp;Table1[[#This Row],[Campo]]</f>
        <v>lt003_entityenblng_trnvr_ccm</v>
      </c>
      <c r="I1182" s="3" t="s">
        <v>30</v>
      </c>
      <c r="J1182" s="47">
        <f>VLOOKUP(Table1[[#This Row],[Status]],Auxiliar!$B$16:$C$23,2,0)</f>
        <v>7</v>
      </c>
      <c r="K1182" s="47" t="s">
        <v>1137</v>
      </c>
      <c r="L1182" s="48" t="s">
        <v>1144</v>
      </c>
      <c r="M1182" s="22" t="s">
        <v>1145</v>
      </c>
      <c r="N1182" s="53">
        <v>45485</v>
      </c>
      <c r="O1182" s="22">
        <f>INDEX(Auxiliar!$D$5:$F$13,MATCH(Table1[[#This Row],[Tipologia_Testes]],Auxiliar!$B$5:$B$13,0),MATCH(Table1[[#This Row],[Complexidade]],Auxiliar!$D$4:$F$4,0))</f>
        <v>2</v>
      </c>
      <c r="P1182" s="49"/>
      <c r="Q1182" s="132"/>
      <c r="R1182" s="173">
        <v>45261</v>
      </c>
      <c r="S1182" s="173"/>
      <c r="T1182" s="173"/>
      <c r="U1182" s="173"/>
      <c r="V1182" s="173"/>
      <c r="W1182" s="3">
        <f>VLOOKUP(Table1[[#This Row],[Status]],Auxiliar!$B$16:$D$23,3,0)*Table1[[#This Row],[Estimação (horas)]]</f>
        <v>0</v>
      </c>
      <c r="X1182" s="132"/>
    </row>
    <row r="1183" spans="2:24" ht="17.399999999999999" hidden="1" customHeight="1">
      <c r="B1183" s="40" t="s">
        <v>28</v>
      </c>
      <c r="C1183" s="40" t="s">
        <v>28</v>
      </c>
      <c r="D1183" s="40" t="s">
        <v>312</v>
      </c>
      <c r="E1183" s="40" t="s">
        <v>244</v>
      </c>
      <c r="F1183" s="40" t="s">
        <v>323</v>
      </c>
      <c r="G1183" s="40" t="s">
        <v>335</v>
      </c>
      <c r="H1183" s="67" t="str">
        <f>Table1[[#This Row],[Tabela]]&amp;Table1[[#This Row],[Campo]]</f>
        <v>lt003_entityenblng_trnvr_ccm</v>
      </c>
      <c r="I1183" s="3" t="s">
        <v>30</v>
      </c>
      <c r="J1183" s="47">
        <f>VLOOKUP(Table1[[#This Row],[Status]],Auxiliar!$B$16:$C$23,2,0)</f>
        <v>7</v>
      </c>
      <c r="K1183" s="47" t="s">
        <v>1138</v>
      </c>
      <c r="L1183" s="48" t="s">
        <v>1144</v>
      </c>
      <c r="M1183" s="22" t="s">
        <v>1145</v>
      </c>
      <c r="N1183" s="53">
        <v>45485</v>
      </c>
      <c r="O1183" s="22">
        <f>INDEX(Auxiliar!$D$5:$F$13,MATCH(Table1[[#This Row],[Tipologia_Testes]],Auxiliar!$B$5:$B$13,0),MATCH(Table1[[#This Row],[Complexidade]],Auxiliar!$D$4:$F$4,0))</f>
        <v>2</v>
      </c>
      <c r="P1183" s="49"/>
      <c r="Q1183" s="132"/>
      <c r="R1183" s="173">
        <v>45261</v>
      </c>
      <c r="S1183" s="173"/>
      <c r="T1183" s="173"/>
      <c r="U1183" s="173"/>
      <c r="V1183" s="173"/>
      <c r="W1183" s="3">
        <f>VLOOKUP(Table1[[#This Row],[Status]],Auxiliar!$B$16:$D$23,3,0)*Table1[[#This Row],[Estimação (horas)]]</f>
        <v>0</v>
      </c>
      <c r="X1183" s="132"/>
    </row>
    <row r="1184" spans="2:24" ht="17.399999999999999" hidden="1" customHeight="1">
      <c r="B1184" s="40" t="s">
        <v>28</v>
      </c>
      <c r="C1184" s="40" t="s">
        <v>28</v>
      </c>
      <c r="D1184" s="40" t="s">
        <v>312</v>
      </c>
      <c r="E1184" s="40" t="s">
        <v>244</v>
      </c>
      <c r="F1184" s="40" t="s">
        <v>323</v>
      </c>
      <c r="G1184" s="40" t="s">
        <v>335</v>
      </c>
      <c r="H1184" s="67" t="str">
        <f>Table1[[#This Row],[Tabela]]&amp;Table1[[#This Row],[Campo]]</f>
        <v>lt003_entityenblng_trnvr_ccm</v>
      </c>
      <c r="I1184" s="3" t="s">
        <v>30</v>
      </c>
      <c r="J1184" s="47">
        <f>VLOOKUP(Table1[[#This Row],[Status]],Auxiliar!$B$16:$C$23,2,0)</f>
        <v>7</v>
      </c>
      <c r="K1184" s="47" t="s">
        <v>1141</v>
      </c>
      <c r="L1184" s="48" t="s">
        <v>1144</v>
      </c>
      <c r="M1184" s="22" t="s">
        <v>1145</v>
      </c>
      <c r="N1184" s="53">
        <v>45485</v>
      </c>
      <c r="O1184" s="22">
        <f>INDEX(Auxiliar!$D$5:$F$13,MATCH(Table1[[#This Row],[Tipologia_Testes]],Auxiliar!$B$5:$B$13,0),MATCH(Table1[[#This Row],[Complexidade]],Auxiliar!$D$4:$F$4,0))</f>
        <v>0.1</v>
      </c>
      <c r="P1184" s="49"/>
      <c r="Q1184" s="132"/>
      <c r="R1184" s="173">
        <v>45261</v>
      </c>
      <c r="S1184" s="173"/>
      <c r="T1184" s="173"/>
      <c r="U1184" s="173"/>
      <c r="V1184" s="173"/>
      <c r="W1184" s="3">
        <f>VLOOKUP(Table1[[#This Row],[Status]],Auxiliar!$B$16:$D$23,3,0)*Table1[[#This Row],[Estimação (horas)]]</f>
        <v>0</v>
      </c>
      <c r="X1184" s="132"/>
    </row>
    <row r="1185" spans="2:24" ht="34.799999999999997" hidden="1" customHeight="1">
      <c r="B1185" s="40" t="s">
        <v>28</v>
      </c>
      <c r="C1185" s="40" t="s">
        <v>28</v>
      </c>
      <c r="D1185" s="39" t="s">
        <v>312</v>
      </c>
      <c r="E1185" s="41" t="s">
        <v>238</v>
      </c>
      <c r="F1185" s="41" t="s">
        <v>323</v>
      </c>
      <c r="G1185" s="39" t="s">
        <v>336</v>
      </c>
      <c r="H1185" s="68" t="str">
        <f>Table1[[#This Row],[Tabela]]&amp;Table1[[#This Row],[Campo]]</f>
        <v>lt003_entityenblng_trnvr_cca</v>
      </c>
      <c r="I1185" s="3" t="s">
        <v>30</v>
      </c>
      <c r="J1185" s="47">
        <f>VLOOKUP(Table1[[#This Row],[Status]],Auxiliar!$B$16:$C$23,2,0)</f>
        <v>7</v>
      </c>
      <c r="K1185" s="47" t="s">
        <v>1137</v>
      </c>
      <c r="L1185" s="48" t="s">
        <v>1144</v>
      </c>
      <c r="M1185" s="22" t="s">
        <v>1145</v>
      </c>
      <c r="N1185" s="53">
        <v>45485</v>
      </c>
      <c r="O1185" s="22">
        <f>INDEX(Auxiliar!$D$5:$F$13,MATCH(Table1[[#This Row],[Tipologia_Testes]],Auxiliar!$B$5:$B$13,0),MATCH(Table1[[#This Row],[Complexidade]],Auxiliar!$D$4:$F$4,0))</f>
        <v>2</v>
      </c>
      <c r="P1185" s="49"/>
      <c r="Q1185" s="132"/>
      <c r="R1185" s="173">
        <v>45261</v>
      </c>
      <c r="S1185" s="173"/>
      <c r="T1185" s="173"/>
      <c r="U1185" s="173"/>
      <c r="V1185" s="173"/>
      <c r="W1185" s="3">
        <f>VLOOKUP(Table1[[#This Row],[Status]],Auxiliar!$B$16:$D$23,3,0)*Table1[[#This Row],[Estimação (horas)]]</f>
        <v>0</v>
      </c>
      <c r="X1185" s="132"/>
    </row>
    <row r="1186" spans="2:24" ht="17.399999999999999" hidden="1" customHeight="1">
      <c r="B1186" s="40" t="s">
        <v>28</v>
      </c>
      <c r="C1186" s="40" t="s">
        <v>28</v>
      </c>
      <c r="D1186" s="40" t="s">
        <v>312</v>
      </c>
      <c r="E1186" s="40" t="s">
        <v>238</v>
      </c>
      <c r="F1186" s="40" t="s">
        <v>323</v>
      </c>
      <c r="G1186" s="40" t="s">
        <v>336</v>
      </c>
      <c r="H1186" s="67" t="str">
        <f>Table1[[#This Row],[Tabela]]&amp;Table1[[#This Row],[Campo]]</f>
        <v>lt003_entityenblng_trnvr_cca</v>
      </c>
      <c r="I1186" s="3" t="s">
        <v>30</v>
      </c>
      <c r="J1186" s="47">
        <f>VLOOKUP(Table1[[#This Row],[Status]],Auxiliar!$B$16:$C$23,2,0)</f>
        <v>7</v>
      </c>
      <c r="K1186" s="47" t="s">
        <v>1138</v>
      </c>
      <c r="L1186" s="48" t="s">
        <v>1144</v>
      </c>
      <c r="M1186" s="22" t="s">
        <v>1145</v>
      </c>
      <c r="N1186" s="53">
        <v>45485</v>
      </c>
      <c r="O1186" s="22">
        <f>INDEX(Auxiliar!$D$5:$F$13,MATCH(Table1[[#This Row],[Tipologia_Testes]],Auxiliar!$B$5:$B$13,0),MATCH(Table1[[#This Row],[Complexidade]],Auxiliar!$D$4:$F$4,0))</f>
        <v>2</v>
      </c>
      <c r="P1186" s="49"/>
      <c r="Q1186" s="132"/>
      <c r="R1186" s="173">
        <v>45261</v>
      </c>
      <c r="S1186" s="173"/>
      <c r="T1186" s="173"/>
      <c r="U1186" s="173"/>
      <c r="V1186" s="173"/>
      <c r="W1186" s="3">
        <f>VLOOKUP(Table1[[#This Row],[Status]],Auxiliar!$B$16:$D$23,3,0)*Table1[[#This Row],[Estimação (horas)]]</f>
        <v>0</v>
      </c>
      <c r="X1186" s="132"/>
    </row>
    <row r="1187" spans="2:24" ht="17.399999999999999" hidden="1" customHeight="1">
      <c r="B1187" s="40" t="s">
        <v>28</v>
      </c>
      <c r="C1187" s="40" t="s">
        <v>28</v>
      </c>
      <c r="D1187" s="40" t="s">
        <v>312</v>
      </c>
      <c r="E1187" s="40" t="s">
        <v>238</v>
      </c>
      <c r="F1187" s="40" t="s">
        <v>323</v>
      </c>
      <c r="G1187" s="40" t="s">
        <v>336</v>
      </c>
      <c r="H1187" s="67" t="str">
        <f>Table1[[#This Row],[Tabela]]&amp;Table1[[#This Row],[Campo]]</f>
        <v>lt003_entityenblng_trnvr_cca</v>
      </c>
      <c r="I1187" s="3" t="s">
        <v>30</v>
      </c>
      <c r="J1187" s="47">
        <f>VLOOKUP(Table1[[#This Row],[Status]],Auxiliar!$B$16:$C$23,2,0)</f>
        <v>7</v>
      </c>
      <c r="K1187" s="47" t="s">
        <v>1141</v>
      </c>
      <c r="L1187" s="48" t="s">
        <v>1144</v>
      </c>
      <c r="M1187" s="22" t="s">
        <v>1145</v>
      </c>
      <c r="N1187" s="53">
        <v>45485</v>
      </c>
      <c r="O1187" s="22">
        <f>INDEX(Auxiliar!$D$5:$F$13,MATCH(Table1[[#This Row],[Tipologia_Testes]],Auxiliar!$B$5:$B$13,0),MATCH(Table1[[#This Row],[Complexidade]],Auxiliar!$D$4:$F$4,0))</f>
        <v>0.1</v>
      </c>
      <c r="P1187" s="49"/>
      <c r="Q1187" s="132"/>
      <c r="R1187" s="173">
        <v>45261</v>
      </c>
      <c r="S1187" s="173"/>
      <c r="T1187" s="173"/>
      <c r="U1187" s="173"/>
      <c r="V1187" s="173"/>
      <c r="W1187" s="3">
        <f>VLOOKUP(Table1[[#This Row],[Status]],Auxiliar!$B$16:$D$23,3,0)*Table1[[#This Row],[Estimação (horas)]]</f>
        <v>0</v>
      </c>
      <c r="X1187" s="132"/>
    </row>
    <row r="1188" spans="2:24" ht="34.799999999999997" hidden="1" customHeight="1">
      <c r="B1188" s="42" t="s">
        <v>28</v>
      </c>
      <c r="C1188" s="42" t="s">
        <v>28</v>
      </c>
      <c r="D1188" s="39" t="s">
        <v>312</v>
      </c>
      <c r="E1188" s="41" t="s">
        <v>245</v>
      </c>
      <c r="F1188" s="41" t="s">
        <v>323</v>
      </c>
      <c r="G1188" s="39" t="s">
        <v>337</v>
      </c>
      <c r="H1188" s="68" t="str">
        <f>Table1[[#This Row],[Tabela]]&amp;Table1[[#This Row],[Campo]]</f>
        <v>lt003_entitytrnstnl_trnvr</v>
      </c>
      <c r="I1188" s="3" t="s">
        <v>30</v>
      </c>
      <c r="J1188" s="47">
        <f>VLOOKUP(Table1[[#This Row],[Status]],Auxiliar!$B$16:$C$23,2,0)</f>
        <v>7</v>
      </c>
      <c r="K1188" s="47" t="s">
        <v>1137</v>
      </c>
      <c r="L1188" s="48" t="s">
        <v>1144</v>
      </c>
      <c r="M1188" s="22" t="s">
        <v>1145</v>
      </c>
      <c r="N1188" s="53">
        <v>45485</v>
      </c>
      <c r="O1188" s="22">
        <f>INDEX(Auxiliar!$D$5:$F$13,MATCH(Table1[[#This Row],[Tipologia_Testes]],Auxiliar!$B$5:$B$13,0),MATCH(Table1[[#This Row],[Complexidade]],Auxiliar!$D$4:$F$4,0))</f>
        <v>2</v>
      </c>
      <c r="P1188" s="45"/>
      <c r="Q1188" s="132"/>
      <c r="R1188" s="173">
        <v>45261</v>
      </c>
      <c r="S1188" s="173"/>
      <c r="T1188" s="173"/>
      <c r="U1188" s="173"/>
      <c r="V1188" s="173"/>
      <c r="W1188" s="3">
        <f>VLOOKUP(Table1[[#This Row],[Status]],Auxiliar!$B$16:$D$23,3,0)*Table1[[#This Row],[Estimação (horas)]]</f>
        <v>0</v>
      </c>
      <c r="X1188" s="132"/>
    </row>
    <row r="1189" spans="2:24" ht="17.399999999999999" hidden="1" customHeight="1">
      <c r="B1189" s="40" t="s">
        <v>28</v>
      </c>
      <c r="C1189" s="40" t="s">
        <v>28</v>
      </c>
      <c r="D1189" s="40" t="s">
        <v>312</v>
      </c>
      <c r="E1189" s="40" t="s">
        <v>245</v>
      </c>
      <c r="F1189" s="40" t="s">
        <v>323</v>
      </c>
      <c r="G1189" s="40" t="s">
        <v>337</v>
      </c>
      <c r="H1189" s="67" t="str">
        <f>Table1[[#This Row],[Tabela]]&amp;Table1[[#This Row],[Campo]]</f>
        <v>lt003_entitytrnstnl_trnvr</v>
      </c>
      <c r="I1189" s="3" t="s">
        <v>30</v>
      </c>
      <c r="J1189" s="47">
        <f>VLOOKUP(Table1[[#This Row],[Status]],Auxiliar!$B$16:$C$23,2,0)</f>
        <v>7</v>
      </c>
      <c r="K1189" s="47" t="s">
        <v>1138</v>
      </c>
      <c r="L1189" s="48" t="s">
        <v>1144</v>
      </c>
      <c r="M1189" s="22" t="s">
        <v>1145</v>
      </c>
      <c r="N1189" s="53">
        <v>45485</v>
      </c>
      <c r="O1189" s="22">
        <f>INDEX(Auxiliar!$D$5:$F$13,MATCH(Table1[[#This Row],[Tipologia_Testes]],Auxiliar!$B$5:$B$13,0),MATCH(Table1[[#This Row],[Complexidade]],Auxiliar!$D$4:$F$4,0))</f>
        <v>2</v>
      </c>
      <c r="P1189" s="45"/>
      <c r="Q1189" s="132"/>
      <c r="R1189" s="173">
        <v>45261</v>
      </c>
      <c r="S1189" s="173"/>
      <c r="T1189" s="173"/>
      <c r="U1189" s="173"/>
      <c r="V1189" s="173"/>
      <c r="W1189" s="3">
        <f>VLOOKUP(Table1[[#This Row],[Status]],Auxiliar!$B$16:$D$23,3,0)*Table1[[#This Row],[Estimação (horas)]]</f>
        <v>0</v>
      </c>
      <c r="X1189" s="132"/>
    </row>
    <row r="1190" spans="2:24" ht="17.399999999999999" hidden="1" customHeight="1">
      <c r="B1190" s="40" t="s">
        <v>28</v>
      </c>
      <c r="C1190" s="40" t="s">
        <v>28</v>
      </c>
      <c r="D1190" s="40" t="s">
        <v>312</v>
      </c>
      <c r="E1190" s="40" t="s">
        <v>245</v>
      </c>
      <c r="F1190" s="40" t="s">
        <v>323</v>
      </c>
      <c r="G1190" s="40" t="s">
        <v>337</v>
      </c>
      <c r="H1190" s="67" t="str">
        <f>Table1[[#This Row],[Tabela]]&amp;Table1[[#This Row],[Campo]]</f>
        <v>lt003_entitytrnstnl_trnvr</v>
      </c>
      <c r="I1190" s="3" t="s">
        <v>30</v>
      </c>
      <c r="J1190" s="47">
        <f>VLOOKUP(Table1[[#This Row],[Status]],Auxiliar!$B$16:$C$23,2,0)</f>
        <v>7</v>
      </c>
      <c r="K1190" s="47" t="s">
        <v>1141</v>
      </c>
      <c r="L1190" s="48" t="s">
        <v>1144</v>
      </c>
      <c r="M1190" s="22" t="s">
        <v>1145</v>
      </c>
      <c r="N1190" s="53">
        <v>45485</v>
      </c>
      <c r="O1190" s="22">
        <f>INDEX(Auxiliar!$D$5:$F$13,MATCH(Table1[[#This Row],[Tipologia_Testes]],Auxiliar!$B$5:$B$13,0),MATCH(Table1[[#This Row],[Complexidade]],Auxiliar!$D$4:$F$4,0))</f>
        <v>0.1</v>
      </c>
      <c r="P1190" s="45"/>
      <c r="Q1190" s="132"/>
      <c r="R1190" s="173">
        <v>45261</v>
      </c>
      <c r="S1190" s="173"/>
      <c r="T1190" s="173"/>
      <c r="U1190" s="173"/>
      <c r="V1190" s="173"/>
      <c r="W1190" s="3">
        <f>VLOOKUP(Table1[[#This Row],[Status]],Auxiliar!$B$16:$D$23,3,0)*Table1[[#This Row],[Estimação (horas)]]</f>
        <v>0</v>
      </c>
      <c r="X1190" s="132"/>
    </row>
    <row r="1191" spans="2:24" ht="34.799999999999997" hidden="1" customHeight="1">
      <c r="B1191" s="42" t="s">
        <v>28</v>
      </c>
      <c r="C1191" s="42" t="s">
        <v>28</v>
      </c>
      <c r="D1191" s="39" t="s">
        <v>312</v>
      </c>
      <c r="E1191" s="41" t="s">
        <v>246</v>
      </c>
      <c r="F1191" s="41" t="s">
        <v>323</v>
      </c>
      <c r="G1191" s="39" t="s">
        <v>338</v>
      </c>
      <c r="H1191" s="68" t="str">
        <f>Table1[[#This Row],[Tabela]]&amp;Table1[[#This Row],[Campo]]</f>
        <v>lt003_entitypure_trnvr_ccm</v>
      </c>
      <c r="I1191" s="3" t="s">
        <v>30</v>
      </c>
      <c r="J1191" s="47">
        <f>VLOOKUP(Table1[[#This Row],[Status]],Auxiliar!$B$16:$C$23,2,0)</f>
        <v>7</v>
      </c>
      <c r="K1191" s="47" t="s">
        <v>1137</v>
      </c>
      <c r="L1191" s="48" t="s">
        <v>1144</v>
      </c>
      <c r="M1191" s="22" t="s">
        <v>1145</v>
      </c>
      <c r="N1191" s="53">
        <v>45485</v>
      </c>
      <c r="O1191" s="22">
        <f>INDEX(Auxiliar!$D$5:$F$13,MATCH(Table1[[#This Row],[Tipologia_Testes]],Auxiliar!$B$5:$B$13,0),MATCH(Table1[[#This Row],[Complexidade]],Auxiliar!$D$4:$F$4,0))</f>
        <v>2</v>
      </c>
      <c r="P1191" s="45"/>
      <c r="Q1191" s="132"/>
      <c r="R1191" s="173">
        <v>45261</v>
      </c>
      <c r="S1191" s="173"/>
      <c r="T1191" s="173"/>
      <c r="U1191" s="173"/>
      <c r="V1191" s="173"/>
      <c r="W1191" s="3">
        <f>VLOOKUP(Table1[[#This Row],[Status]],Auxiliar!$B$16:$D$23,3,0)*Table1[[#This Row],[Estimação (horas)]]</f>
        <v>0</v>
      </c>
      <c r="X1191" s="132"/>
    </row>
    <row r="1192" spans="2:24" ht="17.399999999999999" hidden="1" customHeight="1">
      <c r="B1192" s="40" t="s">
        <v>28</v>
      </c>
      <c r="C1192" s="40" t="s">
        <v>28</v>
      </c>
      <c r="D1192" s="40" t="s">
        <v>312</v>
      </c>
      <c r="E1192" s="40" t="s">
        <v>246</v>
      </c>
      <c r="F1192" s="40" t="s">
        <v>323</v>
      </c>
      <c r="G1192" s="40" t="s">
        <v>338</v>
      </c>
      <c r="H1192" s="67" t="str">
        <f>Table1[[#This Row],[Tabela]]&amp;Table1[[#This Row],[Campo]]</f>
        <v>lt003_entitypure_trnvr_ccm</v>
      </c>
      <c r="I1192" s="3" t="s">
        <v>30</v>
      </c>
      <c r="J1192" s="47">
        <f>VLOOKUP(Table1[[#This Row],[Status]],Auxiliar!$B$16:$C$23,2,0)</f>
        <v>7</v>
      </c>
      <c r="K1192" s="47" t="s">
        <v>1138</v>
      </c>
      <c r="L1192" s="48" t="s">
        <v>1144</v>
      </c>
      <c r="M1192" s="22" t="s">
        <v>1145</v>
      </c>
      <c r="N1192" s="53">
        <v>45485</v>
      </c>
      <c r="O1192" s="22">
        <f>INDEX(Auxiliar!$D$5:$F$13,MATCH(Table1[[#This Row],[Tipologia_Testes]],Auxiliar!$B$5:$B$13,0),MATCH(Table1[[#This Row],[Complexidade]],Auxiliar!$D$4:$F$4,0))</f>
        <v>2</v>
      </c>
      <c r="P1192" s="45"/>
      <c r="Q1192" s="132"/>
      <c r="R1192" s="173">
        <v>45261</v>
      </c>
      <c r="S1192" s="173"/>
      <c r="T1192" s="173"/>
      <c r="U1192" s="173"/>
      <c r="V1192" s="173"/>
      <c r="W1192" s="3">
        <f>VLOOKUP(Table1[[#This Row],[Status]],Auxiliar!$B$16:$D$23,3,0)*Table1[[#This Row],[Estimação (horas)]]</f>
        <v>0</v>
      </c>
      <c r="X1192" s="132"/>
    </row>
    <row r="1193" spans="2:24" ht="17.399999999999999" hidden="1" customHeight="1">
      <c r="B1193" s="40" t="s">
        <v>28</v>
      </c>
      <c r="C1193" s="40" t="s">
        <v>28</v>
      </c>
      <c r="D1193" s="40" t="s">
        <v>312</v>
      </c>
      <c r="E1193" s="40" t="s">
        <v>246</v>
      </c>
      <c r="F1193" s="40" t="s">
        <v>323</v>
      </c>
      <c r="G1193" s="40" t="s">
        <v>338</v>
      </c>
      <c r="H1193" s="67" t="str">
        <f>Table1[[#This Row],[Tabela]]&amp;Table1[[#This Row],[Campo]]</f>
        <v>lt003_entitypure_trnvr_ccm</v>
      </c>
      <c r="I1193" s="3" t="s">
        <v>30</v>
      </c>
      <c r="J1193" s="47">
        <f>VLOOKUP(Table1[[#This Row],[Status]],Auxiliar!$B$16:$C$23,2,0)</f>
        <v>7</v>
      </c>
      <c r="K1193" s="47" t="s">
        <v>1141</v>
      </c>
      <c r="L1193" s="48" t="s">
        <v>1144</v>
      </c>
      <c r="M1193" s="22" t="s">
        <v>1145</v>
      </c>
      <c r="N1193" s="53">
        <v>45485</v>
      </c>
      <c r="O1193" s="22">
        <f>INDEX(Auxiliar!$D$5:$F$13,MATCH(Table1[[#This Row],[Tipologia_Testes]],Auxiliar!$B$5:$B$13,0),MATCH(Table1[[#This Row],[Complexidade]],Auxiliar!$D$4:$F$4,0))</f>
        <v>0.1</v>
      </c>
      <c r="P1193" s="45"/>
      <c r="Q1193" s="132"/>
      <c r="R1193" s="173">
        <v>45261</v>
      </c>
      <c r="S1193" s="173"/>
      <c r="T1193" s="173"/>
      <c r="U1193" s="173"/>
      <c r="V1193" s="173"/>
      <c r="W1193" s="3">
        <f>VLOOKUP(Table1[[#This Row],[Status]],Auxiliar!$B$16:$D$23,3,0)*Table1[[#This Row],[Estimação (horas)]]</f>
        <v>0</v>
      </c>
      <c r="X1193" s="132"/>
    </row>
    <row r="1194" spans="2:24" ht="34.799999999999997" hidden="1" customHeight="1">
      <c r="B1194" s="42" t="s">
        <v>28</v>
      </c>
      <c r="C1194" s="42" t="s">
        <v>28</v>
      </c>
      <c r="D1194" s="39" t="s">
        <v>312</v>
      </c>
      <c r="E1194" s="41" t="s">
        <v>239</v>
      </c>
      <c r="F1194" s="41" t="s">
        <v>323</v>
      </c>
      <c r="G1194" s="39" t="s">
        <v>339</v>
      </c>
      <c r="H1194" s="68" t="str">
        <f>Table1[[#This Row],[Tabela]]&amp;Table1[[#This Row],[Campo]]</f>
        <v>lt003_entitypure_trnvr_cca</v>
      </c>
      <c r="I1194" s="3" t="s">
        <v>30</v>
      </c>
      <c r="J1194" s="47">
        <f>VLOOKUP(Table1[[#This Row],[Status]],Auxiliar!$B$16:$C$23,2,0)</f>
        <v>7</v>
      </c>
      <c r="K1194" s="47" t="s">
        <v>1137</v>
      </c>
      <c r="L1194" s="48" t="s">
        <v>1144</v>
      </c>
      <c r="M1194" s="22" t="s">
        <v>1145</v>
      </c>
      <c r="N1194" s="53">
        <v>45485</v>
      </c>
      <c r="O1194" s="22">
        <f>INDEX(Auxiliar!$D$5:$F$13,MATCH(Table1[[#This Row],[Tipologia_Testes]],Auxiliar!$B$5:$B$13,0),MATCH(Table1[[#This Row],[Complexidade]],Auxiliar!$D$4:$F$4,0))</f>
        <v>2</v>
      </c>
      <c r="P1194" s="45"/>
      <c r="Q1194" s="132"/>
      <c r="R1194" s="173">
        <v>45261</v>
      </c>
      <c r="S1194" s="173"/>
      <c r="T1194" s="173"/>
      <c r="U1194" s="173"/>
      <c r="V1194" s="173"/>
      <c r="W1194" s="3">
        <f>VLOOKUP(Table1[[#This Row],[Status]],Auxiliar!$B$16:$D$23,3,0)*Table1[[#This Row],[Estimação (horas)]]</f>
        <v>0</v>
      </c>
      <c r="X1194" s="132"/>
    </row>
    <row r="1195" spans="2:24" ht="17.399999999999999" hidden="1" customHeight="1">
      <c r="B1195" s="40" t="s">
        <v>28</v>
      </c>
      <c r="C1195" s="40" t="s">
        <v>28</v>
      </c>
      <c r="D1195" s="40" t="s">
        <v>312</v>
      </c>
      <c r="E1195" s="40" t="s">
        <v>239</v>
      </c>
      <c r="F1195" s="40" t="s">
        <v>323</v>
      </c>
      <c r="G1195" s="40" t="s">
        <v>339</v>
      </c>
      <c r="H1195" s="67" t="str">
        <f>Table1[[#This Row],[Tabela]]&amp;Table1[[#This Row],[Campo]]</f>
        <v>lt003_entitypure_trnvr_cca</v>
      </c>
      <c r="I1195" s="3" t="s">
        <v>30</v>
      </c>
      <c r="J1195" s="47">
        <f>VLOOKUP(Table1[[#This Row],[Status]],Auxiliar!$B$16:$C$23,2,0)</f>
        <v>7</v>
      </c>
      <c r="K1195" s="47" t="s">
        <v>1138</v>
      </c>
      <c r="L1195" s="48" t="s">
        <v>1144</v>
      </c>
      <c r="M1195" s="22" t="s">
        <v>1145</v>
      </c>
      <c r="N1195" s="53">
        <v>45485</v>
      </c>
      <c r="O1195" s="22">
        <f>INDEX(Auxiliar!$D$5:$F$13,MATCH(Table1[[#This Row],[Tipologia_Testes]],Auxiliar!$B$5:$B$13,0),MATCH(Table1[[#This Row],[Complexidade]],Auxiliar!$D$4:$F$4,0))</f>
        <v>2</v>
      </c>
      <c r="P1195" s="45"/>
      <c r="Q1195" s="132"/>
      <c r="R1195" s="173">
        <v>45261</v>
      </c>
      <c r="S1195" s="173"/>
      <c r="T1195" s="173"/>
      <c r="U1195" s="173"/>
      <c r="V1195" s="173"/>
      <c r="W1195" s="3">
        <f>VLOOKUP(Table1[[#This Row],[Status]],Auxiliar!$B$16:$D$23,3,0)*Table1[[#This Row],[Estimação (horas)]]</f>
        <v>0</v>
      </c>
      <c r="X1195" s="132"/>
    </row>
    <row r="1196" spans="2:24" ht="17.399999999999999" hidden="1" customHeight="1">
      <c r="B1196" s="40" t="s">
        <v>28</v>
      </c>
      <c r="C1196" s="40" t="s">
        <v>28</v>
      </c>
      <c r="D1196" s="40" t="s">
        <v>312</v>
      </c>
      <c r="E1196" s="40" t="s">
        <v>239</v>
      </c>
      <c r="F1196" s="40" t="s">
        <v>323</v>
      </c>
      <c r="G1196" s="40" t="s">
        <v>339</v>
      </c>
      <c r="H1196" s="67" t="str">
        <f>Table1[[#This Row],[Tabela]]&amp;Table1[[#This Row],[Campo]]</f>
        <v>lt003_entitypure_trnvr_cca</v>
      </c>
      <c r="I1196" s="3" t="s">
        <v>30</v>
      </c>
      <c r="J1196" s="47">
        <f>VLOOKUP(Table1[[#This Row],[Status]],Auxiliar!$B$16:$C$23,2,0)</f>
        <v>7</v>
      </c>
      <c r="K1196" s="47" t="s">
        <v>1141</v>
      </c>
      <c r="L1196" s="48" t="s">
        <v>1144</v>
      </c>
      <c r="M1196" s="22" t="s">
        <v>1145</v>
      </c>
      <c r="N1196" s="53">
        <v>45485</v>
      </c>
      <c r="O1196" s="22">
        <f>INDEX(Auxiliar!$D$5:$F$13,MATCH(Table1[[#This Row],[Tipologia_Testes]],Auxiliar!$B$5:$B$13,0),MATCH(Table1[[#This Row],[Complexidade]],Auxiliar!$D$4:$F$4,0))</f>
        <v>0.1</v>
      </c>
      <c r="P1196" s="45"/>
      <c r="Q1196" s="132"/>
      <c r="R1196" s="173">
        <v>45261</v>
      </c>
      <c r="S1196" s="173"/>
      <c r="T1196" s="173"/>
      <c r="U1196" s="173"/>
      <c r="V1196" s="173"/>
      <c r="W1196" s="3">
        <f>VLOOKUP(Table1[[#This Row],[Status]],Auxiliar!$B$16:$D$23,3,0)*Table1[[#This Row],[Estimação (horas)]]</f>
        <v>0</v>
      </c>
      <c r="X1196" s="132"/>
    </row>
    <row r="1197" spans="2:24" ht="34.799999999999997" hidden="1" customHeight="1">
      <c r="B1197" s="42" t="s">
        <v>28</v>
      </c>
      <c r="C1197" s="42" t="s">
        <v>28</v>
      </c>
      <c r="D1197" s="37" t="s">
        <v>312</v>
      </c>
      <c r="E1197" s="119" t="s">
        <v>1226</v>
      </c>
      <c r="F1197" s="41" t="s">
        <v>323</v>
      </c>
      <c r="G1197" s="39" t="s">
        <v>340</v>
      </c>
      <c r="H1197" s="68" t="str">
        <f>Table1[[#This Row],[Tabela]]&amp;Table1[[#This Row],[Campo]]</f>
        <v>lt003_entityflg_nfrd_applcblty</v>
      </c>
      <c r="I1197" s="3" t="s">
        <v>30</v>
      </c>
      <c r="J1197" s="47">
        <f>VLOOKUP(Table1[[#This Row],[Status]],Auxiliar!$B$16:$C$23,2,0)</f>
        <v>7</v>
      </c>
      <c r="K1197" s="47" t="s">
        <v>1137</v>
      </c>
      <c r="L1197" s="48" t="s">
        <v>1144</v>
      </c>
      <c r="M1197" s="22" t="s">
        <v>1145</v>
      </c>
      <c r="N1197" s="53">
        <v>45485</v>
      </c>
      <c r="O1197" s="22">
        <f>INDEX(Auxiliar!$D$5:$F$13,MATCH(Table1[[#This Row],[Tipologia_Testes]],Auxiliar!$B$5:$B$13,0),MATCH(Table1[[#This Row],[Complexidade]],Auxiliar!$D$4:$F$4,0))</f>
        <v>2</v>
      </c>
      <c r="P1197" s="45"/>
      <c r="Q1197" s="132"/>
      <c r="R1197" s="173">
        <v>45261</v>
      </c>
      <c r="S1197" s="173"/>
      <c r="T1197" s="173"/>
      <c r="U1197" s="173"/>
      <c r="V1197" s="173"/>
      <c r="W1197" s="3">
        <f>VLOOKUP(Table1[[#This Row],[Status]],Auxiliar!$B$16:$D$23,3,0)*Table1[[#This Row],[Estimação (horas)]]</f>
        <v>0</v>
      </c>
      <c r="X1197" s="132"/>
    </row>
    <row r="1198" spans="2:24" ht="17.399999999999999" hidden="1" customHeight="1">
      <c r="B1198" s="40" t="s">
        <v>28</v>
      </c>
      <c r="C1198" s="40" t="s">
        <v>28</v>
      </c>
      <c r="D1198" s="40" t="s">
        <v>312</v>
      </c>
      <c r="E1198" s="40" t="s">
        <v>1226</v>
      </c>
      <c r="F1198" s="40" t="s">
        <v>323</v>
      </c>
      <c r="G1198" s="40" t="s">
        <v>340</v>
      </c>
      <c r="H1198" s="67" t="str">
        <f>Table1[[#This Row],[Tabela]]&amp;Table1[[#This Row],[Campo]]</f>
        <v>lt003_entityflg_nfrd_applcblty</v>
      </c>
      <c r="I1198" s="3" t="s">
        <v>30</v>
      </c>
      <c r="J1198" s="47">
        <f>VLOOKUP(Table1[[#This Row],[Status]],Auxiliar!$B$16:$C$23,2,0)</f>
        <v>7</v>
      </c>
      <c r="K1198" s="47" t="s">
        <v>1138</v>
      </c>
      <c r="L1198" s="48" t="s">
        <v>1144</v>
      </c>
      <c r="M1198" s="22" t="s">
        <v>1145</v>
      </c>
      <c r="N1198" s="53">
        <v>45485</v>
      </c>
      <c r="O1198" s="22">
        <f>INDEX(Auxiliar!$D$5:$F$13,MATCH(Table1[[#This Row],[Tipologia_Testes]],Auxiliar!$B$5:$B$13,0),MATCH(Table1[[#This Row],[Complexidade]],Auxiliar!$D$4:$F$4,0))</f>
        <v>2</v>
      </c>
      <c r="P1198" s="45"/>
      <c r="Q1198" s="132"/>
      <c r="R1198" s="173">
        <v>45261</v>
      </c>
      <c r="S1198" s="173"/>
      <c r="T1198" s="173"/>
      <c r="U1198" s="173"/>
      <c r="V1198" s="173"/>
      <c r="W1198" s="3">
        <f>VLOOKUP(Table1[[#This Row],[Status]],Auxiliar!$B$16:$D$23,3,0)*Table1[[#This Row],[Estimação (horas)]]</f>
        <v>0</v>
      </c>
      <c r="X1198" s="132"/>
    </row>
    <row r="1199" spans="2:24" ht="17.399999999999999" hidden="1" customHeight="1">
      <c r="B1199" s="40" t="s">
        <v>28</v>
      </c>
      <c r="C1199" s="40" t="s">
        <v>28</v>
      </c>
      <c r="D1199" s="40" t="s">
        <v>312</v>
      </c>
      <c r="E1199" s="40" t="s">
        <v>1226</v>
      </c>
      <c r="F1199" s="40" t="s">
        <v>323</v>
      </c>
      <c r="G1199" s="40" t="s">
        <v>340</v>
      </c>
      <c r="H1199" s="67" t="str">
        <f>Table1[[#This Row],[Tabela]]&amp;Table1[[#This Row],[Campo]]</f>
        <v>lt003_entityflg_nfrd_applcblty</v>
      </c>
      <c r="I1199" s="3" t="s">
        <v>30</v>
      </c>
      <c r="J1199" s="47">
        <f>VLOOKUP(Table1[[#This Row],[Status]],Auxiliar!$B$16:$C$23,2,0)</f>
        <v>7</v>
      </c>
      <c r="K1199" s="47" t="s">
        <v>1141</v>
      </c>
      <c r="L1199" s="48" t="s">
        <v>1144</v>
      </c>
      <c r="M1199" s="22" t="s">
        <v>1145</v>
      </c>
      <c r="N1199" s="53">
        <v>45485</v>
      </c>
      <c r="O1199" s="22">
        <f>INDEX(Auxiliar!$D$5:$F$13,MATCH(Table1[[#This Row],[Tipologia_Testes]],Auxiliar!$B$5:$B$13,0),MATCH(Table1[[#This Row],[Complexidade]],Auxiliar!$D$4:$F$4,0))</f>
        <v>0.1</v>
      </c>
      <c r="P1199" s="45"/>
      <c r="Q1199" s="132"/>
      <c r="R1199" s="173">
        <v>45261</v>
      </c>
      <c r="S1199" s="173"/>
      <c r="T1199" s="173"/>
      <c r="U1199" s="173"/>
      <c r="V1199" s="173"/>
      <c r="W1199" s="3">
        <f>VLOOKUP(Table1[[#This Row],[Status]],Auxiliar!$B$16:$D$23,3,0)*Table1[[#This Row],[Estimação (horas)]]</f>
        <v>0</v>
      </c>
      <c r="X1199" s="132"/>
    </row>
    <row r="1200" spans="2:24" ht="34.799999999999997" hidden="1" customHeight="1">
      <c r="B1200" s="42" t="s">
        <v>28</v>
      </c>
      <c r="C1200" s="42" t="s">
        <v>28</v>
      </c>
      <c r="D1200" s="37" t="s">
        <v>312</v>
      </c>
      <c r="E1200" s="119" t="s">
        <v>276</v>
      </c>
      <c r="F1200" s="41" t="s">
        <v>323</v>
      </c>
      <c r="G1200" s="39" t="s">
        <v>341</v>
      </c>
      <c r="H1200" s="68" t="str">
        <f>Table1[[#This Row],[Tabela]]&amp;Table1[[#This Row],[Campo]]</f>
        <v>lt003_entitycntrprty_emssns_scp1</v>
      </c>
      <c r="I1200" s="3" t="s">
        <v>30</v>
      </c>
      <c r="J1200" s="47">
        <f>VLOOKUP(Table1[[#This Row],[Status]],Auxiliar!$B$16:$C$23,2,0)</f>
        <v>7</v>
      </c>
      <c r="K1200" s="47" t="s">
        <v>1137</v>
      </c>
      <c r="L1200" s="48" t="s">
        <v>1144</v>
      </c>
      <c r="M1200" s="22" t="s">
        <v>1145</v>
      </c>
      <c r="N1200" s="53">
        <v>45485</v>
      </c>
      <c r="O1200" s="22">
        <f>INDEX(Auxiliar!$D$5:$F$13,MATCH(Table1[[#This Row],[Tipologia_Testes]],Auxiliar!$B$5:$B$13,0),MATCH(Table1[[#This Row],[Complexidade]],Auxiliar!$D$4:$F$4,0))</f>
        <v>2</v>
      </c>
      <c r="P1200" s="45"/>
      <c r="Q1200" s="132"/>
      <c r="R1200" s="173">
        <v>45261</v>
      </c>
      <c r="S1200" s="173"/>
      <c r="T1200" s="173"/>
      <c r="U1200" s="173"/>
      <c r="V1200" s="173"/>
      <c r="W1200" s="3">
        <f>VLOOKUP(Table1[[#This Row],[Status]],Auxiliar!$B$16:$D$23,3,0)*Table1[[#This Row],[Estimação (horas)]]</f>
        <v>0</v>
      </c>
      <c r="X1200" s="132"/>
    </row>
    <row r="1201" spans="2:24" ht="17.399999999999999" hidden="1" customHeight="1">
      <c r="B1201" s="40" t="s">
        <v>28</v>
      </c>
      <c r="C1201" s="40" t="s">
        <v>28</v>
      </c>
      <c r="D1201" s="40" t="s">
        <v>312</v>
      </c>
      <c r="E1201" s="40" t="s">
        <v>276</v>
      </c>
      <c r="F1201" s="40" t="s">
        <v>323</v>
      </c>
      <c r="G1201" s="40" t="s">
        <v>341</v>
      </c>
      <c r="H1201" s="67" t="str">
        <f>Table1[[#This Row],[Tabela]]&amp;Table1[[#This Row],[Campo]]</f>
        <v>lt003_entitycntrprty_emssns_scp1</v>
      </c>
      <c r="I1201" s="3" t="s">
        <v>30</v>
      </c>
      <c r="J1201" s="47">
        <f>VLOOKUP(Table1[[#This Row],[Status]],Auxiliar!$B$16:$C$23,2,0)</f>
        <v>7</v>
      </c>
      <c r="K1201" s="47" t="s">
        <v>1138</v>
      </c>
      <c r="L1201" s="48" t="s">
        <v>1144</v>
      </c>
      <c r="M1201" s="22" t="s">
        <v>1145</v>
      </c>
      <c r="N1201" s="53">
        <v>45485</v>
      </c>
      <c r="O1201" s="22">
        <f>INDEX(Auxiliar!$D$5:$F$13,MATCH(Table1[[#This Row],[Tipologia_Testes]],Auxiliar!$B$5:$B$13,0),MATCH(Table1[[#This Row],[Complexidade]],Auxiliar!$D$4:$F$4,0))</f>
        <v>2</v>
      </c>
      <c r="P1201" s="45"/>
      <c r="Q1201" s="132"/>
      <c r="R1201" s="173">
        <v>45261</v>
      </c>
      <c r="S1201" s="173"/>
      <c r="T1201" s="173"/>
      <c r="U1201" s="173"/>
      <c r="V1201" s="173"/>
      <c r="W1201" s="3">
        <f>VLOOKUP(Table1[[#This Row],[Status]],Auxiliar!$B$16:$D$23,3,0)*Table1[[#This Row],[Estimação (horas)]]</f>
        <v>0</v>
      </c>
      <c r="X1201" s="132"/>
    </row>
    <row r="1202" spans="2:24" ht="17.399999999999999" hidden="1" customHeight="1">
      <c r="B1202" s="40" t="s">
        <v>28</v>
      </c>
      <c r="C1202" s="40" t="s">
        <v>28</v>
      </c>
      <c r="D1202" s="40" t="s">
        <v>312</v>
      </c>
      <c r="E1202" s="40" t="s">
        <v>276</v>
      </c>
      <c r="F1202" s="40" t="s">
        <v>323</v>
      </c>
      <c r="G1202" s="40" t="s">
        <v>341</v>
      </c>
      <c r="H1202" s="67" t="str">
        <f>Table1[[#This Row],[Tabela]]&amp;Table1[[#This Row],[Campo]]</f>
        <v>lt003_entitycntrprty_emssns_scp1</v>
      </c>
      <c r="I1202" s="3" t="s">
        <v>30</v>
      </c>
      <c r="J1202" s="47">
        <f>VLOOKUP(Table1[[#This Row],[Status]],Auxiliar!$B$16:$C$23,2,0)</f>
        <v>7</v>
      </c>
      <c r="K1202" s="47" t="s">
        <v>1141</v>
      </c>
      <c r="L1202" s="48" t="s">
        <v>1144</v>
      </c>
      <c r="M1202" s="22" t="s">
        <v>1145</v>
      </c>
      <c r="N1202" s="53">
        <v>45485</v>
      </c>
      <c r="O1202" s="22">
        <f>INDEX(Auxiliar!$D$5:$F$13,MATCH(Table1[[#This Row],[Tipologia_Testes]],Auxiliar!$B$5:$B$13,0),MATCH(Table1[[#This Row],[Complexidade]],Auxiliar!$D$4:$F$4,0))</f>
        <v>0.1</v>
      </c>
      <c r="P1202" s="45"/>
      <c r="Q1202" s="132"/>
      <c r="R1202" s="173">
        <v>45261</v>
      </c>
      <c r="S1202" s="173"/>
      <c r="T1202" s="173"/>
      <c r="U1202" s="173"/>
      <c r="V1202" s="173"/>
      <c r="W1202" s="3">
        <f>VLOOKUP(Table1[[#This Row],[Status]],Auxiliar!$B$16:$D$23,3,0)*Table1[[#This Row],[Estimação (horas)]]</f>
        <v>0</v>
      </c>
      <c r="X1202" s="132"/>
    </row>
    <row r="1203" spans="2:24" ht="34.799999999999997" hidden="1" customHeight="1">
      <c r="B1203" s="42" t="s">
        <v>28</v>
      </c>
      <c r="C1203" s="42" t="s">
        <v>28</v>
      </c>
      <c r="D1203" s="37" t="s">
        <v>312</v>
      </c>
      <c r="E1203" s="119" t="s">
        <v>277</v>
      </c>
      <c r="F1203" s="41" t="s">
        <v>323</v>
      </c>
      <c r="G1203" s="39" t="s">
        <v>342</v>
      </c>
      <c r="H1203" s="68" t="str">
        <f>Table1[[#This Row],[Tabela]]&amp;Table1[[#This Row],[Campo]]</f>
        <v>lt003_entitycntrprty_emssns_scp2</v>
      </c>
      <c r="I1203" s="3" t="s">
        <v>30</v>
      </c>
      <c r="J1203" s="47">
        <f>VLOOKUP(Table1[[#This Row],[Status]],Auxiliar!$B$16:$C$23,2,0)</f>
        <v>7</v>
      </c>
      <c r="K1203" s="47" t="s">
        <v>1137</v>
      </c>
      <c r="L1203" s="48" t="s">
        <v>1144</v>
      </c>
      <c r="M1203" s="22" t="s">
        <v>1145</v>
      </c>
      <c r="N1203" s="53">
        <v>45485</v>
      </c>
      <c r="O1203" s="22">
        <f>INDEX(Auxiliar!$D$5:$F$13,MATCH(Table1[[#This Row],[Tipologia_Testes]],Auxiliar!$B$5:$B$13,0),MATCH(Table1[[#This Row],[Complexidade]],Auxiliar!$D$4:$F$4,0))</f>
        <v>2</v>
      </c>
      <c r="P1203" s="45"/>
      <c r="Q1203" s="132"/>
      <c r="R1203" s="173">
        <v>45261</v>
      </c>
      <c r="S1203" s="173"/>
      <c r="T1203" s="173"/>
      <c r="U1203" s="173"/>
      <c r="V1203" s="173"/>
      <c r="W1203" s="3">
        <f>VLOOKUP(Table1[[#This Row],[Status]],Auxiliar!$B$16:$D$23,3,0)*Table1[[#This Row],[Estimação (horas)]]</f>
        <v>0</v>
      </c>
      <c r="X1203" s="132"/>
    </row>
    <row r="1204" spans="2:24" ht="17.399999999999999" hidden="1" customHeight="1">
      <c r="B1204" s="40" t="s">
        <v>28</v>
      </c>
      <c r="C1204" s="40" t="s">
        <v>28</v>
      </c>
      <c r="D1204" s="40" t="s">
        <v>312</v>
      </c>
      <c r="E1204" s="40" t="s">
        <v>277</v>
      </c>
      <c r="F1204" s="40" t="s">
        <v>323</v>
      </c>
      <c r="G1204" s="40" t="s">
        <v>342</v>
      </c>
      <c r="H1204" s="67" t="str">
        <f>Table1[[#This Row],[Tabela]]&amp;Table1[[#This Row],[Campo]]</f>
        <v>lt003_entitycntrprty_emssns_scp2</v>
      </c>
      <c r="I1204" s="3" t="s">
        <v>30</v>
      </c>
      <c r="J1204" s="47">
        <f>VLOOKUP(Table1[[#This Row],[Status]],Auxiliar!$B$16:$C$23,2,0)</f>
        <v>7</v>
      </c>
      <c r="K1204" s="47" t="s">
        <v>1138</v>
      </c>
      <c r="L1204" s="48" t="s">
        <v>1144</v>
      </c>
      <c r="M1204" s="22" t="s">
        <v>1145</v>
      </c>
      <c r="N1204" s="53">
        <v>45485</v>
      </c>
      <c r="O1204" s="22">
        <f>INDEX(Auxiliar!$D$5:$F$13,MATCH(Table1[[#This Row],[Tipologia_Testes]],Auxiliar!$B$5:$B$13,0),MATCH(Table1[[#This Row],[Complexidade]],Auxiliar!$D$4:$F$4,0))</f>
        <v>2</v>
      </c>
      <c r="P1204" s="45"/>
      <c r="Q1204" s="132"/>
      <c r="R1204" s="173">
        <v>45261</v>
      </c>
      <c r="S1204" s="173"/>
      <c r="T1204" s="173"/>
      <c r="U1204" s="173"/>
      <c r="V1204" s="173"/>
      <c r="W1204" s="3">
        <f>VLOOKUP(Table1[[#This Row],[Status]],Auxiliar!$B$16:$D$23,3,0)*Table1[[#This Row],[Estimação (horas)]]</f>
        <v>0</v>
      </c>
      <c r="X1204" s="132"/>
    </row>
    <row r="1205" spans="2:24" ht="17.399999999999999" hidden="1" customHeight="1">
      <c r="B1205" s="40" t="s">
        <v>28</v>
      </c>
      <c r="C1205" s="40" t="s">
        <v>28</v>
      </c>
      <c r="D1205" s="40" t="s">
        <v>312</v>
      </c>
      <c r="E1205" s="40" t="s">
        <v>277</v>
      </c>
      <c r="F1205" s="40" t="s">
        <v>323</v>
      </c>
      <c r="G1205" s="40" t="s">
        <v>342</v>
      </c>
      <c r="H1205" s="67" t="str">
        <f>Table1[[#This Row],[Tabela]]&amp;Table1[[#This Row],[Campo]]</f>
        <v>lt003_entitycntrprty_emssns_scp2</v>
      </c>
      <c r="I1205" s="3" t="s">
        <v>30</v>
      </c>
      <c r="J1205" s="47">
        <f>VLOOKUP(Table1[[#This Row],[Status]],Auxiliar!$B$16:$C$23,2,0)</f>
        <v>7</v>
      </c>
      <c r="K1205" s="47" t="s">
        <v>1141</v>
      </c>
      <c r="L1205" s="48" t="s">
        <v>1144</v>
      </c>
      <c r="M1205" s="22" t="s">
        <v>1145</v>
      </c>
      <c r="N1205" s="53">
        <v>45485</v>
      </c>
      <c r="O1205" s="22">
        <f>INDEX(Auxiliar!$D$5:$F$13,MATCH(Table1[[#This Row],[Tipologia_Testes]],Auxiliar!$B$5:$B$13,0),MATCH(Table1[[#This Row],[Complexidade]],Auxiliar!$D$4:$F$4,0))</f>
        <v>0.1</v>
      </c>
      <c r="P1205" s="45"/>
      <c r="Q1205" s="132"/>
      <c r="R1205" s="173">
        <v>45261</v>
      </c>
      <c r="S1205" s="173"/>
      <c r="T1205" s="173"/>
      <c r="U1205" s="173"/>
      <c r="V1205" s="173"/>
      <c r="W1205" s="3">
        <f>VLOOKUP(Table1[[#This Row],[Status]],Auxiliar!$B$16:$D$23,3,0)*Table1[[#This Row],[Estimação (horas)]]</f>
        <v>0</v>
      </c>
      <c r="X1205" s="132"/>
    </row>
    <row r="1206" spans="2:24" ht="34.799999999999997" hidden="1" customHeight="1">
      <c r="B1206" s="42" t="s">
        <v>28</v>
      </c>
      <c r="C1206" s="42" t="s">
        <v>28</v>
      </c>
      <c r="D1206" s="37" t="s">
        <v>312</v>
      </c>
      <c r="E1206" s="119" t="s">
        <v>278</v>
      </c>
      <c r="F1206" s="41" t="s">
        <v>323</v>
      </c>
      <c r="G1206" s="39" t="s">
        <v>343</v>
      </c>
      <c r="H1206" s="68" t="str">
        <f>Table1[[#This Row],[Tabela]]&amp;Table1[[#This Row],[Campo]]</f>
        <v>lt003_entitycntrprty_emssns_scp3</v>
      </c>
      <c r="I1206" s="3" t="s">
        <v>30</v>
      </c>
      <c r="J1206" s="47">
        <f>VLOOKUP(Table1[[#This Row],[Status]],Auxiliar!$B$16:$C$23,2,0)</f>
        <v>7</v>
      </c>
      <c r="K1206" s="47" t="s">
        <v>1137</v>
      </c>
      <c r="L1206" s="48" t="s">
        <v>1144</v>
      </c>
      <c r="M1206" s="22" t="s">
        <v>1145</v>
      </c>
      <c r="N1206" s="53">
        <v>45485</v>
      </c>
      <c r="O1206" s="22">
        <f>INDEX(Auxiliar!$D$5:$F$13,MATCH(Table1[[#This Row],[Tipologia_Testes]],Auxiliar!$B$5:$B$13,0),MATCH(Table1[[#This Row],[Complexidade]],Auxiliar!$D$4:$F$4,0))</f>
        <v>2</v>
      </c>
      <c r="P1206" s="45"/>
      <c r="Q1206" s="132"/>
      <c r="R1206" s="173">
        <v>45261</v>
      </c>
      <c r="S1206" s="173"/>
      <c r="T1206" s="173"/>
      <c r="U1206" s="173"/>
      <c r="V1206" s="173"/>
      <c r="W1206" s="3">
        <f>VLOOKUP(Table1[[#This Row],[Status]],Auxiliar!$B$16:$D$23,3,0)*Table1[[#This Row],[Estimação (horas)]]</f>
        <v>0</v>
      </c>
      <c r="X1206" s="132"/>
    </row>
    <row r="1207" spans="2:24" ht="17.399999999999999" hidden="1" customHeight="1">
      <c r="B1207" s="40" t="s">
        <v>28</v>
      </c>
      <c r="C1207" s="40" t="s">
        <v>28</v>
      </c>
      <c r="D1207" s="40" t="s">
        <v>312</v>
      </c>
      <c r="E1207" s="40" t="s">
        <v>278</v>
      </c>
      <c r="F1207" s="40" t="s">
        <v>323</v>
      </c>
      <c r="G1207" s="40" t="s">
        <v>343</v>
      </c>
      <c r="H1207" s="67" t="str">
        <f>Table1[[#This Row],[Tabela]]&amp;Table1[[#This Row],[Campo]]</f>
        <v>lt003_entitycntrprty_emssns_scp3</v>
      </c>
      <c r="I1207" s="3" t="s">
        <v>30</v>
      </c>
      <c r="J1207" s="47">
        <f>VLOOKUP(Table1[[#This Row],[Status]],Auxiliar!$B$16:$C$23,2,0)</f>
        <v>7</v>
      </c>
      <c r="K1207" s="47" t="s">
        <v>1138</v>
      </c>
      <c r="L1207" s="48" t="s">
        <v>1144</v>
      </c>
      <c r="M1207" s="22" t="s">
        <v>1145</v>
      </c>
      <c r="N1207" s="53">
        <v>45485</v>
      </c>
      <c r="O1207" s="22">
        <f>INDEX(Auxiliar!$D$5:$F$13,MATCH(Table1[[#This Row],[Tipologia_Testes]],Auxiliar!$B$5:$B$13,0),MATCH(Table1[[#This Row],[Complexidade]],Auxiliar!$D$4:$F$4,0))</f>
        <v>2</v>
      </c>
      <c r="P1207" s="45"/>
      <c r="Q1207" s="132"/>
      <c r="R1207" s="173">
        <v>45261</v>
      </c>
      <c r="S1207" s="173"/>
      <c r="T1207" s="173"/>
      <c r="U1207" s="173"/>
      <c r="V1207" s="173"/>
      <c r="W1207" s="3">
        <f>VLOOKUP(Table1[[#This Row],[Status]],Auxiliar!$B$16:$D$23,3,0)*Table1[[#This Row],[Estimação (horas)]]</f>
        <v>0</v>
      </c>
      <c r="X1207" s="132"/>
    </row>
    <row r="1208" spans="2:24" ht="17.399999999999999" hidden="1" customHeight="1">
      <c r="B1208" s="40" t="s">
        <v>28</v>
      </c>
      <c r="C1208" s="40" t="s">
        <v>28</v>
      </c>
      <c r="D1208" s="40" t="s">
        <v>312</v>
      </c>
      <c r="E1208" s="40" t="s">
        <v>278</v>
      </c>
      <c r="F1208" s="40" t="s">
        <v>323</v>
      </c>
      <c r="G1208" s="40" t="s">
        <v>343</v>
      </c>
      <c r="H1208" s="67" t="str">
        <f>Table1[[#This Row],[Tabela]]&amp;Table1[[#This Row],[Campo]]</f>
        <v>lt003_entitycntrprty_emssns_scp3</v>
      </c>
      <c r="I1208" s="3" t="s">
        <v>30</v>
      </c>
      <c r="J1208" s="47">
        <f>VLOOKUP(Table1[[#This Row],[Status]],Auxiliar!$B$16:$C$23,2,0)</f>
        <v>7</v>
      </c>
      <c r="K1208" s="47" t="s">
        <v>1141</v>
      </c>
      <c r="L1208" s="48" t="s">
        <v>1144</v>
      </c>
      <c r="M1208" s="22" t="s">
        <v>1145</v>
      </c>
      <c r="N1208" s="53">
        <v>45485</v>
      </c>
      <c r="O1208" s="22">
        <f>INDEX(Auxiliar!$D$5:$F$13,MATCH(Table1[[#This Row],[Tipologia_Testes]],Auxiliar!$B$5:$B$13,0),MATCH(Table1[[#This Row],[Complexidade]],Auxiliar!$D$4:$F$4,0))</f>
        <v>0.1</v>
      </c>
      <c r="P1208" s="45"/>
      <c r="Q1208" s="132"/>
      <c r="R1208" s="173">
        <v>45261</v>
      </c>
      <c r="S1208" s="173"/>
      <c r="T1208" s="173"/>
      <c r="U1208" s="173"/>
      <c r="V1208" s="173"/>
      <c r="W1208" s="3">
        <f>VLOOKUP(Table1[[#This Row],[Status]],Auxiliar!$B$16:$D$23,3,0)*Table1[[#This Row],[Estimação (horas)]]</f>
        <v>0</v>
      </c>
      <c r="X1208" s="132"/>
    </row>
    <row r="1209" spans="2:24" ht="34.799999999999997" hidden="1" customHeight="1">
      <c r="B1209" s="42" t="s">
        <v>28</v>
      </c>
      <c r="C1209" s="42" t="s">
        <v>28</v>
      </c>
      <c r="D1209" s="37" t="s">
        <v>312</v>
      </c>
      <c r="E1209" s="119" t="s">
        <v>1226</v>
      </c>
      <c r="F1209" s="41" t="s">
        <v>323</v>
      </c>
      <c r="G1209" s="39" t="s">
        <v>344</v>
      </c>
      <c r="H1209" s="68" t="str">
        <f>Table1[[#This Row],[Tabela]]&amp;Table1[[#This Row],[Campo]]</f>
        <v>lt003_entityflg_excldd_eu_prs_algnd_bnchmrk</v>
      </c>
      <c r="I1209" s="3" t="s">
        <v>30</v>
      </c>
      <c r="J1209" s="47">
        <f>VLOOKUP(Table1[[#This Row],[Status]],Auxiliar!$B$16:$C$23,2,0)</f>
        <v>7</v>
      </c>
      <c r="K1209" s="47" t="s">
        <v>1137</v>
      </c>
      <c r="L1209" s="48" t="s">
        <v>1144</v>
      </c>
      <c r="M1209" s="22" t="s">
        <v>1145</v>
      </c>
      <c r="N1209" s="53">
        <v>45485</v>
      </c>
      <c r="O1209" s="22">
        <f>INDEX(Auxiliar!$D$5:$F$13,MATCH(Table1[[#This Row],[Tipologia_Testes]],Auxiliar!$B$5:$B$13,0),MATCH(Table1[[#This Row],[Complexidade]],Auxiliar!$D$4:$F$4,0))</f>
        <v>2</v>
      </c>
      <c r="P1209" s="45"/>
      <c r="Q1209" s="132"/>
      <c r="R1209" s="173">
        <v>45261</v>
      </c>
      <c r="S1209" s="173"/>
      <c r="T1209" s="173"/>
      <c r="U1209" s="173"/>
      <c r="V1209" s="173"/>
      <c r="W1209" s="3">
        <f>VLOOKUP(Table1[[#This Row],[Status]],Auxiliar!$B$16:$D$23,3,0)*Table1[[#This Row],[Estimação (horas)]]</f>
        <v>0</v>
      </c>
      <c r="X1209" s="132"/>
    </row>
    <row r="1210" spans="2:24" ht="17.399999999999999" hidden="1" customHeight="1">
      <c r="B1210" s="40" t="s">
        <v>28</v>
      </c>
      <c r="C1210" s="40" t="s">
        <v>28</v>
      </c>
      <c r="D1210" s="40" t="s">
        <v>312</v>
      </c>
      <c r="E1210" s="40" t="s">
        <v>1226</v>
      </c>
      <c r="F1210" s="40" t="s">
        <v>323</v>
      </c>
      <c r="G1210" s="40" t="s">
        <v>344</v>
      </c>
      <c r="H1210" s="67" t="str">
        <f>Table1[[#This Row],[Tabela]]&amp;Table1[[#This Row],[Campo]]</f>
        <v>lt003_entityflg_excldd_eu_prs_algnd_bnchmrk</v>
      </c>
      <c r="I1210" s="3" t="s">
        <v>30</v>
      </c>
      <c r="J1210" s="47">
        <f>VLOOKUP(Table1[[#This Row],[Status]],Auxiliar!$B$16:$C$23,2,0)</f>
        <v>7</v>
      </c>
      <c r="K1210" s="47" t="s">
        <v>1138</v>
      </c>
      <c r="L1210" s="48" t="s">
        <v>1144</v>
      </c>
      <c r="M1210" s="22" t="s">
        <v>1145</v>
      </c>
      <c r="N1210" s="53">
        <v>45485</v>
      </c>
      <c r="O1210" s="22">
        <f>INDEX(Auxiliar!$D$5:$F$13,MATCH(Table1[[#This Row],[Tipologia_Testes]],Auxiliar!$B$5:$B$13,0),MATCH(Table1[[#This Row],[Complexidade]],Auxiliar!$D$4:$F$4,0))</f>
        <v>2</v>
      </c>
      <c r="P1210" s="45"/>
      <c r="Q1210" s="132"/>
      <c r="R1210" s="173">
        <v>45261</v>
      </c>
      <c r="S1210" s="173"/>
      <c r="T1210" s="173"/>
      <c r="U1210" s="173"/>
      <c r="V1210" s="173"/>
      <c r="W1210" s="3">
        <f>VLOOKUP(Table1[[#This Row],[Status]],Auxiliar!$B$16:$D$23,3,0)*Table1[[#This Row],[Estimação (horas)]]</f>
        <v>0</v>
      </c>
      <c r="X1210" s="132"/>
    </row>
    <row r="1211" spans="2:24" ht="17.399999999999999" hidden="1" customHeight="1">
      <c r="B1211" s="40" t="s">
        <v>28</v>
      </c>
      <c r="C1211" s="40" t="s">
        <v>28</v>
      </c>
      <c r="D1211" s="40" t="s">
        <v>312</v>
      </c>
      <c r="E1211" s="40" t="s">
        <v>1226</v>
      </c>
      <c r="F1211" s="40" t="s">
        <v>323</v>
      </c>
      <c r="G1211" s="40" t="s">
        <v>344</v>
      </c>
      <c r="H1211" s="67" t="str">
        <f>Table1[[#This Row],[Tabela]]&amp;Table1[[#This Row],[Campo]]</f>
        <v>lt003_entityflg_excldd_eu_prs_algnd_bnchmrk</v>
      </c>
      <c r="I1211" s="3" t="s">
        <v>30</v>
      </c>
      <c r="J1211" s="47">
        <f>VLOOKUP(Table1[[#This Row],[Status]],Auxiliar!$B$16:$C$23,2,0)</f>
        <v>7</v>
      </c>
      <c r="K1211" s="47" t="s">
        <v>1141</v>
      </c>
      <c r="L1211" s="48" t="s">
        <v>1144</v>
      </c>
      <c r="M1211" s="22" t="s">
        <v>1145</v>
      </c>
      <c r="N1211" s="53">
        <v>45485</v>
      </c>
      <c r="O1211" s="22">
        <f>INDEX(Auxiliar!$D$5:$F$13,MATCH(Table1[[#This Row],[Tipologia_Testes]],Auxiliar!$B$5:$B$13,0),MATCH(Table1[[#This Row],[Complexidade]],Auxiliar!$D$4:$F$4,0))</f>
        <v>0.1</v>
      </c>
      <c r="P1211" s="45"/>
      <c r="Q1211" s="132"/>
      <c r="R1211" s="173">
        <v>45261</v>
      </c>
      <c r="S1211" s="173"/>
      <c r="T1211" s="173"/>
      <c r="U1211" s="173"/>
      <c r="V1211" s="173"/>
      <c r="W1211" s="3">
        <f>VLOOKUP(Table1[[#This Row],[Status]],Auxiliar!$B$16:$D$23,3,0)*Table1[[#This Row],[Estimação (horas)]]</f>
        <v>0</v>
      </c>
      <c r="X1211" s="132"/>
    </row>
    <row r="1212" spans="2:24" ht="34.799999999999997" hidden="1" customHeight="1">
      <c r="B1212" s="42" t="s">
        <v>28</v>
      </c>
      <c r="C1212" s="42" t="s">
        <v>28</v>
      </c>
      <c r="D1212" s="37" t="s">
        <v>312</v>
      </c>
      <c r="E1212" s="41" t="s">
        <v>1226</v>
      </c>
      <c r="F1212" s="41" t="s">
        <v>323</v>
      </c>
      <c r="G1212" s="39" t="s">
        <v>345</v>
      </c>
      <c r="H1212" s="68" t="str">
        <f>Table1[[#This Row],[Tabela]]&amp;Table1[[#This Row],[Campo]]</f>
        <v>lt003_entityflg_act_physcl_rsk</v>
      </c>
      <c r="I1212" s="3" t="s">
        <v>30</v>
      </c>
      <c r="J1212" s="47">
        <f>VLOOKUP(Table1[[#This Row],[Status]],Auxiliar!$B$16:$C$23,2,0)</f>
        <v>7</v>
      </c>
      <c r="K1212" s="47" t="s">
        <v>1137</v>
      </c>
      <c r="L1212" s="48" t="s">
        <v>1144</v>
      </c>
      <c r="M1212" s="22" t="s">
        <v>1145</v>
      </c>
      <c r="N1212" s="53">
        <v>45485</v>
      </c>
      <c r="O1212" s="22">
        <f>INDEX(Auxiliar!$D$5:$F$13,MATCH(Table1[[#This Row],[Tipologia_Testes]],Auxiliar!$B$5:$B$13,0),MATCH(Table1[[#This Row],[Complexidade]],Auxiliar!$D$4:$F$4,0))</f>
        <v>2</v>
      </c>
      <c r="P1212" s="45"/>
      <c r="Q1212" s="132"/>
      <c r="R1212" s="173">
        <v>45261</v>
      </c>
      <c r="S1212" s="173"/>
      <c r="T1212" s="173"/>
      <c r="U1212" s="173"/>
      <c r="V1212" s="173"/>
      <c r="W1212" s="3">
        <f>VLOOKUP(Table1[[#This Row],[Status]],Auxiliar!$B$16:$D$23,3,0)*Table1[[#This Row],[Estimação (horas)]]</f>
        <v>0</v>
      </c>
      <c r="X1212" s="132"/>
    </row>
    <row r="1213" spans="2:24" ht="17.399999999999999" hidden="1" customHeight="1">
      <c r="B1213" s="40" t="s">
        <v>28</v>
      </c>
      <c r="C1213" s="40" t="s">
        <v>28</v>
      </c>
      <c r="D1213" s="40" t="s">
        <v>312</v>
      </c>
      <c r="E1213" s="40" t="s">
        <v>1226</v>
      </c>
      <c r="F1213" s="40" t="s">
        <v>323</v>
      </c>
      <c r="G1213" s="40" t="s">
        <v>345</v>
      </c>
      <c r="H1213" s="67" t="str">
        <f>Table1[[#This Row],[Tabela]]&amp;Table1[[#This Row],[Campo]]</f>
        <v>lt003_entityflg_act_physcl_rsk</v>
      </c>
      <c r="I1213" s="3" t="s">
        <v>30</v>
      </c>
      <c r="J1213" s="47">
        <f>VLOOKUP(Table1[[#This Row],[Status]],Auxiliar!$B$16:$C$23,2,0)</f>
        <v>7</v>
      </c>
      <c r="K1213" s="47" t="s">
        <v>1138</v>
      </c>
      <c r="L1213" s="48" t="s">
        <v>1144</v>
      </c>
      <c r="M1213" s="22" t="s">
        <v>1145</v>
      </c>
      <c r="N1213" s="53">
        <v>45485</v>
      </c>
      <c r="O1213" s="22">
        <f>INDEX(Auxiliar!$D$5:$F$13,MATCH(Table1[[#This Row],[Tipologia_Testes]],Auxiliar!$B$5:$B$13,0),MATCH(Table1[[#This Row],[Complexidade]],Auxiliar!$D$4:$F$4,0))</f>
        <v>2</v>
      </c>
      <c r="P1213" s="45"/>
      <c r="Q1213" s="132"/>
      <c r="R1213" s="173">
        <v>45261</v>
      </c>
      <c r="S1213" s="173"/>
      <c r="T1213" s="173"/>
      <c r="U1213" s="173"/>
      <c r="V1213" s="173"/>
      <c r="W1213" s="3">
        <f>VLOOKUP(Table1[[#This Row],[Status]],Auxiliar!$B$16:$D$23,3,0)*Table1[[#This Row],[Estimação (horas)]]</f>
        <v>0</v>
      </c>
      <c r="X1213" s="132"/>
    </row>
    <row r="1214" spans="2:24" ht="17.399999999999999" hidden="1" customHeight="1">
      <c r="B1214" s="40" t="s">
        <v>28</v>
      </c>
      <c r="C1214" s="40" t="s">
        <v>28</v>
      </c>
      <c r="D1214" s="40" t="s">
        <v>312</v>
      </c>
      <c r="E1214" s="40" t="s">
        <v>1226</v>
      </c>
      <c r="F1214" s="40" t="s">
        <v>323</v>
      </c>
      <c r="G1214" s="40" t="s">
        <v>345</v>
      </c>
      <c r="H1214" s="67" t="str">
        <f>Table1[[#This Row],[Tabela]]&amp;Table1[[#This Row],[Campo]]</f>
        <v>lt003_entityflg_act_physcl_rsk</v>
      </c>
      <c r="I1214" s="3" t="s">
        <v>30</v>
      </c>
      <c r="J1214" s="47">
        <f>VLOOKUP(Table1[[#This Row],[Status]],Auxiliar!$B$16:$C$23,2,0)</f>
        <v>7</v>
      </c>
      <c r="K1214" s="47" t="s">
        <v>1141</v>
      </c>
      <c r="L1214" s="48" t="s">
        <v>1144</v>
      </c>
      <c r="M1214" s="22" t="s">
        <v>1145</v>
      </c>
      <c r="N1214" s="53">
        <v>45485</v>
      </c>
      <c r="O1214" s="22">
        <f>INDEX(Auxiliar!$D$5:$F$13,MATCH(Table1[[#This Row],[Tipologia_Testes]],Auxiliar!$B$5:$B$13,0),MATCH(Table1[[#This Row],[Complexidade]],Auxiliar!$D$4:$F$4,0))</f>
        <v>0.1</v>
      </c>
      <c r="P1214" s="45"/>
      <c r="Q1214" s="132"/>
      <c r="R1214" s="173">
        <v>45261</v>
      </c>
      <c r="S1214" s="173"/>
      <c r="T1214" s="173"/>
      <c r="U1214" s="173"/>
      <c r="V1214" s="173"/>
      <c r="W1214" s="3">
        <f>VLOOKUP(Table1[[#This Row],[Status]],Auxiliar!$B$16:$D$23,3,0)*Table1[[#This Row],[Estimação (horas)]]</f>
        <v>0</v>
      </c>
      <c r="X1214" s="132"/>
    </row>
    <row r="1215" spans="2:24" ht="34.799999999999997" hidden="1" customHeight="1">
      <c r="B1215" s="42" t="s">
        <v>28</v>
      </c>
      <c r="C1215" s="42" t="s">
        <v>28</v>
      </c>
      <c r="D1215" s="37" t="s">
        <v>312</v>
      </c>
      <c r="E1215" s="41" t="s">
        <v>1226</v>
      </c>
      <c r="F1215" s="41" t="s">
        <v>323</v>
      </c>
      <c r="G1215" s="39" t="s">
        <v>346</v>
      </c>
      <c r="H1215" s="68" t="str">
        <f>Table1[[#This Row],[Tabela]]&amp;Table1[[#This Row],[Campo]]</f>
        <v>lt003_entityflg_chrnc_physcl_rsk</v>
      </c>
      <c r="I1215" s="3" t="s">
        <v>30</v>
      </c>
      <c r="J1215" s="47">
        <f>VLOOKUP(Table1[[#This Row],[Status]],Auxiliar!$B$16:$C$23,2,0)</f>
        <v>7</v>
      </c>
      <c r="K1215" s="47" t="s">
        <v>1137</v>
      </c>
      <c r="L1215" s="48" t="s">
        <v>1144</v>
      </c>
      <c r="M1215" s="22" t="s">
        <v>1145</v>
      </c>
      <c r="N1215" s="53">
        <v>45485</v>
      </c>
      <c r="O1215" s="22">
        <f>INDEX(Auxiliar!$D$5:$F$13,MATCH(Table1[[#This Row],[Tipologia_Testes]],Auxiliar!$B$5:$B$13,0),MATCH(Table1[[#This Row],[Complexidade]],Auxiliar!$D$4:$F$4,0))</f>
        <v>2</v>
      </c>
      <c r="P1215" s="45"/>
      <c r="Q1215" s="132"/>
      <c r="R1215" s="173">
        <v>45261</v>
      </c>
      <c r="S1215" s="173"/>
      <c r="T1215" s="173"/>
      <c r="U1215" s="173"/>
      <c r="V1215" s="173"/>
      <c r="W1215" s="3">
        <f>VLOOKUP(Table1[[#This Row],[Status]],Auxiliar!$B$16:$D$23,3,0)*Table1[[#This Row],[Estimação (horas)]]</f>
        <v>0</v>
      </c>
      <c r="X1215" s="132"/>
    </row>
    <row r="1216" spans="2:24" ht="17.399999999999999" hidden="1" customHeight="1">
      <c r="B1216" s="40" t="s">
        <v>28</v>
      </c>
      <c r="C1216" s="40" t="s">
        <v>28</v>
      </c>
      <c r="D1216" s="40" t="s">
        <v>312</v>
      </c>
      <c r="E1216" s="40" t="s">
        <v>1226</v>
      </c>
      <c r="F1216" s="40" t="s">
        <v>323</v>
      </c>
      <c r="G1216" s="40" t="s">
        <v>346</v>
      </c>
      <c r="H1216" s="67" t="str">
        <f>Table1[[#This Row],[Tabela]]&amp;Table1[[#This Row],[Campo]]</f>
        <v>lt003_entityflg_chrnc_physcl_rsk</v>
      </c>
      <c r="I1216" s="3" t="s">
        <v>30</v>
      </c>
      <c r="J1216" s="47">
        <f>VLOOKUP(Table1[[#This Row],[Status]],Auxiliar!$B$16:$C$23,2,0)</f>
        <v>7</v>
      </c>
      <c r="K1216" s="47" t="s">
        <v>1138</v>
      </c>
      <c r="L1216" s="48" t="s">
        <v>1144</v>
      </c>
      <c r="M1216" s="22" t="s">
        <v>1145</v>
      </c>
      <c r="N1216" s="53">
        <v>45485</v>
      </c>
      <c r="O1216" s="22">
        <f>INDEX(Auxiliar!$D$5:$F$13,MATCH(Table1[[#This Row],[Tipologia_Testes]],Auxiliar!$B$5:$B$13,0),MATCH(Table1[[#This Row],[Complexidade]],Auxiliar!$D$4:$F$4,0))</f>
        <v>2</v>
      </c>
      <c r="P1216" s="45"/>
      <c r="Q1216" s="132"/>
      <c r="R1216" s="173">
        <v>45261</v>
      </c>
      <c r="S1216" s="173"/>
      <c r="T1216" s="173"/>
      <c r="U1216" s="173"/>
      <c r="V1216" s="173"/>
      <c r="W1216" s="3">
        <f>VLOOKUP(Table1[[#This Row],[Status]],Auxiliar!$B$16:$D$23,3,0)*Table1[[#This Row],[Estimação (horas)]]</f>
        <v>0</v>
      </c>
      <c r="X1216" s="132"/>
    </row>
    <row r="1217" spans="2:24" ht="17.399999999999999" hidden="1" customHeight="1">
      <c r="B1217" s="40" t="s">
        <v>28</v>
      </c>
      <c r="C1217" s="40" t="s">
        <v>28</v>
      </c>
      <c r="D1217" s="40" t="s">
        <v>312</v>
      </c>
      <c r="E1217" s="40" t="s">
        <v>1226</v>
      </c>
      <c r="F1217" s="40" t="s">
        <v>323</v>
      </c>
      <c r="G1217" s="40" t="s">
        <v>346</v>
      </c>
      <c r="H1217" s="67" t="str">
        <f>Table1[[#This Row],[Tabela]]&amp;Table1[[#This Row],[Campo]]</f>
        <v>lt003_entityflg_chrnc_physcl_rsk</v>
      </c>
      <c r="I1217" s="3" t="s">
        <v>30</v>
      </c>
      <c r="J1217" s="47">
        <f>VLOOKUP(Table1[[#This Row],[Status]],Auxiliar!$B$16:$C$23,2,0)</f>
        <v>7</v>
      </c>
      <c r="K1217" s="47" t="s">
        <v>1141</v>
      </c>
      <c r="L1217" s="48" t="s">
        <v>1144</v>
      </c>
      <c r="M1217" s="22" t="s">
        <v>1145</v>
      </c>
      <c r="N1217" s="53">
        <v>45485</v>
      </c>
      <c r="O1217" s="22">
        <f>INDEX(Auxiliar!$D$5:$F$13,MATCH(Table1[[#This Row],[Tipologia_Testes]],Auxiliar!$B$5:$B$13,0),MATCH(Table1[[#This Row],[Complexidade]],Auxiliar!$D$4:$F$4,0))</f>
        <v>0.1</v>
      </c>
      <c r="P1217" s="45"/>
      <c r="Q1217" s="132"/>
      <c r="R1217" s="173">
        <v>45261</v>
      </c>
      <c r="S1217" s="173"/>
      <c r="T1217" s="173"/>
      <c r="U1217" s="173"/>
      <c r="V1217" s="173"/>
      <c r="W1217" s="3">
        <f>VLOOKUP(Table1[[#This Row],[Status]],Auxiliar!$B$16:$D$23,3,0)*Table1[[#This Row],[Estimação (horas)]]</f>
        <v>0</v>
      </c>
      <c r="X1217" s="132"/>
    </row>
    <row r="1218" spans="2:24" ht="17.399999999999999" hidden="1" customHeight="1">
      <c r="B1218" s="42" t="s">
        <v>28</v>
      </c>
      <c r="C1218" s="42" t="s">
        <v>28</v>
      </c>
      <c r="D1218" s="43" t="s">
        <v>1227</v>
      </c>
      <c r="E1218" s="119" t="s">
        <v>1228</v>
      </c>
      <c r="F1218" s="41" t="s">
        <v>323</v>
      </c>
      <c r="G1218" s="39" t="s">
        <v>347</v>
      </c>
      <c r="H1218" s="68" t="str">
        <f>Table1[[#This Row],[Tabela]]&amp;Table1[[#This Row],[Campo]]</f>
        <v>lt003_entitypst_cd</v>
      </c>
      <c r="I1218" s="3" t="s">
        <v>30</v>
      </c>
      <c r="J1218" s="47">
        <f>VLOOKUP(Table1[[#This Row],[Status]],Auxiliar!$B$16:$C$23,2,0)</f>
        <v>7</v>
      </c>
      <c r="K1218" s="47" t="s">
        <v>1137</v>
      </c>
      <c r="L1218" s="48" t="s">
        <v>1144</v>
      </c>
      <c r="M1218" s="22" t="s">
        <v>1145</v>
      </c>
      <c r="N1218" s="53">
        <v>45485</v>
      </c>
      <c r="O1218" s="22">
        <f>INDEX(Auxiliar!$D$5:$F$13,MATCH(Table1[[#This Row],[Tipologia_Testes]],Auxiliar!$B$5:$B$13,0),MATCH(Table1[[#This Row],[Complexidade]],Auxiliar!$D$4:$F$4,0))</f>
        <v>2</v>
      </c>
      <c r="P1218" s="45"/>
      <c r="Q1218" s="132"/>
      <c r="R1218" s="173">
        <v>45261</v>
      </c>
      <c r="S1218" s="173"/>
      <c r="T1218" s="173"/>
      <c r="U1218" s="173"/>
      <c r="V1218" s="173"/>
      <c r="W1218" s="3">
        <f>VLOOKUP(Table1[[#This Row],[Status]],Auxiliar!$B$16:$D$23,3,0)*Table1[[#This Row],[Estimação (horas)]]</f>
        <v>0</v>
      </c>
      <c r="X1218" s="132"/>
    </row>
    <row r="1219" spans="2:24" ht="17.399999999999999" hidden="1" customHeight="1">
      <c r="B1219" s="40" t="s">
        <v>28</v>
      </c>
      <c r="C1219" s="40" t="s">
        <v>28</v>
      </c>
      <c r="D1219" s="40" t="s">
        <v>1227</v>
      </c>
      <c r="E1219" s="40" t="s">
        <v>1228</v>
      </c>
      <c r="F1219" s="40" t="s">
        <v>323</v>
      </c>
      <c r="G1219" s="40" t="s">
        <v>347</v>
      </c>
      <c r="H1219" s="67" t="str">
        <f>Table1[[#This Row],[Tabela]]&amp;Table1[[#This Row],[Campo]]</f>
        <v>lt003_entitypst_cd</v>
      </c>
      <c r="I1219" s="3" t="s">
        <v>30</v>
      </c>
      <c r="J1219" s="47">
        <f>VLOOKUP(Table1[[#This Row],[Status]],Auxiliar!$B$16:$C$23,2,0)</f>
        <v>7</v>
      </c>
      <c r="K1219" s="47" t="s">
        <v>1138</v>
      </c>
      <c r="L1219" s="48" t="s">
        <v>1144</v>
      </c>
      <c r="M1219" s="22" t="s">
        <v>1145</v>
      </c>
      <c r="N1219" s="53">
        <v>45485</v>
      </c>
      <c r="O1219" s="22">
        <f>INDEX(Auxiliar!$D$5:$F$13,MATCH(Table1[[#This Row],[Tipologia_Testes]],Auxiliar!$B$5:$B$13,0),MATCH(Table1[[#This Row],[Complexidade]],Auxiliar!$D$4:$F$4,0))</f>
        <v>2</v>
      </c>
      <c r="P1219" s="45"/>
      <c r="Q1219" s="132"/>
      <c r="R1219" s="173">
        <v>45261</v>
      </c>
      <c r="S1219" s="173"/>
      <c r="T1219" s="173"/>
      <c r="U1219" s="173"/>
      <c r="V1219" s="173"/>
      <c r="W1219" s="3">
        <f>VLOOKUP(Table1[[#This Row],[Status]],Auxiliar!$B$16:$D$23,3,0)*Table1[[#This Row],[Estimação (horas)]]</f>
        <v>0</v>
      </c>
      <c r="X1219" s="132"/>
    </row>
    <row r="1220" spans="2:24" ht="17.399999999999999" hidden="1" customHeight="1">
      <c r="B1220" s="40" t="s">
        <v>28</v>
      </c>
      <c r="C1220" s="40" t="s">
        <v>28</v>
      </c>
      <c r="D1220" s="40" t="s">
        <v>1227</v>
      </c>
      <c r="E1220" s="40" t="s">
        <v>1228</v>
      </c>
      <c r="F1220" s="40" t="s">
        <v>323</v>
      </c>
      <c r="G1220" s="40" t="s">
        <v>347</v>
      </c>
      <c r="H1220" s="67" t="str">
        <f>Table1[[#This Row],[Tabela]]&amp;Table1[[#This Row],[Campo]]</f>
        <v>lt003_entitypst_cd</v>
      </c>
      <c r="I1220" s="3" t="s">
        <v>30</v>
      </c>
      <c r="J1220" s="47">
        <f>VLOOKUP(Table1[[#This Row],[Status]],Auxiliar!$B$16:$C$23,2,0)</f>
        <v>7</v>
      </c>
      <c r="K1220" s="47" t="s">
        <v>1141</v>
      </c>
      <c r="L1220" s="48" t="s">
        <v>1144</v>
      </c>
      <c r="M1220" s="22" t="s">
        <v>1145</v>
      </c>
      <c r="N1220" s="53">
        <v>45485</v>
      </c>
      <c r="O1220" s="22">
        <f>INDEX(Auxiliar!$D$5:$F$13,MATCH(Table1[[#This Row],[Tipologia_Testes]],Auxiliar!$B$5:$B$13,0),MATCH(Table1[[#This Row],[Complexidade]],Auxiliar!$D$4:$F$4,0))</f>
        <v>0.1</v>
      </c>
      <c r="P1220" s="45"/>
      <c r="Q1220" s="132"/>
      <c r="R1220" s="173">
        <v>45261</v>
      </c>
      <c r="S1220" s="173"/>
      <c r="T1220" s="173"/>
      <c r="U1220" s="173"/>
      <c r="V1220" s="173"/>
      <c r="W1220" s="3">
        <f>VLOOKUP(Table1[[#This Row],[Status]],Auxiliar!$B$16:$D$23,3,0)*Table1[[#This Row],[Estimação (horas)]]</f>
        <v>0</v>
      </c>
      <c r="X1220" s="132"/>
    </row>
    <row r="1221" spans="2:24" ht="17.399999999999999" hidden="1" customHeight="1">
      <c r="B1221" s="42" t="s">
        <v>28</v>
      </c>
      <c r="C1221" s="42" t="s">
        <v>28</v>
      </c>
      <c r="D1221" s="43" t="s">
        <v>380</v>
      </c>
      <c r="E1221" s="119" t="s">
        <v>38</v>
      </c>
      <c r="F1221" s="41" t="s">
        <v>323</v>
      </c>
      <c r="G1221" s="39" t="s">
        <v>348</v>
      </c>
      <c r="H1221" s="68" t="str">
        <f>Table1[[#This Row],[Tabela]]&amp;Table1[[#This Row],[Campo]]</f>
        <v>lt003_entityesg_sbsctr</v>
      </c>
      <c r="I1221" s="3" t="s">
        <v>30</v>
      </c>
      <c r="J1221" s="47">
        <f>VLOOKUP(Table1[[#This Row],[Status]],Auxiliar!$B$16:$C$23,2,0)</f>
        <v>7</v>
      </c>
      <c r="K1221" s="47" t="s">
        <v>1137</v>
      </c>
      <c r="L1221" s="48" t="s">
        <v>1144</v>
      </c>
      <c r="M1221" s="22" t="s">
        <v>1145</v>
      </c>
      <c r="N1221" s="53">
        <v>45485</v>
      </c>
      <c r="O1221" s="22">
        <f>INDEX(Auxiliar!$D$5:$F$13,MATCH(Table1[[#This Row],[Tipologia_Testes]],Auxiliar!$B$5:$B$13,0),MATCH(Table1[[#This Row],[Complexidade]],Auxiliar!$D$4:$F$4,0))</f>
        <v>2</v>
      </c>
      <c r="P1221" s="45"/>
      <c r="Q1221" s="132"/>
      <c r="R1221" s="173">
        <v>45261</v>
      </c>
      <c r="S1221" s="173"/>
      <c r="T1221" s="173"/>
      <c r="U1221" s="173"/>
      <c r="V1221" s="173"/>
      <c r="W1221" s="3">
        <f>VLOOKUP(Table1[[#This Row],[Status]],Auxiliar!$B$16:$D$23,3,0)*Table1[[#This Row],[Estimação (horas)]]</f>
        <v>0</v>
      </c>
      <c r="X1221" s="132"/>
    </row>
    <row r="1222" spans="2:24" ht="17.399999999999999" hidden="1" customHeight="1">
      <c r="B1222" s="40" t="s">
        <v>28</v>
      </c>
      <c r="C1222" s="40" t="s">
        <v>28</v>
      </c>
      <c r="D1222" s="40" t="s">
        <v>380</v>
      </c>
      <c r="E1222" s="40" t="s">
        <v>38</v>
      </c>
      <c r="F1222" s="40" t="s">
        <v>323</v>
      </c>
      <c r="G1222" s="40" t="s">
        <v>348</v>
      </c>
      <c r="H1222" s="67" t="str">
        <f>Table1[[#This Row],[Tabela]]&amp;Table1[[#This Row],[Campo]]</f>
        <v>lt003_entityesg_sbsctr</v>
      </c>
      <c r="I1222" s="3" t="s">
        <v>30</v>
      </c>
      <c r="J1222" s="47">
        <f>VLOOKUP(Table1[[#This Row],[Status]],Auxiliar!$B$16:$C$23,2,0)</f>
        <v>7</v>
      </c>
      <c r="K1222" s="47" t="s">
        <v>1138</v>
      </c>
      <c r="L1222" s="48" t="s">
        <v>1144</v>
      </c>
      <c r="M1222" s="22" t="s">
        <v>1145</v>
      </c>
      <c r="N1222" s="53">
        <v>45485</v>
      </c>
      <c r="O1222" s="22">
        <f>INDEX(Auxiliar!$D$5:$F$13,MATCH(Table1[[#This Row],[Tipologia_Testes]],Auxiliar!$B$5:$B$13,0),MATCH(Table1[[#This Row],[Complexidade]],Auxiliar!$D$4:$F$4,0))</f>
        <v>2</v>
      </c>
      <c r="P1222" s="45"/>
      <c r="Q1222" s="132"/>
      <c r="R1222" s="173">
        <v>45261</v>
      </c>
      <c r="S1222" s="173"/>
      <c r="T1222" s="173"/>
      <c r="U1222" s="173"/>
      <c r="V1222" s="173"/>
      <c r="W1222" s="3">
        <f>VLOOKUP(Table1[[#This Row],[Status]],Auxiliar!$B$16:$D$23,3,0)*Table1[[#This Row],[Estimação (horas)]]</f>
        <v>0</v>
      </c>
      <c r="X1222" s="132"/>
    </row>
    <row r="1223" spans="2:24" ht="17.399999999999999" hidden="1" customHeight="1">
      <c r="B1223" s="40" t="s">
        <v>28</v>
      </c>
      <c r="C1223" s="40" t="s">
        <v>28</v>
      </c>
      <c r="D1223" s="40" t="s">
        <v>380</v>
      </c>
      <c r="E1223" s="40" t="s">
        <v>38</v>
      </c>
      <c r="F1223" s="40" t="s">
        <v>323</v>
      </c>
      <c r="G1223" s="40" t="s">
        <v>348</v>
      </c>
      <c r="H1223" s="67" t="str">
        <f>Table1[[#This Row],[Tabela]]&amp;Table1[[#This Row],[Campo]]</f>
        <v>lt003_entityesg_sbsctr</v>
      </c>
      <c r="I1223" s="3" t="s">
        <v>30</v>
      </c>
      <c r="J1223" s="47">
        <f>VLOOKUP(Table1[[#This Row],[Status]],Auxiliar!$B$16:$C$23,2,0)</f>
        <v>7</v>
      </c>
      <c r="K1223" s="47" t="s">
        <v>1141</v>
      </c>
      <c r="L1223" s="48" t="s">
        <v>1144</v>
      </c>
      <c r="M1223" s="22" t="s">
        <v>1145</v>
      </c>
      <c r="N1223" s="53">
        <v>45485</v>
      </c>
      <c r="O1223" s="22">
        <f>INDEX(Auxiliar!$D$5:$F$13,MATCH(Table1[[#This Row],[Tipologia_Testes]],Auxiliar!$B$5:$B$13,0),MATCH(Table1[[#This Row],[Complexidade]],Auxiliar!$D$4:$F$4,0))</f>
        <v>0.1</v>
      </c>
      <c r="P1223" s="45"/>
      <c r="Q1223" s="132"/>
      <c r="R1223" s="173">
        <v>45261</v>
      </c>
      <c r="S1223" s="173"/>
      <c r="T1223" s="173"/>
      <c r="U1223" s="173"/>
      <c r="V1223" s="173"/>
      <c r="W1223" s="3">
        <f>VLOOKUP(Table1[[#This Row],[Status]],Auxiliar!$B$16:$D$23,3,0)*Table1[[#This Row],[Estimação (horas)]]</f>
        <v>0</v>
      </c>
      <c r="X1223" s="132"/>
    </row>
    <row r="1224" spans="2:24" ht="34.799999999999997" hidden="1" customHeight="1">
      <c r="B1224" s="42" t="s">
        <v>28</v>
      </c>
      <c r="C1224" s="42" t="s">
        <v>28</v>
      </c>
      <c r="D1224" s="38" t="s">
        <v>1229</v>
      </c>
      <c r="E1224" s="119" t="s">
        <v>1230</v>
      </c>
      <c r="F1224" s="41" t="s">
        <v>323</v>
      </c>
      <c r="G1224" s="39" t="s">
        <v>349</v>
      </c>
      <c r="H1224" s="68" t="str">
        <f>Table1[[#This Row],[Tabela]]&amp;Table1[[#This Row],[Campo]]</f>
        <v>lt003_entityttl_lblty</v>
      </c>
      <c r="I1224" s="3" t="s">
        <v>30</v>
      </c>
      <c r="J1224" s="47">
        <f>VLOOKUP(Table1[[#This Row],[Status]],Auxiliar!$B$16:$C$23,2,0)</f>
        <v>7</v>
      </c>
      <c r="K1224" s="47" t="s">
        <v>1137</v>
      </c>
      <c r="L1224" s="48" t="s">
        <v>1144</v>
      </c>
      <c r="M1224" s="22" t="s">
        <v>1145</v>
      </c>
      <c r="N1224" s="53">
        <v>45485</v>
      </c>
      <c r="O1224" s="22">
        <f>INDEX(Auxiliar!$D$5:$F$13,MATCH(Table1[[#This Row],[Tipologia_Testes]],Auxiliar!$B$5:$B$13,0),MATCH(Table1[[#This Row],[Complexidade]],Auxiliar!$D$4:$F$4,0))</f>
        <v>2</v>
      </c>
      <c r="P1224" s="45"/>
      <c r="Q1224" s="132"/>
      <c r="R1224" s="173">
        <v>45261</v>
      </c>
      <c r="S1224" s="173"/>
      <c r="T1224" s="173"/>
      <c r="U1224" s="173"/>
      <c r="V1224" s="173"/>
      <c r="W1224" s="3">
        <f>VLOOKUP(Table1[[#This Row],[Status]],Auxiliar!$B$16:$D$23,3,0)*Table1[[#This Row],[Estimação (horas)]]</f>
        <v>0</v>
      </c>
      <c r="X1224" s="132"/>
    </row>
    <row r="1225" spans="2:24" ht="17.399999999999999" hidden="1" customHeight="1">
      <c r="B1225" s="40" t="s">
        <v>28</v>
      </c>
      <c r="C1225" s="40" t="s">
        <v>28</v>
      </c>
      <c r="D1225" s="40" t="s">
        <v>1229</v>
      </c>
      <c r="E1225" s="40" t="s">
        <v>1230</v>
      </c>
      <c r="F1225" s="40" t="s">
        <v>323</v>
      </c>
      <c r="G1225" s="40" t="s">
        <v>349</v>
      </c>
      <c r="H1225" s="67" t="str">
        <f>Table1[[#This Row],[Tabela]]&amp;Table1[[#This Row],[Campo]]</f>
        <v>lt003_entityttl_lblty</v>
      </c>
      <c r="I1225" s="3" t="s">
        <v>30</v>
      </c>
      <c r="J1225" s="47">
        <f>VLOOKUP(Table1[[#This Row],[Status]],Auxiliar!$B$16:$C$23,2,0)</f>
        <v>7</v>
      </c>
      <c r="K1225" s="47" t="s">
        <v>1138</v>
      </c>
      <c r="L1225" s="48" t="s">
        <v>1144</v>
      </c>
      <c r="M1225" s="22" t="s">
        <v>1145</v>
      </c>
      <c r="N1225" s="53">
        <v>45485</v>
      </c>
      <c r="O1225" s="22">
        <f>INDEX(Auxiliar!$D$5:$F$13,MATCH(Table1[[#This Row],[Tipologia_Testes]],Auxiliar!$B$5:$B$13,0),MATCH(Table1[[#This Row],[Complexidade]],Auxiliar!$D$4:$F$4,0))</f>
        <v>2</v>
      </c>
      <c r="P1225" s="45"/>
      <c r="Q1225" s="132"/>
      <c r="R1225" s="173">
        <v>45261</v>
      </c>
      <c r="S1225" s="173"/>
      <c r="T1225" s="173"/>
      <c r="U1225" s="173"/>
      <c r="V1225" s="173"/>
      <c r="W1225" s="3">
        <f>VLOOKUP(Table1[[#This Row],[Status]],Auxiliar!$B$16:$D$23,3,0)*Table1[[#This Row],[Estimação (horas)]]</f>
        <v>0</v>
      </c>
      <c r="X1225" s="132"/>
    </row>
    <row r="1226" spans="2:24" ht="17.399999999999999" hidden="1" customHeight="1">
      <c r="B1226" s="40" t="s">
        <v>28</v>
      </c>
      <c r="C1226" s="40" t="s">
        <v>28</v>
      </c>
      <c r="D1226" s="40" t="s">
        <v>1229</v>
      </c>
      <c r="E1226" s="40" t="s">
        <v>1230</v>
      </c>
      <c r="F1226" s="40" t="s">
        <v>323</v>
      </c>
      <c r="G1226" s="40" t="s">
        <v>349</v>
      </c>
      <c r="H1226" s="67" t="str">
        <f>Table1[[#This Row],[Tabela]]&amp;Table1[[#This Row],[Campo]]</f>
        <v>lt003_entityttl_lblty</v>
      </c>
      <c r="I1226" s="3" t="s">
        <v>30</v>
      </c>
      <c r="J1226" s="47">
        <f>VLOOKUP(Table1[[#This Row],[Status]],Auxiliar!$B$16:$C$23,2,0)</f>
        <v>7</v>
      </c>
      <c r="K1226" s="47" t="s">
        <v>1141</v>
      </c>
      <c r="L1226" s="48" t="s">
        <v>1144</v>
      </c>
      <c r="M1226" s="22" t="s">
        <v>1145</v>
      </c>
      <c r="N1226" s="53">
        <v>45485</v>
      </c>
      <c r="O1226" s="22">
        <f>INDEX(Auxiliar!$D$5:$F$13,MATCH(Table1[[#This Row],[Tipologia_Testes]],Auxiliar!$B$5:$B$13,0),MATCH(Table1[[#This Row],[Complexidade]],Auxiliar!$D$4:$F$4,0))</f>
        <v>0.1</v>
      </c>
      <c r="P1226" s="45"/>
      <c r="Q1226" s="132"/>
      <c r="R1226" s="173">
        <v>45261</v>
      </c>
      <c r="S1226" s="173"/>
      <c r="T1226" s="173"/>
      <c r="U1226" s="173"/>
      <c r="V1226" s="173"/>
      <c r="W1226" s="3">
        <f>VLOOKUP(Table1[[#This Row],[Status]],Auxiliar!$B$16:$D$23,3,0)*Table1[[#This Row],[Estimação (horas)]]</f>
        <v>0</v>
      </c>
      <c r="X1226" s="132"/>
    </row>
    <row r="1227" spans="2:24" ht="34.799999999999997" hidden="1" customHeight="1">
      <c r="B1227" s="42" t="s">
        <v>28</v>
      </c>
      <c r="C1227" s="42" t="s">
        <v>28</v>
      </c>
      <c r="D1227" s="37" t="s">
        <v>1231</v>
      </c>
      <c r="E1227" s="119" t="s">
        <v>1232</v>
      </c>
      <c r="F1227" s="41" t="s">
        <v>323</v>
      </c>
      <c r="G1227" s="39" t="s">
        <v>230</v>
      </c>
      <c r="H1227" s="68" t="str">
        <f>Table1[[#This Row],[Tabela]]&amp;Table1[[#This Row],[Campo]]</f>
        <v>lt003_entityisin</v>
      </c>
      <c r="I1227" s="3" t="s">
        <v>30</v>
      </c>
      <c r="J1227" s="47">
        <f>VLOOKUP(Table1[[#This Row],[Status]],Auxiliar!$B$16:$C$23,2,0)</f>
        <v>7</v>
      </c>
      <c r="K1227" s="47" t="s">
        <v>1137</v>
      </c>
      <c r="L1227" s="48" t="s">
        <v>1144</v>
      </c>
      <c r="M1227" s="22" t="s">
        <v>1145</v>
      </c>
      <c r="N1227" s="53">
        <v>45485</v>
      </c>
      <c r="O1227" s="22">
        <f>INDEX(Auxiliar!$D$5:$F$13,MATCH(Table1[[#This Row],[Tipologia_Testes]],Auxiliar!$B$5:$B$13,0),MATCH(Table1[[#This Row],[Complexidade]],Auxiliar!$D$4:$F$4,0))</f>
        <v>2</v>
      </c>
      <c r="P1227" s="45"/>
      <c r="Q1227" s="132"/>
      <c r="R1227" s="173">
        <v>45261</v>
      </c>
      <c r="S1227" s="173"/>
      <c r="T1227" s="173"/>
      <c r="U1227" s="173"/>
      <c r="V1227" s="173"/>
      <c r="W1227" s="3">
        <f>VLOOKUP(Table1[[#This Row],[Status]],Auxiliar!$B$16:$D$23,3,0)*Table1[[#This Row],[Estimação (horas)]]</f>
        <v>0</v>
      </c>
      <c r="X1227" s="132"/>
    </row>
    <row r="1228" spans="2:24" ht="17.399999999999999" hidden="1" customHeight="1">
      <c r="B1228" s="40" t="s">
        <v>28</v>
      </c>
      <c r="C1228" s="40" t="s">
        <v>28</v>
      </c>
      <c r="D1228" s="40" t="s">
        <v>1231</v>
      </c>
      <c r="E1228" s="40" t="s">
        <v>1232</v>
      </c>
      <c r="F1228" s="40" t="s">
        <v>323</v>
      </c>
      <c r="G1228" s="40" t="s">
        <v>230</v>
      </c>
      <c r="H1228" s="67" t="str">
        <f>Table1[[#This Row],[Tabela]]&amp;Table1[[#This Row],[Campo]]</f>
        <v>lt003_entityisin</v>
      </c>
      <c r="I1228" s="3" t="s">
        <v>30</v>
      </c>
      <c r="J1228" s="47">
        <f>VLOOKUP(Table1[[#This Row],[Status]],Auxiliar!$B$16:$C$23,2,0)</f>
        <v>7</v>
      </c>
      <c r="K1228" s="47" t="s">
        <v>1138</v>
      </c>
      <c r="L1228" s="48" t="s">
        <v>1144</v>
      </c>
      <c r="M1228" s="22" t="s">
        <v>1145</v>
      </c>
      <c r="N1228" s="53">
        <v>45485</v>
      </c>
      <c r="O1228" s="22">
        <f>INDEX(Auxiliar!$D$5:$F$13,MATCH(Table1[[#This Row],[Tipologia_Testes]],Auxiliar!$B$5:$B$13,0),MATCH(Table1[[#This Row],[Complexidade]],Auxiliar!$D$4:$F$4,0))</f>
        <v>2</v>
      </c>
      <c r="P1228" s="45"/>
      <c r="Q1228" s="132"/>
      <c r="R1228" s="173">
        <v>45261</v>
      </c>
      <c r="S1228" s="173"/>
      <c r="T1228" s="173"/>
      <c r="U1228" s="173"/>
      <c r="V1228" s="173"/>
      <c r="W1228" s="3">
        <f>VLOOKUP(Table1[[#This Row],[Status]],Auxiliar!$B$16:$D$23,3,0)*Table1[[#This Row],[Estimação (horas)]]</f>
        <v>0</v>
      </c>
      <c r="X1228" s="132"/>
    </row>
    <row r="1229" spans="2:24" ht="17.399999999999999" hidden="1" customHeight="1">
      <c r="B1229" s="40" t="s">
        <v>28</v>
      </c>
      <c r="C1229" s="40" t="s">
        <v>28</v>
      </c>
      <c r="D1229" s="40" t="s">
        <v>1231</v>
      </c>
      <c r="E1229" s="40" t="s">
        <v>1232</v>
      </c>
      <c r="F1229" s="40" t="s">
        <v>323</v>
      </c>
      <c r="G1229" s="40" t="s">
        <v>230</v>
      </c>
      <c r="H1229" s="67" t="str">
        <f>Table1[[#This Row],[Tabela]]&amp;Table1[[#This Row],[Campo]]</f>
        <v>lt003_entityisin</v>
      </c>
      <c r="I1229" s="3" t="s">
        <v>30</v>
      </c>
      <c r="J1229" s="47">
        <f>VLOOKUP(Table1[[#This Row],[Status]],Auxiliar!$B$16:$C$23,2,0)</f>
        <v>7</v>
      </c>
      <c r="K1229" s="47" t="s">
        <v>1141</v>
      </c>
      <c r="L1229" s="48" t="s">
        <v>1144</v>
      </c>
      <c r="M1229" s="22" t="s">
        <v>1145</v>
      </c>
      <c r="N1229" s="53">
        <v>45485</v>
      </c>
      <c r="O1229" s="22">
        <f>INDEX(Auxiliar!$D$5:$F$13,MATCH(Table1[[#This Row],[Tipologia_Testes]],Auxiliar!$B$5:$B$13,0),MATCH(Table1[[#This Row],[Complexidade]],Auxiliar!$D$4:$F$4,0))</f>
        <v>0.1</v>
      </c>
      <c r="P1229" s="45"/>
      <c r="Q1229" s="132"/>
      <c r="R1229" s="173">
        <v>45261</v>
      </c>
      <c r="S1229" s="173"/>
      <c r="T1229" s="173"/>
      <c r="U1229" s="173"/>
      <c r="V1229" s="173"/>
      <c r="W1229" s="3">
        <f>VLOOKUP(Table1[[#This Row],[Status]],Auxiliar!$B$16:$D$23,3,0)*Table1[[#This Row],[Estimação (horas)]]</f>
        <v>0</v>
      </c>
      <c r="X1229" s="132"/>
    </row>
    <row r="1230" spans="2:24" ht="34.799999999999997" hidden="1" customHeight="1">
      <c r="B1230" s="42" t="s">
        <v>28</v>
      </c>
      <c r="C1230" s="42" t="s">
        <v>28</v>
      </c>
      <c r="D1230" s="37" t="s">
        <v>1233</v>
      </c>
      <c r="E1230" s="119" t="s">
        <v>1234</v>
      </c>
      <c r="F1230" s="41" t="s">
        <v>323</v>
      </c>
      <c r="G1230" s="39" t="s">
        <v>350</v>
      </c>
      <c r="H1230" s="68" t="str">
        <f>Table1[[#This Row],[Tabela]]&amp;Table1[[#This Row],[Campo]]</f>
        <v>lt003_entitygrp_annl_trnvr_le</v>
      </c>
      <c r="I1230" s="3" t="s">
        <v>30</v>
      </c>
      <c r="J1230" s="47">
        <f>VLOOKUP(Table1[[#This Row],[Status]],Auxiliar!$B$16:$C$23,2,0)</f>
        <v>7</v>
      </c>
      <c r="K1230" s="47" t="s">
        <v>1137</v>
      </c>
      <c r="L1230" s="48" t="s">
        <v>1144</v>
      </c>
      <c r="M1230" s="22" t="s">
        <v>1145</v>
      </c>
      <c r="N1230" s="53">
        <v>45485</v>
      </c>
      <c r="O1230" s="22">
        <f>INDEX(Auxiliar!$D$5:$F$13,MATCH(Table1[[#This Row],[Tipologia_Testes]],Auxiliar!$B$5:$B$13,0),MATCH(Table1[[#This Row],[Complexidade]],Auxiliar!$D$4:$F$4,0))</f>
        <v>2</v>
      </c>
      <c r="P1230" s="45"/>
      <c r="Q1230" s="132"/>
      <c r="R1230" s="173">
        <v>45261</v>
      </c>
      <c r="S1230" s="173"/>
      <c r="T1230" s="173"/>
      <c r="U1230" s="173"/>
      <c r="V1230" s="173"/>
      <c r="W1230" s="3">
        <f>VLOOKUP(Table1[[#This Row],[Status]],Auxiliar!$B$16:$D$23,3,0)*Table1[[#This Row],[Estimação (horas)]]</f>
        <v>0</v>
      </c>
      <c r="X1230" s="132"/>
    </row>
    <row r="1231" spans="2:24" ht="17.399999999999999" hidden="1" customHeight="1">
      <c r="B1231" s="40" t="s">
        <v>28</v>
      </c>
      <c r="C1231" s="40" t="s">
        <v>28</v>
      </c>
      <c r="D1231" s="40" t="s">
        <v>1233</v>
      </c>
      <c r="E1231" s="40" t="s">
        <v>1234</v>
      </c>
      <c r="F1231" s="40" t="s">
        <v>323</v>
      </c>
      <c r="G1231" s="40" t="s">
        <v>350</v>
      </c>
      <c r="H1231" s="67" t="str">
        <f>Table1[[#This Row],[Tabela]]&amp;Table1[[#This Row],[Campo]]</f>
        <v>lt003_entitygrp_annl_trnvr_le</v>
      </c>
      <c r="I1231" s="3" t="s">
        <v>30</v>
      </c>
      <c r="J1231" s="47">
        <f>VLOOKUP(Table1[[#This Row],[Status]],Auxiliar!$B$16:$C$23,2,0)</f>
        <v>7</v>
      </c>
      <c r="K1231" s="47" t="s">
        <v>1138</v>
      </c>
      <c r="L1231" s="48" t="s">
        <v>1144</v>
      </c>
      <c r="M1231" s="22" t="s">
        <v>1145</v>
      </c>
      <c r="N1231" s="53">
        <v>45485</v>
      </c>
      <c r="O1231" s="22">
        <f>INDEX(Auxiliar!$D$5:$F$13,MATCH(Table1[[#This Row],[Tipologia_Testes]],Auxiliar!$B$5:$B$13,0),MATCH(Table1[[#This Row],[Complexidade]],Auxiliar!$D$4:$F$4,0))</f>
        <v>2</v>
      </c>
      <c r="P1231" s="45"/>
      <c r="Q1231" s="132"/>
      <c r="R1231" s="173">
        <v>45261</v>
      </c>
      <c r="S1231" s="173"/>
      <c r="T1231" s="173"/>
      <c r="U1231" s="173"/>
      <c r="V1231" s="173"/>
      <c r="W1231" s="3">
        <f>VLOOKUP(Table1[[#This Row],[Status]],Auxiliar!$B$16:$D$23,3,0)*Table1[[#This Row],[Estimação (horas)]]</f>
        <v>0</v>
      </c>
      <c r="X1231" s="132"/>
    </row>
    <row r="1232" spans="2:24" ht="17.399999999999999" hidden="1" customHeight="1">
      <c r="B1232" s="40" t="s">
        <v>28</v>
      </c>
      <c r="C1232" s="40" t="s">
        <v>28</v>
      </c>
      <c r="D1232" s="40" t="s">
        <v>1233</v>
      </c>
      <c r="E1232" s="40" t="s">
        <v>1234</v>
      </c>
      <c r="F1232" s="40" t="s">
        <v>323</v>
      </c>
      <c r="G1232" s="40" t="s">
        <v>350</v>
      </c>
      <c r="H1232" s="67" t="str">
        <f>Table1[[#This Row],[Tabela]]&amp;Table1[[#This Row],[Campo]]</f>
        <v>lt003_entitygrp_annl_trnvr_le</v>
      </c>
      <c r="I1232" s="3" t="s">
        <v>30</v>
      </c>
      <c r="J1232" s="47">
        <f>VLOOKUP(Table1[[#This Row],[Status]],Auxiliar!$B$16:$C$23,2,0)</f>
        <v>7</v>
      </c>
      <c r="K1232" s="47" t="s">
        <v>1141</v>
      </c>
      <c r="L1232" s="48" t="s">
        <v>1144</v>
      </c>
      <c r="M1232" s="22" t="s">
        <v>1145</v>
      </c>
      <c r="N1232" s="53">
        <v>45485</v>
      </c>
      <c r="O1232" s="22">
        <f>INDEX(Auxiliar!$D$5:$F$13,MATCH(Table1[[#This Row],[Tipologia_Testes]],Auxiliar!$B$5:$B$13,0),MATCH(Table1[[#This Row],[Complexidade]],Auxiliar!$D$4:$F$4,0))</f>
        <v>0.1</v>
      </c>
      <c r="P1232" s="45"/>
      <c r="Q1232" s="132"/>
      <c r="R1232" s="173">
        <v>45261</v>
      </c>
      <c r="S1232" s="173"/>
      <c r="T1232" s="173"/>
      <c r="U1232" s="173"/>
      <c r="V1232" s="173"/>
      <c r="W1232" s="3">
        <f>VLOOKUP(Table1[[#This Row],[Status]],Auxiliar!$B$16:$D$23,3,0)*Table1[[#This Row],[Estimação (horas)]]</f>
        <v>0</v>
      </c>
      <c r="X1232" s="132"/>
    </row>
    <row r="1233" spans="2:24" ht="34.799999999999997" hidden="1" customHeight="1">
      <c r="B1233" s="42" t="s">
        <v>28</v>
      </c>
      <c r="C1233" s="42" t="s">
        <v>28</v>
      </c>
      <c r="D1233" s="37" t="s">
        <v>1235</v>
      </c>
      <c r="E1233" s="119" t="s">
        <v>1230</v>
      </c>
      <c r="F1233" s="41" t="s">
        <v>323</v>
      </c>
      <c r="G1233" s="39" t="s">
        <v>351</v>
      </c>
      <c r="H1233" s="68" t="str">
        <f>Table1[[#This Row],[Tabela]]&amp;Table1[[#This Row],[Campo]]</f>
        <v>lt003_entitygrp_ttl_lblty</v>
      </c>
      <c r="I1233" s="3" t="s">
        <v>30</v>
      </c>
      <c r="J1233" s="47">
        <f>VLOOKUP(Table1[[#This Row],[Status]],Auxiliar!$B$16:$C$23,2,0)</f>
        <v>7</v>
      </c>
      <c r="K1233" s="47" t="s">
        <v>1137</v>
      </c>
      <c r="L1233" s="48" t="s">
        <v>1144</v>
      </c>
      <c r="M1233" s="22" t="s">
        <v>1145</v>
      </c>
      <c r="N1233" s="53">
        <v>45485</v>
      </c>
      <c r="O1233" s="22">
        <f>INDEX(Auxiliar!$D$5:$F$13,MATCH(Table1[[#This Row],[Tipologia_Testes]],Auxiliar!$B$5:$B$13,0),MATCH(Table1[[#This Row],[Complexidade]],Auxiliar!$D$4:$F$4,0))</f>
        <v>2</v>
      </c>
      <c r="P1233" s="45"/>
      <c r="Q1233" s="132"/>
      <c r="R1233" s="173">
        <v>45261</v>
      </c>
      <c r="S1233" s="173"/>
      <c r="T1233" s="173"/>
      <c r="U1233" s="173"/>
      <c r="V1233" s="173"/>
      <c r="W1233" s="3">
        <f>VLOOKUP(Table1[[#This Row],[Status]],Auxiliar!$B$16:$D$23,3,0)*Table1[[#This Row],[Estimação (horas)]]</f>
        <v>0</v>
      </c>
      <c r="X1233" s="132"/>
    </row>
    <row r="1234" spans="2:24" ht="17.399999999999999" hidden="1" customHeight="1">
      <c r="B1234" s="40" t="s">
        <v>28</v>
      </c>
      <c r="C1234" s="40" t="s">
        <v>28</v>
      </c>
      <c r="D1234" s="40" t="s">
        <v>1235</v>
      </c>
      <c r="E1234" s="40" t="s">
        <v>1230</v>
      </c>
      <c r="F1234" s="40" t="s">
        <v>323</v>
      </c>
      <c r="G1234" s="40" t="s">
        <v>351</v>
      </c>
      <c r="H1234" s="67" t="str">
        <f>Table1[[#This Row],[Tabela]]&amp;Table1[[#This Row],[Campo]]</f>
        <v>lt003_entitygrp_ttl_lblty</v>
      </c>
      <c r="I1234" s="3" t="s">
        <v>30</v>
      </c>
      <c r="J1234" s="47">
        <f>VLOOKUP(Table1[[#This Row],[Status]],Auxiliar!$B$16:$C$23,2,0)</f>
        <v>7</v>
      </c>
      <c r="K1234" s="47" t="s">
        <v>1138</v>
      </c>
      <c r="L1234" s="48" t="s">
        <v>1144</v>
      </c>
      <c r="M1234" s="22" t="s">
        <v>1145</v>
      </c>
      <c r="N1234" s="53">
        <v>45485</v>
      </c>
      <c r="O1234" s="22">
        <f>INDEX(Auxiliar!$D$5:$F$13,MATCH(Table1[[#This Row],[Tipologia_Testes]],Auxiliar!$B$5:$B$13,0),MATCH(Table1[[#This Row],[Complexidade]],Auxiliar!$D$4:$F$4,0))</f>
        <v>2</v>
      </c>
      <c r="P1234" s="45"/>
      <c r="Q1234" s="132"/>
      <c r="R1234" s="173">
        <v>45261</v>
      </c>
      <c r="S1234" s="173"/>
      <c r="T1234" s="173"/>
      <c r="U1234" s="173"/>
      <c r="V1234" s="173"/>
      <c r="W1234" s="3">
        <f>VLOOKUP(Table1[[#This Row],[Status]],Auxiliar!$B$16:$D$23,3,0)*Table1[[#This Row],[Estimação (horas)]]</f>
        <v>0</v>
      </c>
      <c r="X1234" s="132"/>
    </row>
    <row r="1235" spans="2:24" ht="17.399999999999999" hidden="1" customHeight="1">
      <c r="B1235" s="40" t="s">
        <v>28</v>
      </c>
      <c r="C1235" s="40" t="s">
        <v>28</v>
      </c>
      <c r="D1235" s="40" t="s">
        <v>1235</v>
      </c>
      <c r="E1235" s="40" t="s">
        <v>1230</v>
      </c>
      <c r="F1235" s="40" t="s">
        <v>323</v>
      </c>
      <c r="G1235" s="40" t="s">
        <v>351</v>
      </c>
      <c r="H1235" s="67" t="str">
        <f>Table1[[#This Row],[Tabela]]&amp;Table1[[#This Row],[Campo]]</f>
        <v>lt003_entitygrp_ttl_lblty</v>
      </c>
      <c r="I1235" s="3" t="s">
        <v>30</v>
      </c>
      <c r="J1235" s="47">
        <f>VLOOKUP(Table1[[#This Row],[Status]],Auxiliar!$B$16:$C$23,2,0)</f>
        <v>7</v>
      </c>
      <c r="K1235" s="47" t="s">
        <v>1141</v>
      </c>
      <c r="L1235" s="48" t="s">
        <v>1144</v>
      </c>
      <c r="M1235" s="22" t="s">
        <v>1145</v>
      </c>
      <c r="N1235" s="53">
        <v>45485</v>
      </c>
      <c r="O1235" s="22">
        <f>INDEX(Auxiliar!$D$5:$F$13,MATCH(Table1[[#This Row],[Tipologia_Testes]],Auxiliar!$B$5:$B$13,0),MATCH(Table1[[#This Row],[Complexidade]],Auxiliar!$D$4:$F$4,0))</f>
        <v>0.1</v>
      </c>
      <c r="P1235" s="45"/>
      <c r="Q1235" s="132"/>
      <c r="R1235" s="173">
        <v>45261</v>
      </c>
      <c r="S1235" s="173"/>
      <c r="T1235" s="173"/>
      <c r="U1235" s="173"/>
      <c r="V1235" s="173"/>
      <c r="W1235" s="3">
        <f>VLOOKUP(Table1[[#This Row],[Status]],Auxiliar!$B$16:$D$23,3,0)*Table1[[#This Row],[Estimação (horas)]]</f>
        <v>0</v>
      </c>
      <c r="X1235" s="132"/>
    </row>
    <row r="1236" spans="2:24" ht="34.799999999999997" hidden="1" customHeight="1">
      <c r="B1236" s="42" t="s">
        <v>28</v>
      </c>
      <c r="C1236" s="42" t="s">
        <v>28</v>
      </c>
      <c r="D1236" s="37" t="s">
        <v>312</v>
      </c>
      <c r="E1236" s="119" t="s">
        <v>1236</v>
      </c>
      <c r="F1236" s="41" t="s">
        <v>323</v>
      </c>
      <c r="G1236" s="39" t="s">
        <v>352</v>
      </c>
      <c r="H1236" s="68" t="str">
        <f>Table1[[#This Row],[Tabela]]&amp;Table1[[#This Row],[Campo]]</f>
        <v>lt003_entityflg_grp_nfrd_applcblty</v>
      </c>
      <c r="I1236" s="3" t="s">
        <v>30</v>
      </c>
      <c r="J1236" s="47">
        <f>VLOOKUP(Table1[[#This Row],[Status]],Auxiliar!$B$16:$C$23,2,0)</f>
        <v>7</v>
      </c>
      <c r="K1236" s="47" t="s">
        <v>1137</v>
      </c>
      <c r="L1236" s="48" t="s">
        <v>1144</v>
      </c>
      <c r="M1236" s="22" t="s">
        <v>1145</v>
      </c>
      <c r="N1236" s="53">
        <v>45485</v>
      </c>
      <c r="O1236" s="22">
        <f>INDEX(Auxiliar!$D$5:$F$13,MATCH(Table1[[#This Row],[Tipologia_Testes]],Auxiliar!$B$5:$B$13,0),MATCH(Table1[[#This Row],[Complexidade]],Auxiliar!$D$4:$F$4,0))</f>
        <v>2</v>
      </c>
      <c r="P1236" s="45"/>
      <c r="Q1236" s="132"/>
      <c r="R1236" s="173">
        <v>45261</v>
      </c>
      <c r="S1236" s="173"/>
      <c r="T1236" s="173"/>
      <c r="U1236" s="173"/>
      <c r="V1236" s="173"/>
      <c r="W1236" s="3">
        <f>VLOOKUP(Table1[[#This Row],[Status]],Auxiliar!$B$16:$D$23,3,0)*Table1[[#This Row],[Estimação (horas)]]</f>
        <v>0</v>
      </c>
      <c r="X1236" s="132"/>
    </row>
    <row r="1237" spans="2:24" ht="17.399999999999999" hidden="1" customHeight="1">
      <c r="B1237" s="40" t="s">
        <v>28</v>
      </c>
      <c r="C1237" s="40" t="s">
        <v>28</v>
      </c>
      <c r="D1237" s="40" t="s">
        <v>312</v>
      </c>
      <c r="E1237" s="40" t="s">
        <v>1236</v>
      </c>
      <c r="F1237" s="40" t="s">
        <v>323</v>
      </c>
      <c r="G1237" s="40" t="s">
        <v>352</v>
      </c>
      <c r="H1237" s="67" t="str">
        <f>Table1[[#This Row],[Tabela]]&amp;Table1[[#This Row],[Campo]]</f>
        <v>lt003_entityflg_grp_nfrd_applcblty</v>
      </c>
      <c r="I1237" s="3" t="s">
        <v>30</v>
      </c>
      <c r="J1237" s="47">
        <f>VLOOKUP(Table1[[#This Row],[Status]],Auxiliar!$B$16:$C$23,2,0)</f>
        <v>7</v>
      </c>
      <c r="K1237" s="47" t="s">
        <v>1138</v>
      </c>
      <c r="L1237" s="48" t="s">
        <v>1144</v>
      </c>
      <c r="M1237" s="22" t="s">
        <v>1145</v>
      </c>
      <c r="N1237" s="53">
        <v>45485</v>
      </c>
      <c r="O1237" s="22">
        <f>INDEX(Auxiliar!$D$5:$F$13,MATCH(Table1[[#This Row],[Tipologia_Testes]],Auxiliar!$B$5:$B$13,0),MATCH(Table1[[#This Row],[Complexidade]],Auxiliar!$D$4:$F$4,0))</f>
        <v>2</v>
      </c>
      <c r="P1237" s="45"/>
      <c r="Q1237" s="132"/>
      <c r="R1237" s="173">
        <v>45261</v>
      </c>
      <c r="S1237" s="173"/>
      <c r="T1237" s="173"/>
      <c r="U1237" s="173"/>
      <c r="V1237" s="173"/>
      <c r="W1237" s="3">
        <f>VLOOKUP(Table1[[#This Row],[Status]],Auxiliar!$B$16:$D$23,3,0)*Table1[[#This Row],[Estimação (horas)]]</f>
        <v>0</v>
      </c>
      <c r="X1237" s="132"/>
    </row>
    <row r="1238" spans="2:24" ht="17.399999999999999" hidden="1" customHeight="1">
      <c r="B1238" s="40" t="s">
        <v>28</v>
      </c>
      <c r="C1238" s="40" t="s">
        <v>28</v>
      </c>
      <c r="D1238" s="40" t="s">
        <v>312</v>
      </c>
      <c r="E1238" s="40" t="s">
        <v>1236</v>
      </c>
      <c r="F1238" s="40" t="s">
        <v>323</v>
      </c>
      <c r="G1238" s="40" t="s">
        <v>352</v>
      </c>
      <c r="H1238" s="67" t="str">
        <f>Table1[[#This Row],[Tabela]]&amp;Table1[[#This Row],[Campo]]</f>
        <v>lt003_entityflg_grp_nfrd_applcblty</v>
      </c>
      <c r="I1238" s="3" t="s">
        <v>30</v>
      </c>
      <c r="J1238" s="47">
        <f>VLOOKUP(Table1[[#This Row],[Status]],Auxiliar!$B$16:$C$23,2,0)</f>
        <v>7</v>
      </c>
      <c r="K1238" s="47" t="s">
        <v>1141</v>
      </c>
      <c r="L1238" s="48" t="s">
        <v>1144</v>
      </c>
      <c r="M1238" s="22" t="s">
        <v>1145</v>
      </c>
      <c r="N1238" s="53">
        <v>45485</v>
      </c>
      <c r="O1238" s="22">
        <f>INDEX(Auxiliar!$D$5:$F$13,MATCH(Table1[[#This Row],[Tipologia_Testes]],Auxiliar!$B$5:$B$13,0),MATCH(Table1[[#This Row],[Complexidade]],Auxiliar!$D$4:$F$4,0))</f>
        <v>0.1</v>
      </c>
      <c r="P1238" s="45"/>
      <c r="Q1238" s="132"/>
      <c r="R1238" s="173">
        <v>45261</v>
      </c>
      <c r="S1238" s="173"/>
      <c r="T1238" s="173"/>
      <c r="U1238" s="173"/>
      <c r="V1238" s="173"/>
      <c r="W1238" s="3">
        <f>VLOOKUP(Table1[[#This Row],[Status]],Auxiliar!$B$16:$D$23,3,0)*Table1[[#This Row],[Estimação (horas)]]</f>
        <v>0</v>
      </c>
      <c r="X1238" s="132"/>
    </row>
    <row r="1239" spans="2:24" ht="34.799999999999997" hidden="1" customHeight="1">
      <c r="B1239" s="42" t="s">
        <v>28</v>
      </c>
      <c r="C1239" s="42" t="s">
        <v>28</v>
      </c>
      <c r="D1239" s="37" t="s">
        <v>312</v>
      </c>
      <c r="E1239" s="119" t="s">
        <v>1237</v>
      </c>
      <c r="F1239" s="41" t="s">
        <v>323</v>
      </c>
      <c r="G1239" s="39" t="s">
        <v>353</v>
      </c>
      <c r="H1239" s="68" t="str">
        <f>Table1[[#This Row],[Tabela]]&amp;Table1[[#This Row],[Campo]]</f>
        <v>lt003_entitygrp_emssns_scp1</v>
      </c>
      <c r="I1239" s="3" t="s">
        <v>30</v>
      </c>
      <c r="J1239" s="47">
        <f>VLOOKUP(Table1[[#This Row],[Status]],Auxiliar!$B$16:$C$23,2,0)</f>
        <v>7</v>
      </c>
      <c r="K1239" s="47" t="s">
        <v>1137</v>
      </c>
      <c r="L1239" s="48" t="s">
        <v>1144</v>
      </c>
      <c r="M1239" s="22" t="s">
        <v>1145</v>
      </c>
      <c r="N1239" s="53">
        <v>45485</v>
      </c>
      <c r="O1239" s="22">
        <f>INDEX(Auxiliar!$D$5:$F$13,MATCH(Table1[[#This Row],[Tipologia_Testes]],Auxiliar!$B$5:$B$13,0),MATCH(Table1[[#This Row],[Complexidade]],Auxiliar!$D$4:$F$4,0))</f>
        <v>2</v>
      </c>
      <c r="P1239" s="45"/>
      <c r="Q1239" s="132"/>
      <c r="R1239" s="173">
        <v>45261</v>
      </c>
      <c r="S1239" s="173"/>
      <c r="T1239" s="173"/>
      <c r="U1239" s="173"/>
      <c r="V1239" s="173"/>
      <c r="W1239" s="3">
        <f>VLOOKUP(Table1[[#This Row],[Status]],Auxiliar!$B$16:$D$23,3,0)*Table1[[#This Row],[Estimação (horas)]]</f>
        <v>0</v>
      </c>
      <c r="X1239" s="132"/>
    </row>
    <row r="1240" spans="2:24" ht="17.399999999999999" hidden="1" customHeight="1">
      <c r="B1240" s="40" t="s">
        <v>28</v>
      </c>
      <c r="C1240" s="40" t="s">
        <v>28</v>
      </c>
      <c r="D1240" s="40" t="s">
        <v>312</v>
      </c>
      <c r="E1240" s="40" t="s">
        <v>1237</v>
      </c>
      <c r="F1240" s="40" t="s">
        <v>323</v>
      </c>
      <c r="G1240" s="40" t="s">
        <v>353</v>
      </c>
      <c r="H1240" s="67" t="str">
        <f>Table1[[#This Row],[Tabela]]&amp;Table1[[#This Row],[Campo]]</f>
        <v>lt003_entitygrp_emssns_scp1</v>
      </c>
      <c r="I1240" s="3" t="s">
        <v>30</v>
      </c>
      <c r="J1240" s="47">
        <f>VLOOKUP(Table1[[#This Row],[Status]],Auxiliar!$B$16:$C$23,2,0)</f>
        <v>7</v>
      </c>
      <c r="K1240" s="47" t="s">
        <v>1138</v>
      </c>
      <c r="L1240" s="48" t="s">
        <v>1144</v>
      </c>
      <c r="M1240" s="22" t="s">
        <v>1145</v>
      </c>
      <c r="N1240" s="53">
        <v>45485</v>
      </c>
      <c r="O1240" s="22">
        <f>INDEX(Auxiliar!$D$5:$F$13,MATCH(Table1[[#This Row],[Tipologia_Testes]],Auxiliar!$B$5:$B$13,0),MATCH(Table1[[#This Row],[Complexidade]],Auxiliar!$D$4:$F$4,0))</f>
        <v>2</v>
      </c>
      <c r="P1240" s="45"/>
      <c r="Q1240" s="132"/>
      <c r="R1240" s="173">
        <v>45261</v>
      </c>
      <c r="S1240" s="173"/>
      <c r="T1240" s="173"/>
      <c r="U1240" s="173"/>
      <c r="V1240" s="173"/>
      <c r="W1240" s="3">
        <f>VLOOKUP(Table1[[#This Row],[Status]],Auxiliar!$B$16:$D$23,3,0)*Table1[[#This Row],[Estimação (horas)]]</f>
        <v>0</v>
      </c>
      <c r="X1240" s="132"/>
    </row>
    <row r="1241" spans="2:24" ht="17.399999999999999" hidden="1" customHeight="1">
      <c r="B1241" s="40" t="s">
        <v>28</v>
      </c>
      <c r="C1241" s="40" t="s">
        <v>28</v>
      </c>
      <c r="D1241" s="40" t="s">
        <v>312</v>
      </c>
      <c r="E1241" s="40" t="s">
        <v>1237</v>
      </c>
      <c r="F1241" s="40" t="s">
        <v>323</v>
      </c>
      <c r="G1241" s="40" t="s">
        <v>353</v>
      </c>
      <c r="H1241" s="67" t="str">
        <f>Table1[[#This Row],[Tabela]]&amp;Table1[[#This Row],[Campo]]</f>
        <v>lt003_entitygrp_emssns_scp1</v>
      </c>
      <c r="I1241" s="3" t="s">
        <v>30</v>
      </c>
      <c r="J1241" s="47">
        <f>VLOOKUP(Table1[[#This Row],[Status]],Auxiliar!$B$16:$C$23,2,0)</f>
        <v>7</v>
      </c>
      <c r="K1241" s="47" t="s">
        <v>1141</v>
      </c>
      <c r="L1241" s="48" t="s">
        <v>1144</v>
      </c>
      <c r="M1241" s="22" t="s">
        <v>1145</v>
      </c>
      <c r="N1241" s="53">
        <v>45485</v>
      </c>
      <c r="O1241" s="22">
        <f>INDEX(Auxiliar!$D$5:$F$13,MATCH(Table1[[#This Row],[Tipologia_Testes]],Auxiliar!$B$5:$B$13,0),MATCH(Table1[[#This Row],[Complexidade]],Auxiliar!$D$4:$F$4,0))</f>
        <v>0.1</v>
      </c>
      <c r="P1241" s="45"/>
      <c r="Q1241" s="132"/>
      <c r="R1241" s="173">
        <v>45261</v>
      </c>
      <c r="S1241" s="173"/>
      <c r="T1241" s="173"/>
      <c r="U1241" s="173"/>
      <c r="V1241" s="173"/>
      <c r="W1241" s="3">
        <f>VLOOKUP(Table1[[#This Row],[Status]],Auxiliar!$B$16:$D$23,3,0)*Table1[[#This Row],[Estimação (horas)]]</f>
        <v>0</v>
      </c>
      <c r="X1241" s="132"/>
    </row>
    <row r="1242" spans="2:24" ht="34.799999999999997" hidden="1" customHeight="1">
      <c r="B1242" s="42" t="s">
        <v>28</v>
      </c>
      <c r="C1242" s="42" t="s">
        <v>28</v>
      </c>
      <c r="D1242" s="37" t="s">
        <v>312</v>
      </c>
      <c r="E1242" s="119" t="s">
        <v>1238</v>
      </c>
      <c r="F1242" s="41" t="s">
        <v>323</v>
      </c>
      <c r="G1242" s="39" t="s">
        <v>354</v>
      </c>
      <c r="H1242" s="68" t="str">
        <f>Table1[[#This Row],[Tabela]]&amp;Table1[[#This Row],[Campo]]</f>
        <v>lt003_entitygrp_emssns_scp2</v>
      </c>
      <c r="I1242" s="3" t="s">
        <v>30</v>
      </c>
      <c r="J1242" s="47">
        <f>VLOOKUP(Table1[[#This Row],[Status]],Auxiliar!$B$16:$C$23,2,0)</f>
        <v>7</v>
      </c>
      <c r="K1242" s="47" t="s">
        <v>1137</v>
      </c>
      <c r="L1242" s="48" t="s">
        <v>1144</v>
      </c>
      <c r="M1242" s="22" t="s">
        <v>1145</v>
      </c>
      <c r="N1242" s="53">
        <v>45485</v>
      </c>
      <c r="O1242" s="22">
        <f>INDEX(Auxiliar!$D$5:$F$13,MATCH(Table1[[#This Row],[Tipologia_Testes]],Auxiliar!$B$5:$B$13,0),MATCH(Table1[[#This Row],[Complexidade]],Auxiliar!$D$4:$F$4,0))</f>
        <v>2</v>
      </c>
      <c r="P1242" s="45"/>
      <c r="Q1242" s="132"/>
      <c r="R1242" s="173">
        <v>45261</v>
      </c>
      <c r="S1242" s="173"/>
      <c r="T1242" s="173"/>
      <c r="U1242" s="173"/>
      <c r="V1242" s="173"/>
      <c r="W1242" s="3">
        <f>VLOOKUP(Table1[[#This Row],[Status]],Auxiliar!$B$16:$D$23,3,0)*Table1[[#This Row],[Estimação (horas)]]</f>
        <v>0</v>
      </c>
      <c r="X1242" s="132"/>
    </row>
    <row r="1243" spans="2:24" ht="17.399999999999999" hidden="1" customHeight="1">
      <c r="B1243" s="40" t="s">
        <v>28</v>
      </c>
      <c r="C1243" s="40" t="s">
        <v>28</v>
      </c>
      <c r="D1243" s="40" t="s">
        <v>312</v>
      </c>
      <c r="E1243" s="40" t="s">
        <v>1238</v>
      </c>
      <c r="F1243" s="40" t="s">
        <v>323</v>
      </c>
      <c r="G1243" s="40" t="s">
        <v>354</v>
      </c>
      <c r="H1243" s="67" t="str">
        <f>Table1[[#This Row],[Tabela]]&amp;Table1[[#This Row],[Campo]]</f>
        <v>lt003_entitygrp_emssns_scp2</v>
      </c>
      <c r="I1243" s="3" t="s">
        <v>30</v>
      </c>
      <c r="J1243" s="47">
        <f>VLOOKUP(Table1[[#This Row],[Status]],Auxiliar!$B$16:$C$23,2,0)</f>
        <v>7</v>
      </c>
      <c r="K1243" s="47" t="s">
        <v>1138</v>
      </c>
      <c r="L1243" s="48" t="s">
        <v>1144</v>
      </c>
      <c r="M1243" s="22" t="s">
        <v>1145</v>
      </c>
      <c r="N1243" s="53">
        <v>45485</v>
      </c>
      <c r="O1243" s="22">
        <f>INDEX(Auxiliar!$D$5:$F$13,MATCH(Table1[[#This Row],[Tipologia_Testes]],Auxiliar!$B$5:$B$13,0),MATCH(Table1[[#This Row],[Complexidade]],Auxiliar!$D$4:$F$4,0))</f>
        <v>2</v>
      </c>
      <c r="P1243" s="45"/>
      <c r="Q1243" s="132"/>
      <c r="R1243" s="173">
        <v>45261</v>
      </c>
      <c r="S1243" s="173"/>
      <c r="T1243" s="173"/>
      <c r="U1243" s="173"/>
      <c r="V1243" s="173"/>
      <c r="W1243" s="3">
        <f>VLOOKUP(Table1[[#This Row],[Status]],Auxiliar!$B$16:$D$23,3,0)*Table1[[#This Row],[Estimação (horas)]]</f>
        <v>0</v>
      </c>
      <c r="X1243" s="132"/>
    </row>
    <row r="1244" spans="2:24" ht="17.399999999999999" hidden="1" customHeight="1">
      <c r="B1244" s="40" t="s">
        <v>28</v>
      </c>
      <c r="C1244" s="40" t="s">
        <v>28</v>
      </c>
      <c r="D1244" s="40" t="s">
        <v>312</v>
      </c>
      <c r="E1244" s="40" t="s">
        <v>1238</v>
      </c>
      <c r="F1244" s="40" t="s">
        <v>323</v>
      </c>
      <c r="G1244" s="40" t="s">
        <v>354</v>
      </c>
      <c r="H1244" s="67" t="str">
        <f>Table1[[#This Row],[Tabela]]&amp;Table1[[#This Row],[Campo]]</f>
        <v>lt003_entitygrp_emssns_scp2</v>
      </c>
      <c r="I1244" s="3" t="s">
        <v>30</v>
      </c>
      <c r="J1244" s="47">
        <f>VLOOKUP(Table1[[#This Row],[Status]],Auxiliar!$B$16:$C$23,2,0)</f>
        <v>7</v>
      </c>
      <c r="K1244" s="47" t="s">
        <v>1141</v>
      </c>
      <c r="L1244" s="48" t="s">
        <v>1144</v>
      </c>
      <c r="M1244" s="22" t="s">
        <v>1145</v>
      </c>
      <c r="N1244" s="53">
        <v>45485</v>
      </c>
      <c r="O1244" s="22">
        <f>INDEX(Auxiliar!$D$5:$F$13,MATCH(Table1[[#This Row],[Tipologia_Testes]],Auxiliar!$B$5:$B$13,0),MATCH(Table1[[#This Row],[Complexidade]],Auxiliar!$D$4:$F$4,0))</f>
        <v>0.1</v>
      </c>
      <c r="P1244" s="45"/>
      <c r="Q1244" s="132"/>
      <c r="R1244" s="173">
        <v>45261</v>
      </c>
      <c r="S1244" s="173"/>
      <c r="T1244" s="173"/>
      <c r="U1244" s="173"/>
      <c r="V1244" s="173"/>
      <c r="W1244" s="3">
        <f>VLOOKUP(Table1[[#This Row],[Status]],Auxiliar!$B$16:$D$23,3,0)*Table1[[#This Row],[Estimação (horas)]]</f>
        <v>0</v>
      </c>
      <c r="X1244" s="132"/>
    </row>
    <row r="1245" spans="2:24" ht="34.799999999999997" hidden="1" customHeight="1">
      <c r="B1245" s="42" t="s">
        <v>28</v>
      </c>
      <c r="C1245" s="42" t="s">
        <v>28</v>
      </c>
      <c r="D1245" s="37" t="s">
        <v>312</v>
      </c>
      <c r="E1245" s="119" t="s">
        <v>1239</v>
      </c>
      <c r="F1245" s="41" t="s">
        <v>323</v>
      </c>
      <c r="G1245" s="39" t="s">
        <v>355</v>
      </c>
      <c r="H1245" s="68" t="str">
        <f>Table1[[#This Row],[Tabela]]&amp;Table1[[#This Row],[Campo]]</f>
        <v>lt003_entitygrp_emssns_scp3</v>
      </c>
      <c r="I1245" s="3" t="s">
        <v>30</v>
      </c>
      <c r="J1245" s="47">
        <f>VLOOKUP(Table1[[#This Row],[Status]],Auxiliar!$B$16:$C$23,2,0)</f>
        <v>7</v>
      </c>
      <c r="K1245" s="47" t="s">
        <v>1137</v>
      </c>
      <c r="L1245" s="48" t="s">
        <v>1144</v>
      </c>
      <c r="M1245" s="22" t="s">
        <v>1145</v>
      </c>
      <c r="N1245" s="53">
        <v>45485</v>
      </c>
      <c r="O1245" s="22">
        <f>INDEX(Auxiliar!$D$5:$F$13,MATCH(Table1[[#This Row],[Tipologia_Testes]],Auxiliar!$B$5:$B$13,0),MATCH(Table1[[#This Row],[Complexidade]],Auxiliar!$D$4:$F$4,0))</f>
        <v>2</v>
      </c>
      <c r="P1245" s="45"/>
      <c r="Q1245" s="132"/>
      <c r="R1245" s="173">
        <v>45261</v>
      </c>
      <c r="S1245" s="173"/>
      <c r="T1245" s="173"/>
      <c r="U1245" s="173"/>
      <c r="V1245" s="173"/>
      <c r="W1245" s="3">
        <f>VLOOKUP(Table1[[#This Row],[Status]],Auxiliar!$B$16:$D$23,3,0)*Table1[[#This Row],[Estimação (horas)]]</f>
        <v>0</v>
      </c>
      <c r="X1245" s="132"/>
    </row>
    <row r="1246" spans="2:24" ht="17.399999999999999" hidden="1" customHeight="1">
      <c r="B1246" s="40" t="s">
        <v>28</v>
      </c>
      <c r="C1246" s="40" t="s">
        <v>28</v>
      </c>
      <c r="D1246" s="40" t="s">
        <v>312</v>
      </c>
      <c r="E1246" s="40" t="s">
        <v>1239</v>
      </c>
      <c r="F1246" s="40" t="s">
        <v>323</v>
      </c>
      <c r="G1246" s="40" t="s">
        <v>355</v>
      </c>
      <c r="H1246" s="67" t="str">
        <f>Table1[[#This Row],[Tabela]]&amp;Table1[[#This Row],[Campo]]</f>
        <v>lt003_entitygrp_emssns_scp3</v>
      </c>
      <c r="I1246" s="3" t="s">
        <v>30</v>
      </c>
      <c r="J1246" s="47">
        <f>VLOOKUP(Table1[[#This Row],[Status]],Auxiliar!$B$16:$C$23,2,0)</f>
        <v>7</v>
      </c>
      <c r="K1246" s="47" t="s">
        <v>1138</v>
      </c>
      <c r="L1246" s="48" t="s">
        <v>1144</v>
      </c>
      <c r="M1246" s="22" t="s">
        <v>1145</v>
      </c>
      <c r="N1246" s="53">
        <v>45485</v>
      </c>
      <c r="O1246" s="22">
        <f>INDEX(Auxiliar!$D$5:$F$13,MATCH(Table1[[#This Row],[Tipologia_Testes]],Auxiliar!$B$5:$B$13,0),MATCH(Table1[[#This Row],[Complexidade]],Auxiliar!$D$4:$F$4,0))</f>
        <v>2</v>
      </c>
      <c r="P1246" s="45"/>
      <c r="Q1246" s="132"/>
      <c r="R1246" s="173">
        <v>45261</v>
      </c>
      <c r="S1246" s="173"/>
      <c r="T1246" s="173"/>
      <c r="U1246" s="173"/>
      <c r="V1246" s="173"/>
      <c r="W1246" s="3">
        <f>VLOOKUP(Table1[[#This Row],[Status]],Auxiliar!$B$16:$D$23,3,0)*Table1[[#This Row],[Estimação (horas)]]</f>
        <v>0</v>
      </c>
      <c r="X1246" s="132"/>
    </row>
    <row r="1247" spans="2:24" ht="17.399999999999999" hidden="1" customHeight="1">
      <c r="B1247" s="40" t="s">
        <v>28</v>
      </c>
      <c r="C1247" s="40" t="s">
        <v>28</v>
      </c>
      <c r="D1247" s="40" t="s">
        <v>312</v>
      </c>
      <c r="E1247" s="40" t="s">
        <v>1239</v>
      </c>
      <c r="F1247" s="40" t="s">
        <v>323</v>
      </c>
      <c r="G1247" s="40" t="s">
        <v>355</v>
      </c>
      <c r="H1247" s="67" t="str">
        <f>Table1[[#This Row],[Tabela]]&amp;Table1[[#This Row],[Campo]]</f>
        <v>lt003_entitygrp_emssns_scp3</v>
      </c>
      <c r="I1247" s="3" t="s">
        <v>30</v>
      </c>
      <c r="J1247" s="47">
        <f>VLOOKUP(Table1[[#This Row],[Status]],Auxiliar!$B$16:$C$23,2,0)</f>
        <v>7</v>
      </c>
      <c r="K1247" s="47" t="s">
        <v>1141</v>
      </c>
      <c r="L1247" s="48" t="s">
        <v>1144</v>
      </c>
      <c r="M1247" s="22" t="s">
        <v>1145</v>
      </c>
      <c r="N1247" s="53">
        <v>45485</v>
      </c>
      <c r="O1247" s="22">
        <f>INDEX(Auxiliar!$D$5:$F$13,MATCH(Table1[[#This Row],[Tipologia_Testes]],Auxiliar!$B$5:$B$13,0),MATCH(Table1[[#This Row],[Complexidade]],Auxiliar!$D$4:$F$4,0))</f>
        <v>0.1</v>
      </c>
      <c r="P1247" s="45"/>
      <c r="Q1247" s="132"/>
      <c r="R1247" s="173">
        <v>45261</v>
      </c>
      <c r="S1247" s="173"/>
      <c r="T1247" s="173"/>
      <c r="U1247" s="173"/>
      <c r="V1247" s="173"/>
      <c r="W1247" s="3">
        <f>VLOOKUP(Table1[[#This Row],[Status]],Auxiliar!$B$16:$D$23,3,0)*Table1[[#This Row],[Estimação (horas)]]</f>
        <v>0</v>
      </c>
      <c r="X1247" s="132"/>
    </row>
    <row r="1248" spans="2:24" ht="17.399999999999999" hidden="1" customHeight="1">
      <c r="B1248" s="42" t="s">
        <v>28</v>
      </c>
      <c r="C1248" s="42" t="s">
        <v>28</v>
      </c>
      <c r="D1248" s="38" t="s">
        <v>1240</v>
      </c>
      <c r="E1248" s="43" t="s">
        <v>1226</v>
      </c>
      <c r="F1248" s="41" t="s">
        <v>356</v>
      </c>
      <c r="G1248" s="39" t="s">
        <v>357</v>
      </c>
      <c r="H1248" s="68" t="str">
        <f>Table1[[#This Row],[Tabela]]&amp;Table1[[#This Row],[Campo]]</f>
        <v>lt004_protectiontyp_ep_scr</v>
      </c>
      <c r="I1248" s="3" t="s">
        <v>30</v>
      </c>
      <c r="J1248" s="47">
        <f>VLOOKUP(Table1[[#This Row],[Status]],Auxiliar!$B$16:$C$23,2,0)</f>
        <v>7</v>
      </c>
      <c r="K1248" s="47" t="s">
        <v>1137</v>
      </c>
      <c r="L1248" s="48" t="s">
        <v>1144</v>
      </c>
      <c r="M1248" s="22" t="s">
        <v>1145</v>
      </c>
      <c r="N1248" s="53">
        <v>45485</v>
      </c>
      <c r="O1248" s="22">
        <f>INDEX(Auxiliar!$D$5:$F$13,MATCH(Table1[[#This Row],[Tipologia_Testes]],Auxiliar!$B$5:$B$13,0),MATCH(Table1[[#This Row],[Complexidade]],Auxiliar!$D$4:$F$4,0))</f>
        <v>2</v>
      </c>
      <c r="P1248" s="45"/>
      <c r="Q1248" s="132"/>
      <c r="R1248" s="173">
        <v>45261</v>
      </c>
      <c r="S1248" s="173"/>
      <c r="T1248" s="173"/>
      <c r="U1248" s="173"/>
      <c r="V1248" s="173"/>
      <c r="W1248" s="3">
        <f>VLOOKUP(Table1[[#This Row],[Status]],Auxiliar!$B$16:$D$23,3,0)*Table1[[#This Row],[Estimação (horas)]]</f>
        <v>0</v>
      </c>
      <c r="X1248" s="132"/>
    </row>
    <row r="1249" spans="2:24" ht="17.399999999999999" hidden="1" customHeight="1">
      <c r="B1249" s="40" t="s">
        <v>28</v>
      </c>
      <c r="C1249" s="40" t="s">
        <v>28</v>
      </c>
      <c r="D1249" s="40" t="s">
        <v>1240</v>
      </c>
      <c r="E1249" s="40" t="s">
        <v>1226</v>
      </c>
      <c r="F1249" s="40" t="s">
        <v>356</v>
      </c>
      <c r="G1249" s="40" t="s">
        <v>357</v>
      </c>
      <c r="H1249" s="67" t="str">
        <f>Table1[[#This Row],[Tabela]]&amp;Table1[[#This Row],[Campo]]</f>
        <v>lt004_protectiontyp_ep_scr</v>
      </c>
      <c r="I1249" s="3" t="s">
        <v>30</v>
      </c>
      <c r="J1249" s="47">
        <f>VLOOKUP(Table1[[#This Row],[Status]],Auxiliar!$B$16:$C$23,2,0)</f>
        <v>7</v>
      </c>
      <c r="K1249" s="47" t="s">
        <v>1138</v>
      </c>
      <c r="L1249" s="48" t="s">
        <v>1144</v>
      </c>
      <c r="M1249" s="22" t="s">
        <v>1145</v>
      </c>
      <c r="N1249" s="53">
        <v>45485</v>
      </c>
      <c r="O1249" s="22">
        <f>INDEX(Auxiliar!$D$5:$F$13,MATCH(Table1[[#This Row],[Tipologia_Testes]],Auxiliar!$B$5:$B$13,0),MATCH(Table1[[#This Row],[Complexidade]],Auxiliar!$D$4:$F$4,0))</f>
        <v>2</v>
      </c>
      <c r="P1249" s="45"/>
      <c r="Q1249" s="132"/>
      <c r="R1249" s="173">
        <v>45261</v>
      </c>
      <c r="S1249" s="173"/>
      <c r="T1249" s="173"/>
      <c r="U1249" s="173"/>
      <c r="V1249" s="173"/>
      <c r="W1249" s="3">
        <f>VLOOKUP(Table1[[#This Row],[Status]],Auxiliar!$B$16:$D$23,3,0)*Table1[[#This Row],[Estimação (horas)]]</f>
        <v>0</v>
      </c>
      <c r="X1249" s="132"/>
    </row>
    <row r="1250" spans="2:24" ht="17.399999999999999" hidden="1" customHeight="1">
      <c r="B1250" s="40" t="s">
        <v>28</v>
      </c>
      <c r="C1250" s="40" t="s">
        <v>28</v>
      </c>
      <c r="D1250" s="40" t="s">
        <v>1240</v>
      </c>
      <c r="E1250" s="40" t="s">
        <v>1226</v>
      </c>
      <c r="F1250" s="40" t="s">
        <v>356</v>
      </c>
      <c r="G1250" s="40" t="s">
        <v>357</v>
      </c>
      <c r="H1250" s="67" t="str">
        <f>Table1[[#This Row],[Tabela]]&amp;Table1[[#This Row],[Campo]]</f>
        <v>lt004_protectiontyp_ep_scr</v>
      </c>
      <c r="I1250" s="3" t="s">
        <v>30</v>
      </c>
      <c r="J1250" s="47">
        <f>VLOOKUP(Table1[[#This Row],[Status]],Auxiliar!$B$16:$C$23,2,0)</f>
        <v>7</v>
      </c>
      <c r="K1250" s="47" t="s">
        <v>1141</v>
      </c>
      <c r="L1250" s="48" t="s">
        <v>1144</v>
      </c>
      <c r="M1250" s="22" t="s">
        <v>1145</v>
      </c>
      <c r="N1250" s="53">
        <v>45485</v>
      </c>
      <c r="O1250" s="22">
        <f>INDEX(Auxiliar!$D$5:$F$13,MATCH(Table1[[#This Row],[Tipologia_Testes]],Auxiliar!$B$5:$B$13,0),MATCH(Table1[[#This Row],[Complexidade]],Auxiliar!$D$4:$F$4,0))</f>
        <v>0.1</v>
      </c>
      <c r="P1250" s="45"/>
      <c r="Q1250" s="132"/>
      <c r="R1250" s="173">
        <v>45261</v>
      </c>
      <c r="S1250" s="173"/>
      <c r="T1250" s="173"/>
      <c r="U1250" s="173"/>
      <c r="V1250" s="173"/>
      <c r="W1250" s="3">
        <f>VLOOKUP(Table1[[#This Row],[Status]],Auxiliar!$B$16:$D$23,3,0)*Table1[[#This Row],[Estimação (horas)]]</f>
        <v>0</v>
      </c>
      <c r="X1250" s="132"/>
    </row>
    <row r="1251" spans="2:24" ht="17.399999999999999" hidden="1" customHeight="1">
      <c r="B1251" s="42" t="s">
        <v>28</v>
      </c>
      <c r="C1251" s="42" t="s">
        <v>28</v>
      </c>
      <c r="D1251" s="38" t="s">
        <v>1240</v>
      </c>
      <c r="E1251" s="43" t="s">
        <v>1226</v>
      </c>
      <c r="F1251" s="41" t="s">
        <v>356</v>
      </c>
      <c r="G1251" s="39" t="s">
        <v>358</v>
      </c>
      <c r="H1251" s="68" t="str">
        <f>Table1[[#This Row],[Tabela]]&amp;Table1[[#This Row],[Campo]]</f>
        <v>lt004_protectionep_scr</v>
      </c>
      <c r="I1251" s="3" t="s">
        <v>30</v>
      </c>
      <c r="J1251" s="47">
        <f>VLOOKUP(Table1[[#This Row],[Status]],Auxiliar!$B$16:$C$23,2,0)</f>
        <v>7</v>
      </c>
      <c r="K1251" s="47" t="s">
        <v>1137</v>
      </c>
      <c r="L1251" s="48" t="s">
        <v>1144</v>
      </c>
      <c r="M1251" s="22" t="s">
        <v>1145</v>
      </c>
      <c r="N1251" s="53">
        <v>45485</v>
      </c>
      <c r="O1251" s="22">
        <f>INDEX(Auxiliar!$D$5:$F$13,MATCH(Table1[[#This Row],[Tipologia_Testes]],Auxiliar!$B$5:$B$13,0),MATCH(Table1[[#This Row],[Complexidade]],Auxiliar!$D$4:$F$4,0))</f>
        <v>2</v>
      </c>
      <c r="P1251" s="45"/>
      <c r="Q1251" s="132"/>
      <c r="R1251" s="173">
        <v>45261</v>
      </c>
      <c r="S1251" s="173"/>
      <c r="T1251" s="173"/>
      <c r="U1251" s="173"/>
      <c r="V1251" s="173"/>
      <c r="W1251" s="3">
        <f>VLOOKUP(Table1[[#This Row],[Status]],Auxiliar!$B$16:$D$23,3,0)*Table1[[#This Row],[Estimação (horas)]]</f>
        <v>0</v>
      </c>
      <c r="X1251" s="132"/>
    </row>
    <row r="1252" spans="2:24" ht="17.399999999999999" hidden="1" customHeight="1">
      <c r="B1252" s="40" t="s">
        <v>28</v>
      </c>
      <c r="C1252" s="40" t="s">
        <v>28</v>
      </c>
      <c r="D1252" s="40" t="s">
        <v>1240</v>
      </c>
      <c r="E1252" s="40" t="s">
        <v>1226</v>
      </c>
      <c r="F1252" s="40" t="s">
        <v>356</v>
      </c>
      <c r="G1252" s="40" t="s">
        <v>358</v>
      </c>
      <c r="H1252" s="67" t="str">
        <f>Table1[[#This Row],[Tabela]]&amp;Table1[[#This Row],[Campo]]</f>
        <v>lt004_protectionep_scr</v>
      </c>
      <c r="I1252" s="3" t="s">
        <v>30</v>
      </c>
      <c r="J1252" s="47">
        <f>VLOOKUP(Table1[[#This Row],[Status]],Auxiliar!$B$16:$C$23,2,0)</f>
        <v>7</v>
      </c>
      <c r="K1252" s="47" t="s">
        <v>1138</v>
      </c>
      <c r="L1252" s="48" t="s">
        <v>1144</v>
      </c>
      <c r="M1252" s="22" t="s">
        <v>1145</v>
      </c>
      <c r="N1252" s="53">
        <v>45485</v>
      </c>
      <c r="O1252" s="22">
        <f>INDEX(Auxiliar!$D$5:$F$13,MATCH(Table1[[#This Row],[Tipologia_Testes]],Auxiliar!$B$5:$B$13,0),MATCH(Table1[[#This Row],[Complexidade]],Auxiliar!$D$4:$F$4,0))</f>
        <v>2</v>
      </c>
      <c r="P1252" s="45"/>
      <c r="Q1252" s="132"/>
      <c r="R1252" s="173">
        <v>45261</v>
      </c>
      <c r="S1252" s="173"/>
      <c r="T1252" s="173"/>
      <c r="U1252" s="173"/>
      <c r="V1252" s="173"/>
      <c r="W1252" s="3">
        <f>VLOOKUP(Table1[[#This Row],[Status]],Auxiliar!$B$16:$D$23,3,0)*Table1[[#This Row],[Estimação (horas)]]</f>
        <v>0</v>
      </c>
      <c r="X1252" s="132"/>
    </row>
    <row r="1253" spans="2:24" ht="17.399999999999999" hidden="1" customHeight="1">
      <c r="B1253" s="40" t="s">
        <v>28</v>
      </c>
      <c r="C1253" s="40" t="s">
        <v>28</v>
      </c>
      <c r="D1253" s="40" t="s">
        <v>1240</v>
      </c>
      <c r="E1253" s="40" t="s">
        <v>1226</v>
      </c>
      <c r="F1253" s="40" t="s">
        <v>356</v>
      </c>
      <c r="G1253" s="40" t="s">
        <v>358</v>
      </c>
      <c r="H1253" s="67" t="str">
        <f>Table1[[#This Row],[Tabela]]&amp;Table1[[#This Row],[Campo]]</f>
        <v>lt004_protectionep_scr</v>
      </c>
      <c r="I1253" s="3" t="s">
        <v>30</v>
      </c>
      <c r="J1253" s="47">
        <f>VLOOKUP(Table1[[#This Row],[Status]],Auxiliar!$B$16:$C$23,2,0)</f>
        <v>7</v>
      </c>
      <c r="K1253" s="47" t="s">
        <v>1141</v>
      </c>
      <c r="L1253" s="48" t="s">
        <v>1144</v>
      </c>
      <c r="M1253" s="22" t="s">
        <v>1145</v>
      </c>
      <c r="N1253" s="53">
        <v>45485</v>
      </c>
      <c r="O1253" s="22">
        <f>INDEX(Auxiliar!$D$5:$F$13,MATCH(Table1[[#This Row],[Tipologia_Testes]],Auxiliar!$B$5:$B$13,0),MATCH(Table1[[#This Row],[Complexidade]],Auxiliar!$D$4:$F$4,0))</f>
        <v>0.1</v>
      </c>
      <c r="P1253" s="45"/>
      <c r="Q1253" s="132"/>
      <c r="R1253" s="173">
        <v>45261</v>
      </c>
      <c r="S1253" s="173"/>
      <c r="T1253" s="173"/>
      <c r="U1253" s="173"/>
      <c r="V1253" s="173"/>
      <c r="W1253" s="3">
        <f>VLOOKUP(Table1[[#This Row],[Status]],Auxiliar!$B$16:$D$23,3,0)*Table1[[#This Row],[Estimação (horas)]]</f>
        <v>0</v>
      </c>
      <c r="X1253" s="132"/>
    </row>
    <row r="1254" spans="2:24" ht="17.399999999999999" hidden="1" customHeight="1">
      <c r="B1254" s="42" t="s">
        <v>28</v>
      </c>
      <c r="C1254" s="42" t="s">
        <v>28</v>
      </c>
      <c r="D1254" s="38" t="s">
        <v>1240</v>
      </c>
      <c r="E1254" s="43" t="s">
        <v>1226</v>
      </c>
      <c r="F1254" s="41" t="s">
        <v>356</v>
      </c>
      <c r="G1254" s="39" t="s">
        <v>359</v>
      </c>
      <c r="H1254" s="68" t="str">
        <f>Table1[[#This Row],[Tabela]]&amp;Table1[[#This Row],[Campo]]</f>
        <v>lt004_protectiontyp_epc_lbl</v>
      </c>
      <c r="I1254" s="3" t="s">
        <v>30</v>
      </c>
      <c r="J1254" s="47">
        <f>VLOOKUP(Table1[[#This Row],[Status]],Auxiliar!$B$16:$C$23,2,0)</f>
        <v>7</v>
      </c>
      <c r="K1254" s="47" t="s">
        <v>1137</v>
      </c>
      <c r="L1254" s="48" t="s">
        <v>1144</v>
      </c>
      <c r="M1254" s="22" t="s">
        <v>1145</v>
      </c>
      <c r="N1254" s="53">
        <v>45485</v>
      </c>
      <c r="O1254" s="22">
        <f>INDEX(Auxiliar!$D$5:$F$13,MATCH(Table1[[#This Row],[Tipologia_Testes]],Auxiliar!$B$5:$B$13,0),MATCH(Table1[[#This Row],[Complexidade]],Auxiliar!$D$4:$F$4,0))</f>
        <v>2</v>
      </c>
      <c r="P1254" s="45"/>
      <c r="Q1254" s="132"/>
      <c r="R1254" s="173">
        <v>45261</v>
      </c>
      <c r="S1254" s="173"/>
      <c r="T1254" s="173"/>
      <c r="U1254" s="173"/>
      <c r="V1254" s="173"/>
      <c r="W1254" s="3">
        <f>VLOOKUP(Table1[[#This Row],[Status]],Auxiliar!$B$16:$D$23,3,0)*Table1[[#This Row],[Estimação (horas)]]</f>
        <v>0</v>
      </c>
      <c r="X1254" s="132"/>
    </row>
    <row r="1255" spans="2:24" ht="17.399999999999999" hidden="1" customHeight="1">
      <c r="B1255" s="40" t="s">
        <v>28</v>
      </c>
      <c r="C1255" s="40" t="s">
        <v>28</v>
      </c>
      <c r="D1255" s="40" t="s">
        <v>1240</v>
      </c>
      <c r="E1255" s="40" t="s">
        <v>1226</v>
      </c>
      <c r="F1255" s="40" t="s">
        <v>356</v>
      </c>
      <c r="G1255" s="40" t="s">
        <v>359</v>
      </c>
      <c r="H1255" s="67" t="str">
        <f>Table1[[#This Row],[Tabela]]&amp;Table1[[#This Row],[Campo]]</f>
        <v>lt004_protectiontyp_epc_lbl</v>
      </c>
      <c r="I1255" s="3" t="s">
        <v>30</v>
      </c>
      <c r="J1255" s="47">
        <f>VLOOKUP(Table1[[#This Row],[Status]],Auxiliar!$B$16:$C$23,2,0)</f>
        <v>7</v>
      </c>
      <c r="K1255" s="47" t="s">
        <v>1138</v>
      </c>
      <c r="L1255" s="48" t="s">
        <v>1144</v>
      </c>
      <c r="M1255" s="22" t="s">
        <v>1145</v>
      </c>
      <c r="N1255" s="53">
        <v>45485</v>
      </c>
      <c r="O1255" s="22">
        <f>INDEX(Auxiliar!$D$5:$F$13,MATCH(Table1[[#This Row],[Tipologia_Testes]],Auxiliar!$B$5:$B$13,0),MATCH(Table1[[#This Row],[Complexidade]],Auxiliar!$D$4:$F$4,0))</f>
        <v>2</v>
      </c>
      <c r="P1255" s="45"/>
      <c r="Q1255" s="132"/>
      <c r="R1255" s="173">
        <v>45261</v>
      </c>
      <c r="S1255" s="173"/>
      <c r="T1255" s="173"/>
      <c r="U1255" s="173"/>
      <c r="V1255" s="173"/>
      <c r="W1255" s="3">
        <f>VLOOKUP(Table1[[#This Row],[Status]],Auxiliar!$B$16:$D$23,3,0)*Table1[[#This Row],[Estimação (horas)]]</f>
        <v>0</v>
      </c>
      <c r="X1255" s="132"/>
    </row>
    <row r="1256" spans="2:24" ht="17.399999999999999" hidden="1" customHeight="1">
      <c r="B1256" s="40" t="s">
        <v>28</v>
      </c>
      <c r="C1256" s="40" t="s">
        <v>28</v>
      </c>
      <c r="D1256" s="40" t="s">
        <v>1240</v>
      </c>
      <c r="E1256" s="40" t="s">
        <v>1226</v>
      </c>
      <c r="F1256" s="40" t="s">
        <v>356</v>
      </c>
      <c r="G1256" s="40" t="s">
        <v>359</v>
      </c>
      <c r="H1256" s="67" t="str">
        <f>Table1[[#This Row],[Tabela]]&amp;Table1[[#This Row],[Campo]]</f>
        <v>lt004_protectiontyp_epc_lbl</v>
      </c>
      <c r="I1256" s="3" t="s">
        <v>30</v>
      </c>
      <c r="J1256" s="47">
        <f>VLOOKUP(Table1[[#This Row],[Status]],Auxiliar!$B$16:$C$23,2,0)</f>
        <v>7</v>
      </c>
      <c r="K1256" s="47" t="s">
        <v>1141</v>
      </c>
      <c r="L1256" s="48" t="s">
        <v>1144</v>
      </c>
      <c r="M1256" s="22" t="s">
        <v>1145</v>
      </c>
      <c r="N1256" s="53">
        <v>45485</v>
      </c>
      <c r="O1256" s="22">
        <f>INDEX(Auxiliar!$D$5:$F$13,MATCH(Table1[[#This Row],[Tipologia_Testes]],Auxiliar!$B$5:$B$13,0),MATCH(Table1[[#This Row],[Complexidade]],Auxiliar!$D$4:$F$4,0))</f>
        <v>0.1</v>
      </c>
      <c r="P1256" s="45"/>
      <c r="Q1256" s="132"/>
      <c r="R1256" s="173">
        <v>45261</v>
      </c>
      <c r="S1256" s="173"/>
      <c r="T1256" s="173"/>
      <c r="U1256" s="173"/>
      <c r="V1256" s="173"/>
      <c r="W1256" s="3">
        <f>VLOOKUP(Table1[[#This Row],[Status]],Auxiliar!$B$16:$D$23,3,0)*Table1[[#This Row],[Estimação (horas)]]</f>
        <v>0</v>
      </c>
      <c r="X1256" s="132"/>
    </row>
    <row r="1257" spans="2:24" ht="17.399999999999999" hidden="1" customHeight="1">
      <c r="B1257" s="42" t="s">
        <v>28</v>
      </c>
      <c r="C1257" s="42" t="s">
        <v>28</v>
      </c>
      <c r="D1257" s="38" t="s">
        <v>1240</v>
      </c>
      <c r="E1257" s="43" t="s">
        <v>1226</v>
      </c>
      <c r="F1257" s="41" t="s">
        <v>356</v>
      </c>
      <c r="G1257" s="39" t="s">
        <v>360</v>
      </c>
      <c r="H1257" s="68" t="str">
        <f>Table1[[#This Row],[Tabela]]&amp;Table1[[#This Row],[Campo]]</f>
        <v>lt004_protectionepc_lbl</v>
      </c>
      <c r="I1257" s="3" t="s">
        <v>30</v>
      </c>
      <c r="J1257" s="47">
        <f>VLOOKUP(Table1[[#This Row],[Status]],Auxiliar!$B$16:$C$23,2,0)</f>
        <v>7</v>
      </c>
      <c r="K1257" s="47" t="s">
        <v>1137</v>
      </c>
      <c r="L1257" s="48" t="s">
        <v>1144</v>
      </c>
      <c r="M1257" s="22" t="s">
        <v>1145</v>
      </c>
      <c r="N1257" s="53">
        <v>45485</v>
      </c>
      <c r="O1257" s="22">
        <f>INDEX(Auxiliar!$D$5:$F$13,MATCH(Table1[[#This Row],[Tipologia_Testes]],Auxiliar!$B$5:$B$13,0),MATCH(Table1[[#This Row],[Complexidade]],Auxiliar!$D$4:$F$4,0))</f>
        <v>2</v>
      </c>
      <c r="P1257" s="45"/>
      <c r="Q1257" s="132"/>
      <c r="R1257" s="173">
        <v>45261</v>
      </c>
      <c r="S1257" s="173"/>
      <c r="T1257" s="173"/>
      <c r="U1257" s="173"/>
      <c r="V1257" s="173"/>
      <c r="W1257" s="3">
        <f>VLOOKUP(Table1[[#This Row],[Status]],Auxiliar!$B$16:$D$23,3,0)*Table1[[#This Row],[Estimação (horas)]]</f>
        <v>0</v>
      </c>
      <c r="X1257" s="132"/>
    </row>
    <row r="1258" spans="2:24" ht="17.399999999999999" hidden="1" customHeight="1">
      <c r="B1258" s="40" t="s">
        <v>28</v>
      </c>
      <c r="C1258" s="40" t="s">
        <v>28</v>
      </c>
      <c r="D1258" s="40" t="s">
        <v>1240</v>
      </c>
      <c r="E1258" s="40" t="s">
        <v>1226</v>
      </c>
      <c r="F1258" s="40" t="s">
        <v>356</v>
      </c>
      <c r="G1258" s="40" t="s">
        <v>360</v>
      </c>
      <c r="H1258" s="67" t="str">
        <f>Table1[[#This Row],[Tabela]]&amp;Table1[[#This Row],[Campo]]</f>
        <v>lt004_protectionepc_lbl</v>
      </c>
      <c r="I1258" s="3" t="s">
        <v>30</v>
      </c>
      <c r="J1258" s="47">
        <f>VLOOKUP(Table1[[#This Row],[Status]],Auxiliar!$B$16:$C$23,2,0)</f>
        <v>7</v>
      </c>
      <c r="K1258" s="47" t="s">
        <v>1138</v>
      </c>
      <c r="L1258" s="48" t="s">
        <v>1144</v>
      </c>
      <c r="M1258" s="22" t="s">
        <v>1145</v>
      </c>
      <c r="N1258" s="53">
        <v>45485</v>
      </c>
      <c r="O1258" s="22">
        <f>INDEX(Auxiliar!$D$5:$F$13,MATCH(Table1[[#This Row],[Tipologia_Testes]],Auxiliar!$B$5:$B$13,0),MATCH(Table1[[#This Row],[Complexidade]],Auxiliar!$D$4:$F$4,0))</f>
        <v>2</v>
      </c>
      <c r="P1258" s="45"/>
      <c r="Q1258" s="132"/>
      <c r="R1258" s="173">
        <v>45261</v>
      </c>
      <c r="S1258" s="173"/>
      <c r="T1258" s="173"/>
      <c r="U1258" s="173"/>
      <c r="V1258" s="173"/>
      <c r="W1258" s="3">
        <f>VLOOKUP(Table1[[#This Row],[Status]],Auxiliar!$B$16:$D$23,3,0)*Table1[[#This Row],[Estimação (horas)]]</f>
        <v>0</v>
      </c>
      <c r="X1258" s="132"/>
    </row>
    <row r="1259" spans="2:24" ht="17.399999999999999" hidden="1" customHeight="1">
      <c r="B1259" s="40" t="s">
        <v>28</v>
      </c>
      <c r="C1259" s="40" t="s">
        <v>28</v>
      </c>
      <c r="D1259" s="40" t="s">
        <v>1240</v>
      </c>
      <c r="E1259" s="40" t="s">
        <v>1226</v>
      </c>
      <c r="F1259" s="40" t="s">
        <v>356</v>
      </c>
      <c r="G1259" s="40" t="s">
        <v>360</v>
      </c>
      <c r="H1259" s="67" t="str">
        <f>Table1[[#This Row],[Tabela]]&amp;Table1[[#This Row],[Campo]]</f>
        <v>lt004_protectionepc_lbl</v>
      </c>
      <c r="I1259" s="3" t="s">
        <v>30</v>
      </c>
      <c r="J1259" s="47">
        <f>VLOOKUP(Table1[[#This Row],[Status]],Auxiliar!$B$16:$C$23,2,0)</f>
        <v>7</v>
      </c>
      <c r="K1259" s="47" t="s">
        <v>1141</v>
      </c>
      <c r="L1259" s="48" t="s">
        <v>1144</v>
      </c>
      <c r="M1259" s="22" t="s">
        <v>1145</v>
      </c>
      <c r="N1259" s="53">
        <v>45485</v>
      </c>
      <c r="O1259" s="22">
        <f>INDEX(Auxiliar!$D$5:$F$13,MATCH(Table1[[#This Row],[Tipologia_Testes]],Auxiliar!$B$5:$B$13,0),MATCH(Table1[[#This Row],[Complexidade]],Auxiliar!$D$4:$F$4,0))</f>
        <v>0.1</v>
      </c>
      <c r="P1259" s="45"/>
      <c r="Q1259" s="132"/>
      <c r="R1259" s="173">
        <v>45261</v>
      </c>
      <c r="S1259" s="173"/>
      <c r="T1259" s="173"/>
      <c r="U1259" s="173"/>
      <c r="V1259" s="173"/>
      <c r="W1259" s="3">
        <f>VLOOKUP(Table1[[#This Row],[Status]],Auxiliar!$B$16:$D$23,3,0)*Table1[[#This Row],[Estimação (horas)]]</f>
        <v>0</v>
      </c>
      <c r="X1259" s="132"/>
    </row>
    <row r="1260" spans="2:24" ht="52.2" hidden="1" customHeight="1">
      <c r="B1260" s="42" t="s">
        <v>28</v>
      </c>
      <c r="C1260" s="42" t="s">
        <v>28</v>
      </c>
      <c r="D1260" s="37" t="s">
        <v>1241</v>
      </c>
      <c r="E1260" s="41" t="s">
        <v>1242</v>
      </c>
      <c r="F1260" s="41" t="s">
        <v>356</v>
      </c>
      <c r="G1260" s="39" t="s">
        <v>361</v>
      </c>
      <c r="H1260" s="68" t="str">
        <f>Table1[[#This Row],[Tabela]]&amp;Table1[[#This Row],[Campo]]</f>
        <v>lt004_protectionemssns_scp1_prtctn</v>
      </c>
      <c r="I1260" s="3" t="s">
        <v>177</v>
      </c>
      <c r="J1260" s="47">
        <f>VLOOKUP(Table1[[#This Row],[Status]],Auxiliar!$B$16:$C$23,2,0)</f>
        <v>2</v>
      </c>
      <c r="K1260" s="47" t="s">
        <v>1137</v>
      </c>
      <c r="L1260" s="48" t="s">
        <v>1144</v>
      </c>
      <c r="M1260" s="22" t="s">
        <v>1145</v>
      </c>
      <c r="N1260" s="53">
        <v>45533</v>
      </c>
      <c r="O1260" s="22">
        <f>INDEX(Auxiliar!$D$5:$F$13,MATCH(Table1[[#This Row],[Tipologia_Testes]],Auxiliar!$B$5:$B$13,0),MATCH(Table1[[#This Row],[Complexidade]],Auxiliar!$D$4:$F$4,0))</f>
        <v>2</v>
      </c>
      <c r="P1260" s="45"/>
      <c r="Q1260" s="132"/>
      <c r="R1260" s="173">
        <v>45261</v>
      </c>
      <c r="S1260" s="173"/>
      <c r="T1260" s="173"/>
      <c r="U1260" s="173"/>
      <c r="V1260" s="173"/>
      <c r="W1260" s="3">
        <f>VLOOKUP(Table1[[#This Row],[Status]],Auxiliar!$B$16:$D$23,3,0)*Table1[[#This Row],[Estimação (horas)]]</f>
        <v>1</v>
      </c>
      <c r="X1260" s="132"/>
    </row>
    <row r="1261" spans="2:24" ht="17.399999999999999" hidden="1" customHeight="1">
      <c r="B1261" s="40" t="s">
        <v>28</v>
      </c>
      <c r="C1261" s="40" t="s">
        <v>28</v>
      </c>
      <c r="D1261" s="40" t="s">
        <v>1241</v>
      </c>
      <c r="E1261" s="40" t="s">
        <v>1242</v>
      </c>
      <c r="F1261" s="40" t="s">
        <v>356</v>
      </c>
      <c r="G1261" s="40" t="s">
        <v>361</v>
      </c>
      <c r="H1261" s="67" t="str">
        <f>Table1[[#This Row],[Tabela]]&amp;Table1[[#This Row],[Campo]]</f>
        <v>lt004_protectionemssns_scp1_prtctn</v>
      </c>
      <c r="I1261" s="3" t="s">
        <v>30</v>
      </c>
      <c r="J1261" s="47">
        <f>VLOOKUP(Table1[[#This Row],[Status]],Auxiliar!$B$16:$C$23,2,0)</f>
        <v>7</v>
      </c>
      <c r="K1261" s="47" t="s">
        <v>1138</v>
      </c>
      <c r="L1261" s="48" t="s">
        <v>1144</v>
      </c>
      <c r="M1261" s="22" t="s">
        <v>1145</v>
      </c>
      <c r="N1261" s="53">
        <v>45485</v>
      </c>
      <c r="O1261" s="22">
        <f>INDEX(Auxiliar!$D$5:$F$13,MATCH(Table1[[#This Row],[Tipologia_Testes]],Auxiliar!$B$5:$B$13,0),MATCH(Table1[[#This Row],[Complexidade]],Auxiliar!$D$4:$F$4,0))</f>
        <v>2</v>
      </c>
      <c r="P1261" s="45"/>
      <c r="Q1261" s="132"/>
      <c r="R1261" s="173">
        <v>45261</v>
      </c>
      <c r="S1261" s="173"/>
      <c r="T1261" s="173"/>
      <c r="U1261" s="173"/>
      <c r="V1261" s="173"/>
      <c r="W1261" s="3">
        <f>VLOOKUP(Table1[[#This Row],[Status]],Auxiliar!$B$16:$D$23,3,0)*Table1[[#This Row],[Estimação (horas)]]</f>
        <v>0</v>
      </c>
      <c r="X1261" s="132"/>
    </row>
    <row r="1262" spans="2:24" ht="17.399999999999999" hidden="1" customHeight="1">
      <c r="B1262" s="40" t="s">
        <v>28</v>
      </c>
      <c r="C1262" s="40" t="s">
        <v>28</v>
      </c>
      <c r="D1262" s="40" t="s">
        <v>1241</v>
      </c>
      <c r="E1262" s="40" t="s">
        <v>1242</v>
      </c>
      <c r="F1262" s="40" t="s">
        <v>356</v>
      </c>
      <c r="G1262" s="40" t="s">
        <v>361</v>
      </c>
      <c r="H1262" s="67" t="str">
        <f>Table1[[#This Row],[Tabela]]&amp;Table1[[#This Row],[Campo]]</f>
        <v>lt004_protectionemssns_scp1_prtctn</v>
      </c>
      <c r="I1262" s="3" t="s">
        <v>30</v>
      </c>
      <c r="J1262" s="47">
        <f>VLOOKUP(Table1[[#This Row],[Status]],Auxiliar!$B$16:$C$23,2,0)</f>
        <v>7</v>
      </c>
      <c r="K1262" s="47" t="s">
        <v>1141</v>
      </c>
      <c r="L1262" s="48" t="s">
        <v>1144</v>
      </c>
      <c r="M1262" s="22" t="s">
        <v>1145</v>
      </c>
      <c r="N1262" s="53">
        <v>45485</v>
      </c>
      <c r="O1262" s="22">
        <f>INDEX(Auxiliar!$D$5:$F$13,MATCH(Table1[[#This Row],[Tipologia_Testes]],Auxiliar!$B$5:$B$13,0),MATCH(Table1[[#This Row],[Complexidade]],Auxiliar!$D$4:$F$4,0))</f>
        <v>0.1</v>
      </c>
      <c r="P1262" s="45"/>
      <c r="Q1262" s="132"/>
      <c r="R1262" s="173">
        <v>45261</v>
      </c>
      <c r="S1262" s="173"/>
      <c r="T1262" s="173"/>
      <c r="U1262" s="173"/>
      <c r="V1262" s="173"/>
      <c r="W1262" s="3">
        <f>VLOOKUP(Table1[[#This Row],[Status]],Auxiliar!$B$16:$D$23,3,0)*Table1[[#This Row],[Estimação (horas)]]</f>
        <v>0</v>
      </c>
      <c r="X1262" s="132"/>
    </row>
    <row r="1263" spans="2:24" ht="52.2" hidden="1" customHeight="1">
      <c r="B1263" s="42" t="s">
        <v>28</v>
      </c>
      <c r="C1263" s="42" t="s">
        <v>28</v>
      </c>
      <c r="D1263" s="37" t="s">
        <v>1241</v>
      </c>
      <c r="E1263" s="41" t="s">
        <v>1243</v>
      </c>
      <c r="F1263" s="41" t="s">
        <v>356</v>
      </c>
      <c r="G1263" s="39" t="s">
        <v>362</v>
      </c>
      <c r="H1263" s="68" t="str">
        <f>Table1[[#This Row],[Tabela]]&amp;Table1[[#This Row],[Campo]]</f>
        <v>lt004_protectionemssns_scp2_prtctn</v>
      </c>
      <c r="I1263" s="3" t="s">
        <v>177</v>
      </c>
      <c r="J1263" s="47">
        <f>VLOOKUP(Table1[[#This Row],[Status]],Auxiliar!$B$16:$C$23,2,0)</f>
        <v>2</v>
      </c>
      <c r="K1263" s="47" t="s">
        <v>1137</v>
      </c>
      <c r="L1263" s="48" t="s">
        <v>1144</v>
      </c>
      <c r="M1263" s="22" t="s">
        <v>1145</v>
      </c>
      <c r="N1263" s="53">
        <v>45533</v>
      </c>
      <c r="O1263" s="22">
        <f>INDEX(Auxiliar!$D$5:$F$13,MATCH(Table1[[#This Row],[Tipologia_Testes]],Auxiliar!$B$5:$B$13,0),MATCH(Table1[[#This Row],[Complexidade]],Auxiliar!$D$4:$F$4,0))</f>
        <v>2</v>
      </c>
      <c r="P1263" s="45"/>
      <c r="Q1263" s="132"/>
      <c r="R1263" s="173">
        <v>45261</v>
      </c>
      <c r="S1263" s="173"/>
      <c r="T1263" s="173"/>
      <c r="U1263" s="173"/>
      <c r="V1263" s="173"/>
      <c r="W1263" s="3">
        <f>VLOOKUP(Table1[[#This Row],[Status]],Auxiliar!$B$16:$D$23,3,0)*Table1[[#This Row],[Estimação (horas)]]</f>
        <v>1</v>
      </c>
      <c r="X1263" s="132"/>
    </row>
    <row r="1264" spans="2:24" ht="17.399999999999999" hidden="1" customHeight="1">
      <c r="B1264" s="40" t="s">
        <v>28</v>
      </c>
      <c r="C1264" s="40" t="s">
        <v>28</v>
      </c>
      <c r="D1264" s="40" t="s">
        <v>1241</v>
      </c>
      <c r="E1264" s="40" t="s">
        <v>1243</v>
      </c>
      <c r="F1264" s="40" t="s">
        <v>356</v>
      </c>
      <c r="G1264" s="40" t="s">
        <v>362</v>
      </c>
      <c r="H1264" s="67" t="str">
        <f>Table1[[#This Row],[Tabela]]&amp;Table1[[#This Row],[Campo]]</f>
        <v>lt004_protectionemssns_scp2_prtctn</v>
      </c>
      <c r="I1264" s="3" t="s">
        <v>30</v>
      </c>
      <c r="J1264" s="47">
        <f>VLOOKUP(Table1[[#This Row],[Status]],Auxiliar!$B$16:$C$23,2,0)</f>
        <v>7</v>
      </c>
      <c r="K1264" s="47" t="s">
        <v>1138</v>
      </c>
      <c r="L1264" s="48" t="s">
        <v>1144</v>
      </c>
      <c r="M1264" s="22" t="s">
        <v>1145</v>
      </c>
      <c r="N1264" s="53">
        <v>45485</v>
      </c>
      <c r="O1264" s="22">
        <f>INDEX(Auxiliar!$D$5:$F$13,MATCH(Table1[[#This Row],[Tipologia_Testes]],Auxiliar!$B$5:$B$13,0),MATCH(Table1[[#This Row],[Complexidade]],Auxiliar!$D$4:$F$4,0))</f>
        <v>2</v>
      </c>
      <c r="P1264" s="45"/>
      <c r="Q1264" s="132"/>
      <c r="R1264" s="173">
        <v>45261</v>
      </c>
      <c r="S1264" s="173"/>
      <c r="T1264" s="173"/>
      <c r="U1264" s="173"/>
      <c r="V1264" s="173"/>
      <c r="W1264" s="3">
        <f>VLOOKUP(Table1[[#This Row],[Status]],Auxiliar!$B$16:$D$23,3,0)*Table1[[#This Row],[Estimação (horas)]]</f>
        <v>0</v>
      </c>
      <c r="X1264" s="132"/>
    </row>
    <row r="1265" spans="2:24" ht="17.399999999999999" hidden="1" customHeight="1">
      <c r="B1265" s="40" t="s">
        <v>28</v>
      </c>
      <c r="C1265" s="40" t="s">
        <v>28</v>
      </c>
      <c r="D1265" s="40" t="s">
        <v>1241</v>
      </c>
      <c r="E1265" s="40" t="s">
        <v>1243</v>
      </c>
      <c r="F1265" s="40" t="s">
        <v>356</v>
      </c>
      <c r="G1265" s="40" t="s">
        <v>362</v>
      </c>
      <c r="H1265" s="67" t="str">
        <f>Table1[[#This Row],[Tabela]]&amp;Table1[[#This Row],[Campo]]</f>
        <v>lt004_protectionemssns_scp2_prtctn</v>
      </c>
      <c r="I1265" s="3" t="s">
        <v>30</v>
      </c>
      <c r="J1265" s="47">
        <f>VLOOKUP(Table1[[#This Row],[Status]],Auxiliar!$B$16:$C$23,2,0)</f>
        <v>7</v>
      </c>
      <c r="K1265" s="47" t="s">
        <v>1141</v>
      </c>
      <c r="L1265" s="48" t="s">
        <v>1144</v>
      </c>
      <c r="M1265" s="22" t="s">
        <v>1145</v>
      </c>
      <c r="N1265" s="53">
        <v>45485</v>
      </c>
      <c r="O1265" s="22">
        <f>INDEX(Auxiliar!$D$5:$F$13,MATCH(Table1[[#This Row],[Tipologia_Testes]],Auxiliar!$B$5:$B$13,0),MATCH(Table1[[#This Row],[Complexidade]],Auxiliar!$D$4:$F$4,0))</f>
        <v>0.1</v>
      </c>
      <c r="P1265" s="45"/>
      <c r="Q1265" s="132"/>
      <c r="R1265" s="173">
        <v>45261</v>
      </c>
      <c r="S1265" s="173"/>
      <c r="T1265" s="173"/>
      <c r="U1265" s="173"/>
      <c r="V1265" s="173"/>
      <c r="W1265" s="3">
        <f>VLOOKUP(Table1[[#This Row],[Status]],Auxiliar!$B$16:$D$23,3,0)*Table1[[#This Row],[Estimação (horas)]]</f>
        <v>0</v>
      </c>
      <c r="X1265" s="132"/>
    </row>
    <row r="1266" spans="2:24" ht="52.2" hidden="1" customHeight="1">
      <c r="B1266" s="42" t="s">
        <v>28</v>
      </c>
      <c r="C1266" s="42" t="s">
        <v>28</v>
      </c>
      <c r="D1266" s="37" t="s">
        <v>1241</v>
      </c>
      <c r="E1266" s="41" t="s">
        <v>1244</v>
      </c>
      <c r="F1266" s="41" t="s">
        <v>356</v>
      </c>
      <c r="G1266" s="39" t="s">
        <v>363</v>
      </c>
      <c r="H1266" s="68" t="str">
        <f>Table1[[#This Row],[Tabela]]&amp;Table1[[#This Row],[Campo]]</f>
        <v>lt004_protectionemssns_scp3_prtctn</v>
      </c>
      <c r="I1266" s="3" t="s">
        <v>177</v>
      </c>
      <c r="J1266" s="47">
        <f>VLOOKUP(Table1[[#This Row],[Status]],Auxiliar!$B$16:$C$23,2,0)</f>
        <v>2</v>
      </c>
      <c r="K1266" s="47" t="s">
        <v>1137</v>
      </c>
      <c r="L1266" s="48" t="s">
        <v>1144</v>
      </c>
      <c r="M1266" s="22" t="s">
        <v>1145</v>
      </c>
      <c r="N1266" s="53">
        <v>45533</v>
      </c>
      <c r="O1266" s="22">
        <f>INDEX(Auxiliar!$D$5:$F$13,MATCH(Table1[[#This Row],[Tipologia_Testes]],Auxiliar!$B$5:$B$13,0),MATCH(Table1[[#This Row],[Complexidade]],Auxiliar!$D$4:$F$4,0))</f>
        <v>2</v>
      </c>
      <c r="P1266" s="45"/>
      <c r="Q1266" s="132"/>
      <c r="R1266" s="173">
        <v>45261</v>
      </c>
      <c r="S1266" s="173"/>
      <c r="T1266" s="173"/>
      <c r="U1266" s="173"/>
      <c r="V1266" s="173"/>
      <c r="W1266" s="3">
        <f>VLOOKUP(Table1[[#This Row],[Status]],Auxiliar!$B$16:$D$23,3,0)*Table1[[#This Row],[Estimação (horas)]]</f>
        <v>1</v>
      </c>
      <c r="X1266" s="132"/>
    </row>
    <row r="1267" spans="2:24" ht="17.399999999999999" hidden="1" customHeight="1">
      <c r="B1267" s="40" t="s">
        <v>28</v>
      </c>
      <c r="C1267" s="40" t="s">
        <v>28</v>
      </c>
      <c r="D1267" s="40" t="s">
        <v>1241</v>
      </c>
      <c r="E1267" s="40" t="s">
        <v>1244</v>
      </c>
      <c r="F1267" s="40" t="s">
        <v>356</v>
      </c>
      <c r="G1267" s="40" t="s">
        <v>363</v>
      </c>
      <c r="H1267" s="67" t="str">
        <f>Table1[[#This Row],[Tabela]]&amp;Table1[[#This Row],[Campo]]</f>
        <v>lt004_protectionemssns_scp3_prtctn</v>
      </c>
      <c r="I1267" s="3" t="s">
        <v>30</v>
      </c>
      <c r="J1267" s="47">
        <f>VLOOKUP(Table1[[#This Row],[Status]],Auxiliar!$B$16:$C$23,2,0)</f>
        <v>7</v>
      </c>
      <c r="K1267" s="47" t="s">
        <v>1138</v>
      </c>
      <c r="L1267" s="48" t="s">
        <v>1144</v>
      </c>
      <c r="M1267" s="22" t="s">
        <v>1145</v>
      </c>
      <c r="N1267" s="53">
        <v>45485</v>
      </c>
      <c r="O1267" s="22">
        <f>INDEX(Auxiliar!$D$5:$F$13,MATCH(Table1[[#This Row],[Tipologia_Testes]],Auxiliar!$B$5:$B$13,0),MATCH(Table1[[#This Row],[Complexidade]],Auxiliar!$D$4:$F$4,0))</f>
        <v>2</v>
      </c>
      <c r="P1267" s="45"/>
      <c r="Q1267" s="132"/>
      <c r="R1267" s="173">
        <v>45261</v>
      </c>
      <c r="S1267" s="173"/>
      <c r="T1267" s="173"/>
      <c r="U1267" s="173"/>
      <c r="V1267" s="173"/>
      <c r="W1267" s="3">
        <f>VLOOKUP(Table1[[#This Row],[Status]],Auxiliar!$B$16:$D$23,3,0)*Table1[[#This Row],[Estimação (horas)]]</f>
        <v>0</v>
      </c>
      <c r="X1267" s="132"/>
    </row>
    <row r="1268" spans="2:24" ht="17.399999999999999" hidden="1" customHeight="1">
      <c r="B1268" s="40" t="s">
        <v>28</v>
      </c>
      <c r="C1268" s="40" t="s">
        <v>28</v>
      </c>
      <c r="D1268" s="40" t="s">
        <v>1241</v>
      </c>
      <c r="E1268" s="40" t="s">
        <v>1244</v>
      </c>
      <c r="F1268" s="40" t="s">
        <v>356</v>
      </c>
      <c r="G1268" s="40" t="s">
        <v>363</v>
      </c>
      <c r="H1268" s="67" t="str">
        <f>Table1[[#This Row],[Tabela]]&amp;Table1[[#This Row],[Campo]]</f>
        <v>lt004_protectionemssns_scp3_prtctn</v>
      </c>
      <c r="I1268" s="3" t="s">
        <v>30</v>
      </c>
      <c r="J1268" s="47">
        <f>VLOOKUP(Table1[[#This Row],[Status]],Auxiliar!$B$16:$C$23,2,0)</f>
        <v>7</v>
      </c>
      <c r="K1268" s="47" t="s">
        <v>1141</v>
      </c>
      <c r="L1268" s="48" t="s">
        <v>1144</v>
      </c>
      <c r="M1268" s="22" t="s">
        <v>1145</v>
      </c>
      <c r="N1268" s="53">
        <v>45485</v>
      </c>
      <c r="O1268" s="22">
        <f>INDEX(Auxiliar!$D$5:$F$13,MATCH(Table1[[#This Row],[Tipologia_Testes]],Auxiliar!$B$5:$B$13,0),MATCH(Table1[[#This Row],[Complexidade]],Auxiliar!$D$4:$F$4,0))</f>
        <v>0.1</v>
      </c>
      <c r="P1268" s="45"/>
      <c r="Q1268" s="132"/>
      <c r="R1268" s="173">
        <v>45261</v>
      </c>
      <c r="S1268" s="173"/>
      <c r="T1268" s="173"/>
      <c r="U1268" s="173"/>
      <c r="V1268" s="173"/>
      <c r="W1268" s="3">
        <f>VLOOKUP(Table1[[#This Row],[Status]],Auxiliar!$B$16:$D$23,3,0)*Table1[[#This Row],[Estimação (horas)]]</f>
        <v>0</v>
      </c>
      <c r="X1268" s="132"/>
    </row>
    <row r="1269" spans="2:24" ht="17.399999999999999" hidden="1" customHeight="1">
      <c r="B1269" s="42" t="s">
        <v>28</v>
      </c>
      <c r="C1269" s="42" t="s">
        <v>28</v>
      </c>
      <c r="D1269" s="38" t="s">
        <v>1240</v>
      </c>
      <c r="E1269" s="43" t="s">
        <v>1226</v>
      </c>
      <c r="F1269" s="41" t="s">
        <v>356</v>
      </c>
      <c r="G1269" s="39" t="s">
        <v>364</v>
      </c>
      <c r="H1269" s="68" t="str">
        <f>Table1[[#This Row],[Tabela]]&amp;Table1[[#This Row],[Campo]]</f>
        <v>lt004_protectionmthd_usd_prtctn_scp_1</v>
      </c>
      <c r="I1269" s="3" t="s">
        <v>30</v>
      </c>
      <c r="J1269" s="47">
        <f>VLOOKUP(Table1[[#This Row],[Status]],Auxiliar!$B$16:$C$23,2,0)</f>
        <v>7</v>
      </c>
      <c r="K1269" s="47" t="s">
        <v>1137</v>
      </c>
      <c r="L1269" s="48" t="s">
        <v>1144</v>
      </c>
      <c r="M1269" s="22" t="s">
        <v>1145</v>
      </c>
      <c r="N1269" s="53">
        <v>45485</v>
      </c>
      <c r="O1269" s="22">
        <f>INDEX(Auxiliar!$D$5:$F$13,MATCH(Table1[[#This Row],[Tipologia_Testes]],Auxiliar!$B$5:$B$13,0),MATCH(Table1[[#This Row],[Complexidade]],Auxiliar!$D$4:$F$4,0))</f>
        <v>2</v>
      </c>
      <c r="P1269" s="45"/>
      <c r="Q1269" s="132"/>
      <c r="R1269" s="173">
        <v>45261</v>
      </c>
      <c r="S1269" s="173"/>
      <c r="T1269" s="173"/>
      <c r="U1269" s="173"/>
      <c r="V1269" s="173"/>
      <c r="W1269" s="3">
        <f>VLOOKUP(Table1[[#This Row],[Status]],Auxiliar!$B$16:$D$23,3,0)*Table1[[#This Row],[Estimação (horas)]]</f>
        <v>0</v>
      </c>
      <c r="X1269" s="132"/>
    </row>
    <row r="1270" spans="2:24" ht="17.399999999999999" hidden="1" customHeight="1">
      <c r="B1270" s="40" t="s">
        <v>28</v>
      </c>
      <c r="C1270" s="40" t="s">
        <v>28</v>
      </c>
      <c r="D1270" s="40" t="s">
        <v>1240</v>
      </c>
      <c r="E1270" s="40" t="s">
        <v>1226</v>
      </c>
      <c r="F1270" s="40" t="s">
        <v>356</v>
      </c>
      <c r="G1270" s="40" t="s">
        <v>364</v>
      </c>
      <c r="H1270" s="67" t="str">
        <f>Table1[[#This Row],[Tabela]]&amp;Table1[[#This Row],[Campo]]</f>
        <v>lt004_protectionmthd_usd_prtctn_scp_1</v>
      </c>
      <c r="I1270" s="3" t="s">
        <v>30</v>
      </c>
      <c r="J1270" s="47">
        <f>VLOOKUP(Table1[[#This Row],[Status]],Auxiliar!$B$16:$C$23,2,0)</f>
        <v>7</v>
      </c>
      <c r="K1270" s="47" t="s">
        <v>1138</v>
      </c>
      <c r="L1270" s="48" t="s">
        <v>1144</v>
      </c>
      <c r="M1270" s="22" t="s">
        <v>1145</v>
      </c>
      <c r="N1270" s="53">
        <v>45485</v>
      </c>
      <c r="O1270" s="22">
        <f>INDEX(Auxiliar!$D$5:$F$13,MATCH(Table1[[#This Row],[Tipologia_Testes]],Auxiliar!$B$5:$B$13,0),MATCH(Table1[[#This Row],[Complexidade]],Auxiliar!$D$4:$F$4,0))</f>
        <v>2</v>
      </c>
      <c r="P1270" s="45"/>
      <c r="Q1270" s="132"/>
      <c r="R1270" s="173">
        <v>45261</v>
      </c>
      <c r="S1270" s="173"/>
      <c r="T1270" s="173"/>
      <c r="U1270" s="173"/>
      <c r="V1270" s="173"/>
      <c r="W1270" s="3">
        <f>VLOOKUP(Table1[[#This Row],[Status]],Auxiliar!$B$16:$D$23,3,0)*Table1[[#This Row],[Estimação (horas)]]</f>
        <v>0</v>
      </c>
      <c r="X1270" s="132"/>
    </row>
    <row r="1271" spans="2:24" ht="17.399999999999999" hidden="1" customHeight="1">
      <c r="B1271" s="40" t="s">
        <v>28</v>
      </c>
      <c r="C1271" s="40" t="s">
        <v>28</v>
      </c>
      <c r="D1271" s="40" t="s">
        <v>1240</v>
      </c>
      <c r="E1271" s="40" t="s">
        <v>1226</v>
      </c>
      <c r="F1271" s="40" t="s">
        <v>356</v>
      </c>
      <c r="G1271" s="40" t="s">
        <v>364</v>
      </c>
      <c r="H1271" s="67" t="str">
        <f>Table1[[#This Row],[Tabela]]&amp;Table1[[#This Row],[Campo]]</f>
        <v>lt004_protectionmthd_usd_prtctn_scp_1</v>
      </c>
      <c r="I1271" s="3" t="s">
        <v>30</v>
      </c>
      <c r="J1271" s="47">
        <f>VLOOKUP(Table1[[#This Row],[Status]],Auxiliar!$B$16:$C$23,2,0)</f>
        <v>7</v>
      </c>
      <c r="K1271" s="47" t="s">
        <v>1141</v>
      </c>
      <c r="L1271" s="48" t="s">
        <v>1144</v>
      </c>
      <c r="M1271" s="22" t="s">
        <v>1145</v>
      </c>
      <c r="N1271" s="53">
        <v>45485</v>
      </c>
      <c r="O1271" s="22">
        <f>INDEX(Auxiliar!$D$5:$F$13,MATCH(Table1[[#This Row],[Tipologia_Testes]],Auxiliar!$B$5:$B$13,0),MATCH(Table1[[#This Row],[Complexidade]],Auxiliar!$D$4:$F$4,0))</f>
        <v>0.1</v>
      </c>
      <c r="P1271" s="45"/>
      <c r="Q1271" s="132"/>
      <c r="R1271" s="173">
        <v>45261</v>
      </c>
      <c r="S1271" s="173"/>
      <c r="T1271" s="173"/>
      <c r="U1271" s="173"/>
      <c r="V1271" s="173"/>
      <c r="W1271" s="3">
        <f>VLOOKUP(Table1[[#This Row],[Status]],Auxiliar!$B$16:$D$23,3,0)*Table1[[#This Row],[Estimação (horas)]]</f>
        <v>0</v>
      </c>
      <c r="X1271" s="132"/>
    </row>
    <row r="1272" spans="2:24" ht="17.399999999999999" hidden="1" customHeight="1">
      <c r="B1272" s="42" t="s">
        <v>28</v>
      </c>
      <c r="C1272" s="42" t="s">
        <v>28</v>
      </c>
      <c r="D1272" s="38" t="s">
        <v>1240</v>
      </c>
      <c r="E1272" s="43" t="s">
        <v>1226</v>
      </c>
      <c r="F1272" s="41" t="s">
        <v>356</v>
      </c>
      <c r="G1272" s="39" t="s">
        <v>365</v>
      </c>
      <c r="H1272" s="68" t="str">
        <f>Table1[[#This Row],[Tabela]]&amp;Table1[[#This Row],[Campo]]</f>
        <v>lt004_protectionmthd_usd_prtctn_scp_2</v>
      </c>
      <c r="I1272" s="3" t="s">
        <v>30</v>
      </c>
      <c r="J1272" s="47">
        <f>VLOOKUP(Table1[[#This Row],[Status]],Auxiliar!$B$16:$C$23,2,0)</f>
        <v>7</v>
      </c>
      <c r="K1272" s="47" t="s">
        <v>1137</v>
      </c>
      <c r="L1272" s="48" t="s">
        <v>1144</v>
      </c>
      <c r="M1272" s="22" t="s">
        <v>1145</v>
      </c>
      <c r="N1272" s="53">
        <v>45485</v>
      </c>
      <c r="O1272" s="22">
        <f>INDEX(Auxiliar!$D$5:$F$13,MATCH(Table1[[#This Row],[Tipologia_Testes]],Auxiliar!$B$5:$B$13,0),MATCH(Table1[[#This Row],[Complexidade]],Auxiliar!$D$4:$F$4,0))</f>
        <v>2</v>
      </c>
      <c r="P1272" s="45"/>
      <c r="Q1272" s="132"/>
      <c r="R1272" s="173">
        <v>45261</v>
      </c>
      <c r="S1272" s="173"/>
      <c r="T1272" s="173"/>
      <c r="U1272" s="173"/>
      <c r="V1272" s="173"/>
      <c r="W1272" s="3">
        <f>VLOOKUP(Table1[[#This Row],[Status]],Auxiliar!$B$16:$D$23,3,0)*Table1[[#This Row],[Estimação (horas)]]</f>
        <v>0</v>
      </c>
      <c r="X1272" s="132"/>
    </row>
    <row r="1273" spans="2:24" ht="17.399999999999999" hidden="1" customHeight="1">
      <c r="B1273" s="40" t="s">
        <v>28</v>
      </c>
      <c r="C1273" s="40" t="s">
        <v>28</v>
      </c>
      <c r="D1273" s="40" t="s">
        <v>1240</v>
      </c>
      <c r="E1273" s="40" t="s">
        <v>1226</v>
      </c>
      <c r="F1273" s="40" t="s">
        <v>356</v>
      </c>
      <c r="G1273" s="40" t="s">
        <v>365</v>
      </c>
      <c r="H1273" s="67" t="str">
        <f>Table1[[#This Row],[Tabela]]&amp;Table1[[#This Row],[Campo]]</f>
        <v>lt004_protectionmthd_usd_prtctn_scp_2</v>
      </c>
      <c r="I1273" s="3" t="s">
        <v>30</v>
      </c>
      <c r="J1273" s="47">
        <f>VLOOKUP(Table1[[#This Row],[Status]],Auxiliar!$B$16:$C$23,2,0)</f>
        <v>7</v>
      </c>
      <c r="K1273" s="47" t="s">
        <v>1138</v>
      </c>
      <c r="L1273" s="48" t="s">
        <v>1144</v>
      </c>
      <c r="M1273" s="22" t="s">
        <v>1145</v>
      </c>
      <c r="N1273" s="53">
        <v>45485</v>
      </c>
      <c r="O1273" s="22">
        <f>INDEX(Auxiliar!$D$5:$F$13,MATCH(Table1[[#This Row],[Tipologia_Testes]],Auxiliar!$B$5:$B$13,0),MATCH(Table1[[#This Row],[Complexidade]],Auxiliar!$D$4:$F$4,0))</f>
        <v>2</v>
      </c>
      <c r="P1273" s="45"/>
      <c r="Q1273" s="132"/>
      <c r="R1273" s="173">
        <v>45261</v>
      </c>
      <c r="S1273" s="173"/>
      <c r="T1273" s="173"/>
      <c r="U1273" s="173"/>
      <c r="V1273" s="173"/>
      <c r="W1273" s="3">
        <f>VLOOKUP(Table1[[#This Row],[Status]],Auxiliar!$B$16:$D$23,3,0)*Table1[[#This Row],[Estimação (horas)]]</f>
        <v>0</v>
      </c>
      <c r="X1273" s="132"/>
    </row>
    <row r="1274" spans="2:24" ht="17.399999999999999" hidden="1" customHeight="1">
      <c r="B1274" s="40" t="s">
        <v>28</v>
      </c>
      <c r="C1274" s="40" t="s">
        <v>28</v>
      </c>
      <c r="D1274" s="40" t="s">
        <v>1240</v>
      </c>
      <c r="E1274" s="40" t="s">
        <v>1226</v>
      </c>
      <c r="F1274" s="40" t="s">
        <v>356</v>
      </c>
      <c r="G1274" s="40" t="s">
        <v>365</v>
      </c>
      <c r="H1274" s="67" t="str">
        <f>Table1[[#This Row],[Tabela]]&amp;Table1[[#This Row],[Campo]]</f>
        <v>lt004_protectionmthd_usd_prtctn_scp_2</v>
      </c>
      <c r="I1274" s="3" t="s">
        <v>30</v>
      </c>
      <c r="J1274" s="47">
        <f>VLOOKUP(Table1[[#This Row],[Status]],Auxiliar!$B$16:$C$23,2,0)</f>
        <v>7</v>
      </c>
      <c r="K1274" s="47" t="s">
        <v>1141</v>
      </c>
      <c r="L1274" s="48" t="s">
        <v>1144</v>
      </c>
      <c r="M1274" s="22" t="s">
        <v>1145</v>
      </c>
      <c r="N1274" s="53">
        <v>45485</v>
      </c>
      <c r="O1274" s="22">
        <f>INDEX(Auxiliar!$D$5:$F$13,MATCH(Table1[[#This Row],[Tipologia_Testes]],Auxiliar!$B$5:$B$13,0),MATCH(Table1[[#This Row],[Complexidade]],Auxiliar!$D$4:$F$4,0))</f>
        <v>0.1</v>
      </c>
      <c r="P1274" s="45"/>
      <c r="Q1274" s="132"/>
      <c r="R1274" s="173">
        <v>45261</v>
      </c>
      <c r="S1274" s="173"/>
      <c r="T1274" s="173"/>
      <c r="U1274" s="173"/>
      <c r="V1274" s="173"/>
      <c r="W1274" s="3">
        <f>VLOOKUP(Table1[[#This Row],[Status]],Auxiliar!$B$16:$D$23,3,0)*Table1[[#This Row],[Estimação (horas)]]</f>
        <v>0</v>
      </c>
      <c r="X1274" s="132"/>
    </row>
    <row r="1275" spans="2:24" ht="17.399999999999999" hidden="1" customHeight="1">
      <c r="B1275" s="42" t="s">
        <v>28</v>
      </c>
      <c r="C1275" s="42" t="s">
        <v>28</v>
      </c>
      <c r="D1275" s="38" t="s">
        <v>1240</v>
      </c>
      <c r="E1275" s="43" t="s">
        <v>1226</v>
      </c>
      <c r="F1275" s="41" t="s">
        <v>356</v>
      </c>
      <c r="G1275" s="39" t="s">
        <v>366</v>
      </c>
      <c r="H1275" s="68" t="str">
        <f>Table1[[#This Row],[Tabela]]&amp;Table1[[#This Row],[Campo]]</f>
        <v>lt004_protectionmthd_usd_prtctn_scp_3</v>
      </c>
      <c r="I1275" s="3" t="s">
        <v>30</v>
      </c>
      <c r="J1275" s="47">
        <f>VLOOKUP(Table1[[#This Row],[Status]],Auxiliar!$B$16:$C$23,2,0)</f>
        <v>7</v>
      </c>
      <c r="K1275" s="47" t="s">
        <v>1137</v>
      </c>
      <c r="L1275" s="48" t="s">
        <v>1144</v>
      </c>
      <c r="M1275" s="22" t="s">
        <v>1145</v>
      </c>
      <c r="N1275" s="53">
        <v>45485</v>
      </c>
      <c r="O1275" s="22">
        <f>INDEX(Auxiliar!$D$5:$F$13,MATCH(Table1[[#This Row],[Tipologia_Testes]],Auxiliar!$B$5:$B$13,0),MATCH(Table1[[#This Row],[Complexidade]],Auxiliar!$D$4:$F$4,0))</f>
        <v>2</v>
      </c>
      <c r="P1275" s="45"/>
      <c r="Q1275" s="132"/>
      <c r="R1275" s="173">
        <v>45261</v>
      </c>
      <c r="S1275" s="173"/>
      <c r="T1275" s="173"/>
      <c r="U1275" s="173"/>
      <c r="V1275" s="173"/>
      <c r="W1275" s="3">
        <f>VLOOKUP(Table1[[#This Row],[Status]],Auxiliar!$B$16:$D$23,3,0)*Table1[[#This Row],[Estimação (horas)]]</f>
        <v>0</v>
      </c>
      <c r="X1275" s="132"/>
    </row>
    <row r="1276" spans="2:24" ht="17.399999999999999" hidden="1" customHeight="1">
      <c r="B1276" s="40" t="s">
        <v>28</v>
      </c>
      <c r="C1276" s="40" t="s">
        <v>28</v>
      </c>
      <c r="D1276" s="40" t="s">
        <v>1240</v>
      </c>
      <c r="E1276" s="40" t="s">
        <v>1226</v>
      </c>
      <c r="F1276" s="40" t="s">
        <v>356</v>
      </c>
      <c r="G1276" s="40" t="s">
        <v>366</v>
      </c>
      <c r="H1276" s="67" t="str">
        <f>Table1[[#This Row],[Tabela]]&amp;Table1[[#This Row],[Campo]]</f>
        <v>lt004_protectionmthd_usd_prtctn_scp_3</v>
      </c>
      <c r="I1276" s="3" t="s">
        <v>30</v>
      </c>
      <c r="J1276" s="47">
        <f>VLOOKUP(Table1[[#This Row],[Status]],Auxiliar!$B$16:$C$23,2,0)</f>
        <v>7</v>
      </c>
      <c r="K1276" s="47" t="s">
        <v>1138</v>
      </c>
      <c r="L1276" s="48" t="s">
        <v>1144</v>
      </c>
      <c r="M1276" s="22" t="s">
        <v>1145</v>
      </c>
      <c r="N1276" s="53">
        <v>45485</v>
      </c>
      <c r="O1276" s="22">
        <f>INDEX(Auxiliar!$D$5:$F$13,MATCH(Table1[[#This Row],[Tipologia_Testes]],Auxiliar!$B$5:$B$13,0),MATCH(Table1[[#This Row],[Complexidade]],Auxiliar!$D$4:$F$4,0))</f>
        <v>2</v>
      </c>
      <c r="P1276" s="45"/>
      <c r="Q1276" s="132"/>
      <c r="R1276" s="173">
        <v>45261</v>
      </c>
      <c r="S1276" s="173"/>
      <c r="T1276" s="173"/>
      <c r="U1276" s="173"/>
      <c r="V1276" s="173"/>
      <c r="W1276" s="3">
        <f>VLOOKUP(Table1[[#This Row],[Status]],Auxiliar!$B$16:$D$23,3,0)*Table1[[#This Row],[Estimação (horas)]]</f>
        <v>0</v>
      </c>
      <c r="X1276" s="132"/>
    </row>
    <row r="1277" spans="2:24" ht="17.399999999999999" hidden="1" customHeight="1">
      <c r="B1277" s="40" t="s">
        <v>28</v>
      </c>
      <c r="C1277" s="40" t="s">
        <v>28</v>
      </c>
      <c r="D1277" s="40" t="s">
        <v>1240</v>
      </c>
      <c r="E1277" s="40" t="s">
        <v>1226</v>
      </c>
      <c r="F1277" s="40" t="s">
        <v>356</v>
      </c>
      <c r="G1277" s="40" t="s">
        <v>366</v>
      </c>
      <c r="H1277" s="67" t="str">
        <f>Table1[[#This Row],[Tabela]]&amp;Table1[[#This Row],[Campo]]</f>
        <v>lt004_protectionmthd_usd_prtctn_scp_3</v>
      </c>
      <c r="I1277" s="3" t="s">
        <v>30</v>
      </c>
      <c r="J1277" s="47">
        <f>VLOOKUP(Table1[[#This Row],[Status]],Auxiliar!$B$16:$C$23,2,0)</f>
        <v>7</v>
      </c>
      <c r="K1277" s="47" t="s">
        <v>1141</v>
      </c>
      <c r="L1277" s="48" t="s">
        <v>1144</v>
      </c>
      <c r="M1277" s="22" t="s">
        <v>1145</v>
      </c>
      <c r="N1277" s="53">
        <v>45485</v>
      </c>
      <c r="O1277" s="22">
        <f>INDEX(Auxiliar!$D$5:$F$13,MATCH(Table1[[#This Row],[Tipologia_Testes]],Auxiliar!$B$5:$B$13,0),MATCH(Table1[[#This Row],[Complexidade]],Auxiliar!$D$4:$F$4,0))</f>
        <v>0.1</v>
      </c>
      <c r="P1277" s="45"/>
      <c r="Q1277" s="132"/>
      <c r="R1277" s="173">
        <v>45261</v>
      </c>
      <c r="S1277" s="173"/>
      <c r="T1277" s="173"/>
      <c r="U1277" s="173"/>
      <c r="V1277" s="173"/>
      <c r="W1277" s="3">
        <f>VLOOKUP(Table1[[#This Row],[Status]],Auxiliar!$B$16:$D$23,3,0)*Table1[[#This Row],[Estimação (horas)]]</f>
        <v>0</v>
      </c>
      <c r="X1277" s="132"/>
    </row>
    <row r="1278" spans="2:24" ht="34.799999999999997" hidden="1" customHeight="1">
      <c r="B1278" s="42" t="s">
        <v>28</v>
      </c>
      <c r="C1278" s="42" t="s">
        <v>28</v>
      </c>
      <c r="D1278" s="37" t="s">
        <v>302</v>
      </c>
      <c r="E1278" s="41" t="s">
        <v>273</v>
      </c>
      <c r="F1278" s="41" t="s">
        <v>356</v>
      </c>
      <c r="G1278" s="39" t="s">
        <v>345</v>
      </c>
      <c r="H1278" s="68" t="str">
        <f>Table1[[#This Row],[Tabela]]&amp;Table1[[#This Row],[Campo]]</f>
        <v>lt004_protectionflg_act_physcl_rsk</v>
      </c>
      <c r="I1278" s="3" t="s">
        <v>479</v>
      </c>
      <c r="J1278" s="47">
        <f>VLOOKUP(Table1[[#This Row],[Status]],Auxiliar!$B$16:$C$23,2,0)</f>
        <v>4</v>
      </c>
      <c r="K1278" s="47" t="s">
        <v>1137</v>
      </c>
      <c r="L1278" s="48" t="s">
        <v>1144</v>
      </c>
      <c r="M1278" s="22" t="s">
        <v>1145</v>
      </c>
      <c r="N1278" s="53">
        <v>45533</v>
      </c>
      <c r="O1278" s="22">
        <f>INDEX(Auxiliar!$D$5:$F$13,MATCH(Table1[[#This Row],[Tipologia_Testes]],Auxiliar!$B$5:$B$13,0),MATCH(Table1[[#This Row],[Complexidade]],Auxiliar!$D$4:$F$4,0))</f>
        <v>2</v>
      </c>
      <c r="P1278" s="45"/>
      <c r="Q1278" s="132"/>
      <c r="R1278" s="173">
        <v>45261</v>
      </c>
      <c r="S1278" s="173"/>
      <c r="T1278" s="173"/>
      <c r="U1278" s="173"/>
      <c r="V1278" s="173"/>
      <c r="W1278" s="3">
        <f>VLOOKUP(Table1[[#This Row],[Status]],Auxiliar!$B$16:$D$23,3,0)*Table1[[#This Row],[Estimação (horas)]]</f>
        <v>0.5</v>
      </c>
      <c r="X1278" s="132"/>
    </row>
    <row r="1279" spans="2:24" ht="17.399999999999999" hidden="1" customHeight="1">
      <c r="B1279" s="40" t="s">
        <v>28</v>
      </c>
      <c r="C1279" s="40" t="s">
        <v>28</v>
      </c>
      <c r="D1279" s="40" t="s">
        <v>302</v>
      </c>
      <c r="E1279" s="40" t="s">
        <v>273</v>
      </c>
      <c r="F1279" s="40" t="s">
        <v>356</v>
      </c>
      <c r="G1279" s="40" t="s">
        <v>345</v>
      </c>
      <c r="H1279" s="67" t="str">
        <f>Table1[[#This Row],[Tabela]]&amp;Table1[[#This Row],[Campo]]</f>
        <v>lt004_protectionflg_act_physcl_rsk</v>
      </c>
      <c r="I1279" s="3" t="s">
        <v>479</v>
      </c>
      <c r="J1279" s="47">
        <f>VLOOKUP(Table1[[#This Row],[Status]],Auxiliar!$B$16:$C$23,2,0)</f>
        <v>4</v>
      </c>
      <c r="K1279" s="47" t="s">
        <v>1138</v>
      </c>
      <c r="L1279" s="48" t="s">
        <v>1144</v>
      </c>
      <c r="M1279" s="22" t="s">
        <v>1145</v>
      </c>
      <c r="N1279" s="53">
        <v>45533</v>
      </c>
      <c r="O1279" s="22">
        <f>INDEX(Auxiliar!$D$5:$F$13,MATCH(Table1[[#This Row],[Tipologia_Testes]],Auxiliar!$B$5:$B$13,0),MATCH(Table1[[#This Row],[Complexidade]],Auxiliar!$D$4:$F$4,0))</f>
        <v>2</v>
      </c>
      <c r="P1279" s="45"/>
      <c r="Q1279" s="132"/>
      <c r="R1279" s="173">
        <v>45261</v>
      </c>
      <c r="S1279" s="173"/>
      <c r="T1279" s="173"/>
      <c r="U1279" s="173"/>
      <c r="V1279" s="173"/>
      <c r="W1279" s="3">
        <f>VLOOKUP(Table1[[#This Row],[Status]],Auxiliar!$B$16:$D$23,3,0)*Table1[[#This Row],[Estimação (horas)]]</f>
        <v>0.5</v>
      </c>
      <c r="X1279" s="132"/>
    </row>
    <row r="1280" spans="2:24" ht="17.399999999999999" hidden="1" customHeight="1">
      <c r="B1280" s="40" t="s">
        <v>28</v>
      </c>
      <c r="C1280" s="40" t="s">
        <v>28</v>
      </c>
      <c r="D1280" s="40" t="s">
        <v>302</v>
      </c>
      <c r="E1280" s="40" t="s">
        <v>273</v>
      </c>
      <c r="F1280" s="40" t="s">
        <v>356</v>
      </c>
      <c r="G1280" s="40" t="s">
        <v>345</v>
      </c>
      <c r="H1280" s="67" t="str">
        <f>Table1[[#This Row],[Tabela]]&amp;Table1[[#This Row],[Campo]]</f>
        <v>lt004_protectionflg_act_physcl_rsk</v>
      </c>
      <c r="I1280" s="3" t="s">
        <v>479</v>
      </c>
      <c r="J1280" s="47">
        <f>VLOOKUP(Table1[[#This Row],[Status]],Auxiliar!$B$16:$C$23,2,0)</f>
        <v>4</v>
      </c>
      <c r="K1280" s="47" t="s">
        <v>1141</v>
      </c>
      <c r="L1280" s="48" t="s">
        <v>1144</v>
      </c>
      <c r="M1280" s="22" t="s">
        <v>1145</v>
      </c>
      <c r="N1280" s="53">
        <v>45533</v>
      </c>
      <c r="O1280" s="22">
        <f>INDEX(Auxiliar!$D$5:$F$13,MATCH(Table1[[#This Row],[Tipologia_Testes]],Auxiliar!$B$5:$B$13,0),MATCH(Table1[[#This Row],[Complexidade]],Auxiliar!$D$4:$F$4,0))</f>
        <v>0.1</v>
      </c>
      <c r="P1280" s="45"/>
      <c r="Q1280" s="132"/>
      <c r="R1280" s="173">
        <v>45261</v>
      </c>
      <c r="S1280" s="173"/>
      <c r="T1280" s="173"/>
      <c r="U1280" s="173"/>
      <c r="V1280" s="173"/>
      <c r="W1280" s="3">
        <f>VLOOKUP(Table1[[#This Row],[Status]],Auxiliar!$B$16:$D$23,3,0)*Table1[[#This Row],[Estimação (horas)]]</f>
        <v>2.5000000000000001E-2</v>
      </c>
      <c r="X1280" s="132"/>
    </row>
    <row r="1281" spans="2:24" ht="34.799999999999997" hidden="1" customHeight="1">
      <c r="B1281" s="42" t="s">
        <v>28</v>
      </c>
      <c r="C1281" s="42" t="s">
        <v>28</v>
      </c>
      <c r="D1281" s="37" t="s">
        <v>302</v>
      </c>
      <c r="E1281" s="41" t="s">
        <v>274</v>
      </c>
      <c r="F1281" s="41" t="s">
        <v>356</v>
      </c>
      <c r="G1281" s="39" t="s">
        <v>346</v>
      </c>
      <c r="H1281" s="68" t="str">
        <f>Table1[[#This Row],[Tabela]]&amp;Table1[[#This Row],[Campo]]</f>
        <v>lt004_protectionflg_chrnc_physcl_rsk</v>
      </c>
      <c r="I1281" s="3" t="s">
        <v>479</v>
      </c>
      <c r="J1281" s="47">
        <f>VLOOKUP(Table1[[#This Row],[Status]],Auxiliar!$B$16:$C$23,2,0)</f>
        <v>4</v>
      </c>
      <c r="K1281" s="47" t="s">
        <v>1137</v>
      </c>
      <c r="L1281" s="48" t="s">
        <v>1144</v>
      </c>
      <c r="M1281" s="22" t="s">
        <v>1145</v>
      </c>
      <c r="N1281" s="53">
        <v>45533</v>
      </c>
      <c r="O1281" s="22">
        <f>INDEX(Auxiliar!$D$5:$F$13,MATCH(Table1[[#This Row],[Tipologia_Testes]],Auxiliar!$B$5:$B$13,0),MATCH(Table1[[#This Row],[Complexidade]],Auxiliar!$D$4:$F$4,0))</f>
        <v>2</v>
      </c>
      <c r="P1281" s="45"/>
      <c r="Q1281" s="132"/>
      <c r="R1281" s="173">
        <v>45261</v>
      </c>
      <c r="S1281" s="173"/>
      <c r="T1281" s="173"/>
      <c r="U1281" s="173"/>
      <c r="V1281" s="173"/>
      <c r="W1281" s="3">
        <f>VLOOKUP(Table1[[#This Row],[Status]],Auxiliar!$B$16:$D$23,3,0)*Table1[[#This Row],[Estimação (horas)]]</f>
        <v>0.5</v>
      </c>
      <c r="X1281" s="132"/>
    </row>
    <row r="1282" spans="2:24" ht="17.399999999999999" hidden="1" customHeight="1">
      <c r="B1282" s="40" t="s">
        <v>28</v>
      </c>
      <c r="C1282" s="40" t="s">
        <v>28</v>
      </c>
      <c r="D1282" s="40" t="s">
        <v>302</v>
      </c>
      <c r="E1282" s="40" t="s">
        <v>274</v>
      </c>
      <c r="F1282" s="40" t="s">
        <v>356</v>
      </c>
      <c r="G1282" s="40" t="s">
        <v>346</v>
      </c>
      <c r="H1282" s="67" t="str">
        <f>Table1[[#This Row],[Tabela]]&amp;Table1[[#This Row],[Campo]]</f>
        <v>lt004_protectionflg_chrnc_physcl_rsk</v>
      </c>
      <c r="I1282" s="3" t="s">
        <v>479</v>
      </c>
      <c r="J1282" s="47">
        <f>VLOOKUP(Table1[[#This Row],[Status]],Auxiliar!$B$16:$C$23,2,0)</f>
        <v>4</v>
      </c>
      <c r="K1282" s="47" t="s">
        <v>1138</v>
      </c>
      <c r="L1282" s="48" t="s">
        <v>1144</v>
      </c>
      <c r="M1282" s="22" t="s">
        <v>1145</v>
      </c>
      <c r="N1282" s="53">
        <v>45533</v>
      </c>
      <c r="O1282" s="22">
        <f>INDEX(Auxiliar!$D$5:$F$13,MATCH(Table1[[#This Row],[Tipologia_Testes]],Auxiliar!$B$5:$B$13,0),MATCH(Table1[[#This Row],[Complexidade]],Auxiliar!$D$4:$F$4,0))</f>
        <v>2</v>
      </c>
      <c r="P1282" s="45"/>
      <c r="Q1282" s="132"/>
      <c r="R1282" s="173">
        <v>45261</v>
      </c>
      <c r="S1282" s="173"/>
      <c r="T1282" s="173"/>
      <c r="U1282" s="173"/>
      <c r="V1282" s="173"/>
      <c r="W1282" s="3">
        <f>VLOOKUP(Table1[[#This Row],[Status]],Auxiliar!$B$16:$D$23,3,0)*Table1[[#This Row],[Estimação (horas)]]</f>
        <v>0.5</v>
      </c>
      <c r="X1282" s="132"/>
    </row>
    <row r="1283" spans="2:24" ht="17.399999999999999" hidden="1" customHeight="1">
      <c r="B1283" s="40" t="s">
        <v>28</v>
      </c>
      <c r="C1283" s="40" t="s">
        <v>28</v>
      </c>
      <c r="D1283" s="40" t="s">
        <v>302</v>
      </c>
      <c r="E1283" s="40" t="s">
        <v>274</v>
      </c>
      <c r="F1283" s="40" t="s">
        <v>356</v>
      </c>
      <c r="G1283" s="40" t="s">
        <v>346</v>
      </c>
      <c r="H1283" s="67" t="str">
        <f>Table1[[#This Row],[Tabela]]&amp;Table1[[#This Row],[Campo]]</f>
        <v>lt004_protectionflg_chrnc_physcl_rsk</v>
      </c>
      <c r="I1283" s="3" t="s">
        <v>479</v>
      </c>
      <c r="J1283" s="47">
        <f>VLOOKUP(Table1[[#This Row],[Status]],Auxiliar!$B$16:$C$23,2,0)</f>
        <v>4</v>
      </c>
      <c r="K1283" s="47" t="s">
        <v>1141</v>
      </c>
      <c r="L1283" s="48" t="s">
        <v>1144</v>
      </c>
      <c r="M1283" s="22" t="s">
        <v>1145</v>
      </c>
      <c r="N1283" s="53">
        <v>45533</v>
      </c>
      <c r="O1283" s="22">
        <f>INDEX(Auxiliar!$D$5:$F$13,MATCH(Table1[[#This Row],[Tipologia_Testes]],Auxiliar!$B$5:$B$13,0),MATCH(Table1[[#This Row],[Complexidade]],Auxiliar!$D$4:$F$4,0))</f>
        <v>0.1</v>
      </c>
      <c r="P1283" s="45"/>
      <c r="Q1283" s="132"/>
      <c r="R1283" s="173">
        <v>45261</v>
      </c>
      <c r="S1283" s="173"/>
      <c r="T1283" s="173"/>
      <c r="U1283" s="173"/>
      <c r="V1283" s="173"/>
      <c r="W1283" s="3">
        <f>VLOOKUP(Table1[[#This Row],[Status]],Auxiliar!$B$16:$D$23,3,0)*Table1[[#This Row],[Estimação (horas)]]</f>
        <v>2.5000000000000001E-2</v>
      </c>
      <c r="X1283" s="132"/>
    </row>
    <row r="1284" spans="2:24" ht="34.799999999999997" hidden="1" customHeight="1">
      <c r="B1284" s="42" t="s">
        <v>28</v>
      </c>
      <c r="C1284" s="42" t="s">
        <v>28</v>
      </c>
      <c r="D1284" s="38" t="s">
        <v>86</v>
      </c>
      <c r="E1284" s="43" t="s">
        <v>90</v>
      </c>
      <c r="F1284" s="41" t="s">
        <v>356</v>
      </c>
      <c r="G1284" s="39" t="s">
        <v>90</v>
      </c>
      <c r="H1284" s="68" t="str">
        <f>Table1[[#This Row],[Tabela]]&amp;Table1[[#This Row],[Campo]]</f>
        <v>lt004_protectionflg_fin</v>
      </c>
      <c r="I1284" s="3" t="s">
        <v>476</v>
      </c>
      <c r="J1284" s="47">
        <f>VLOOKUP(Table1[[#This Row],[Status]],Auxiliar!$B$16:$C$23,2,0)</f>
        <v>0</v>
      </c>
      <c r="K1284" s="47" t="s">
        <v>1137</v>
      </c>
      <c r="L1284" s="48" t="s">
        <v>1144</v>
      </c>
      <c r="M1284" s="22" t="s">
        <v>1145</v>
      </c>
      <c r="N1284" s="53">
        <v>45485</v>
      </c>
      <c r="O1284" s="22">
        <f>INDEX(Auxiliar!$D$5:$F$13,MATCH(Table1[[#This Row],[Tipologia_Testes]],Auxiliar!$B$5:$B$13,0),MATCH(Table1[[#This Row],[Complexidade]],Auxiliar!$D$4:$F$4,0))</f>
        <v>2</v>
      </c>
      <c r="P1284" s="45"/>
      <c r="Q1284" s="132"/>
      <c r="R1284" s="173">
        <v>45261</v>
      </c>
      <c r="S1284" s="173"/>
      <c r="T1284" s="173"/>
      <c r="U1284" s="173"/>
      <c r="V1284" s="173"/>
      <c r="W1284" s="3">
        <f>VLOOKUP(Table1[[#This Row],[Status]],Auxiliar!$B$16:$D$23,3,0)*Table1[[#This Row],[Estimação (horas)]]</f>
        <v>0</v>
      </c>
      <c r="X1284" s="132"/>
    </row>
    <row r="1285" spans="2:24" ht="17.399999999999999" hidden="1" customHeight="1">
      <c r="B1285" s="40" t="s">
        <v>28</v>
      </c>
      <c r="C1285" s="40" t="s">
        <v>28</v>
      </c>
      <c r="D1285" s="40" t="s">
        <v>86</v>
      </c>
      <c r="E1285" s="40" t="s">
        <v>90</v>
      </c>
      <c r="F1285" s="40" t="s">
        <v>356</v>
      </c>
      <c r="G1285" s="40" t="s">
        <v>90</v>
      </c>
      <c r="H1285" s="67" t="str">
        <f>Table1[[#This Row],[Tabela]]&amp;Table1[[#This Row],[Campo]]</f>
        <v>lt004_protectionflg_fin</v>
      </c>
      <c r="I1285" s="3" t="s">
        <v>476</v>
      </c>
      <c r="J1285" s="47">
        <f>VLOOKUP(Table1[[#This Row],[Status]],Auxiliar!$B$16:$C$23,2,0)</f>
        <v>0</v>
      </c>
      <c r="K1285" s="47" t="s">
        <v>1138</v>
      </c>
      <c r="L1285" s="48" t="s">
        <v>1144</v>
      </c>
      <c r="M1285" s="22" t="s">
        <v>1145</v>
      </c>
      <c r="N1285" s="53">
        <v>45485</v>
      </c>
      <c r="O1285" s="22">
        <f>INDEX(Auxiliar!$D$5:$F$13,MATCH(Table1[[#This Row],[Tipologia_Testes]],Auxiliar!$B$5:$B$13,0),MATCH(Table1[[#This Row],[Complexidade]],Auxiliar!$D$4:$F$4,0))</f>
        <v>2</v>
      </c>
      <c r="P1285" s="45"/>
      <c r="Q1285" s="132"/>
      <c r="R1285" s="173">
        <v>45261</v>
      </c>
      <c r="S1285" s="173"/>
      <c r="T1285" s="173"/>
      <c r="U1285" s="173"/>
      <c r="V1285" s="173"/>
      <c r="W1285" s="3">
        <f>VLOOKUP(Table1[[#This Row],[Status]],Auxiliar!$B$16:$D$23,3,0)*Table1[[#This Row],[Estimação (horas)]]</f>
        <v>0</v>
      </c>
      <c r="X1285" s="132"/>
    </row>
    <row r="1286" spans="2:24" ht="17.399999999999999" hidden="1" customHeight="1">
      <c r="B1286" s="40" t="s">
        <v>28</v>
      </c>
      <c r="C1286" s="40" t="s">
        <v>28</v>
      </c>
      <c r="D1286" s="40" t="s">
        <v>86</v>
      </c>
      <c r="E1286" s="40" t="s">
        <v>90</v>
      </c>
      <c r="F1286" s="40" t="s">
        <v>356</v>
      </c>
      <c r="G1286" s="40" t="s">
        <v>90</v>
      </c>
      <c r="H1286" s="67" t="str">
        <f>Table1[[#This Row],[Tabela]]&amp;Table1[[#This Row],[Campo]]</f>
        <v>lt004_protectionflg_fin</v>
      </c>
      <c r="I1286" s="3" t="s">
        <v>476</v>
      </c>
      <c r="J1286" s="47">
        <f>VLOOKUP(Table1[[#This Row],[Status]],Auxiliar!$B$16:$C$23,2,0)</f>
        <v>0</v>
      </c>
      <c r="K1286" s="47" t="s">
        <v>1141</v>
      </c>
      <c r="L1286" s="48" t="s">
        <v>1144</v>
      </c>
      <c r="M1286" s="22" t="s">
        <v>1145</v>
      </c>
      <c r="N1286" s="53">
        <v>45485</v>
      </c>
      <c r="O1286" s="22">
        <f>INDEX(Auxiliar!$D$5:$F$13,MATCH(Table1[[#This Row],[Tipologia_Testes]],Auxiliar!$B$5:$B$13,0),MATCH(Table1[[#This Row],[Complexidade]],Auxiliar!$D$4:$F$4,0))</f>
        <v>0.1</v>
      </c>
      <c r="P1286" s="45"/>
      <c r="Q1286" s="132"/>
      <c r="R1286" s="173">
        <v>45261</v>
      </c>
      <c r="S1286" s="173"/>
      <c r="T1286" s="173"/>
      <c r="U1286" s="173"/>
      <c r="V1286" s="173"/>
      <c r="W1286" s="3">
        <f>VLOOKUP(Table1[[#This Row],[Status]],Auxiliar!$B$16:$D$23,3,0)*Table1[[#This Row],[Estimação (horas)]]</f>
        <v>0</v>
      </c>
      <c r="X1286" s="132"/>
    </row>
    <row r="1287" spans="2:24" ht="34.799999999999997" hidden="1" customHeight="1">
      <c r="B1287" s="42" t="s">
        <v>28</v>
      </c>
      <c r="C1287" s="42" t="s">
        <v>28</v>
      </c>
      <c r="D1287" s="38" t="s">
        <v>86</v>
      </c>
      <c r="E1287" s="43" t="s">
        <v>88</v>
      </c>
      <c r="F1287" s="41" t="s">
        <v>356</v>
      </c>
      <c r="G1287" s="39" t="s">
        <v>1245</v>
      </c>
      <c r="H1287" s="68" t="str">
        <f>Table1[[#This Row],[Tabela]]&amp;Table1[[#This Row],[Campo]]</f>
        <v>lt004_protectionflg_exec</v>
      </c>
      <c r="I1287" s="3" t="s">
        <v>476</v>
      </c>
      <c r="J1287" s="47">
        <f>VLOOKUP(Table1[[#This Row],[Status]],Auxiliar!$B$16:$C$23,2,0)</f>
        <v>0</v>
      </c>
      <c r="K1287" s="47" t="s">
        <v>1137</v>
      </c>
      <c r="L1287" s="48" t="s">
        <v>1144</v>
      </c>
      <c r="M1287" s="22" t="s">
        <v>1145</v>
      </c>
      <c r="N1287" s="53">
        <v>45485</v>
      </c>
      <c r="O1287" s="22">
        <f>INDEX(Auxiliar!$D$5:$F$13,MATCH(Table1[[#This Row],[Tipologia_Testes]],Auxiliar!$B$5:$B$13,0),MATCH(Table1[[#This Row],[Complexidade]],Auxiliar!$D$4:$F$4,0))</f>
        <v>2</v>
      </c>
      <c r="P1287" s="45"/>
      <c r="Q1287" s="132"/>
      <c r="R1287" s="173">
        <v>45261</v>
      </c>
      <c r="S1287" s="173"/>
      <c r="T1287" s="173"/>
      <c r="U1287" s="173"/>
      <c r="V1287" s="173"/>
      <c r="W1287" s="3">
        <f>VLOOKUP(Table1[[#This Row],[Status]],Auxiliar!$B$16:$D$23,3,0)*Table1[[#This Row],[Estimação (horas)]]</f>
        <v>0</v>
      </c>
      <c r="X1287" s="132"/>
    </row>
    <row r="1288" spans="2:24" ht="17.399999999999999" hidden="1" customHeight="1">
      <c r="B1288" s="40" t="s">
        <v>28</v>
      </c>
      <c r="C1288" s="40" t="s">
        <v>28</v>
      </c>
      <c r="D1288" s="40" t="s">
        <v>86</v>
      </c>
      <c r="E1288" s="40" t="s">
        <v>88</v>
      </c>
      <c r="F1288" s="40" t="s">
        <v>356</v>
      </c>
      <c r="G1288" s="40" t="s">
        <v>1245</v>
      </c>
      <c r="H1288" s="67" t="str">
        <f>Table1[[#This Row],[Tabela]]&amp;Table1[[#This Row],[Campo]]</f>
        <v>lt004_protectionflg_exec</v>
      </c>
      <c r="I1288" s="3" t="s">
        <v>476</v>
      </c>
      <c r="J1288" s="47">
        <f>VLOOKUP(Table1[[#This Row],[Status]],Auxiliar!$B$16:$C$23,2,0)</f>
        <v>0</v>
      </c>
      <c r="K1288" s="47" t="s">
        <v>1138</v>
      </c>
      <c r="L1288" s="48" t="s">
        <v>1144</v>
      </c>
      <c r="M1288" s="22" t="s">
        <v>1145</v>
      </c>
      <c r="N1288" s="53">
        <v>45485</v>
      </c>
      <c r="O1288" s="22">
        <f>INDEX(Auxiliar!$D$5:$F$13,MATCH(Table1[[#This Row],[Tipologia_Testes]],Auxiliar!$B$5:$B$13,0),MATCH(Table1[[#This Row],[Complexidade]],Auxiliar!$D$4:$F$4,0))</f>
        <v>2</v>
      </c>
      <c r="P1288" s="45"/>
      <c r="Q1288" s="132"/>
      <c r="R1288" s="173">
        <v>45261</v>
      </c>
      <c r="S1288" s="173"/>
      <c r="T1288" s="173"/>
      <c r="U1288" s="173"/>
      <c r="V1288" s="173"/>
      <c r="W1288" s="3">
        <f>VLOOKUP(Table1[[#This Row],[Status]],Auxiliar!$B$16:$D$23,3,0)*Table1[[#This Row],[Estimação (horas)]]</f>
        <v>0</v>
      </c>
      <c r="X1288" s="132"/>
    </row>
    <row r="1289" spans="2:24" ht="17.399999999999999" hidden="1" customHeight="1">
      <c r="B1289" s="40" t="s">
        <v>28</v>
      </c>
      <c r="C1289" s="40" t="s">
        <v>28</v>
      </c>
      <c r="D1289" s="40" t="s">
        <v>86</v>
      </c>
      <c r="E1289" s="40" t="s">
        <v>88</v>
      </c>
      <c r="F1289" s="40" t="s">
        <v>356</v>
      </c>
      <c r="G1289" s="40" t="s">
        <v>1245</v>
      </c>
      <c r="H1289" s="67" t="str">
        <f>Table1[[#This Row],[Tabela]]&amp;Table1[[#This Row],[Campo]]</f>
        <v>lt004_protectionflg_exec</v>
      </c>
      <c r="I1289" s="3" t="s">
        <v>476</v>
      </c>
      <c r="J1289" s="47">
        <f>VLOOKUP(Table1[[#This Row],[Status]],Auxiliar!$B$16:$C$23,2,0)</f>
        <v>0</v>
      </c>
      <c r="K1289" s="47" t="s">
        <v>1141</v>
      </c>
      <c r="L1289" s="48" t="s">
        <v>1144</v>
      </c>
      <c r="M1289" s="22" t="s">
        <v>1145</v>
      </c>
      <c r="N1289" s="53">
        <v>45485</v>
      </c>
      <c r="O1289" s="22">
        <f>INDEX(Auxiliar!$D$5:$F$13,MATCH(Table1[[#This Row],[Tipologia_Testes]],Auxiliar!$B$5:$B$13,0),MATCH(Table1[[#This Row],[Complexidade]],Auxiliar!$D$4:$F$4,0))</f>
        <v>0.1</v>
      </c>
      <c r="P1289" s="45"/>
      <c r="Q1289" s="132"/>
      <c r="R1289" s="173">
        <v>45261</v>
      </c>
      <c r="S1289" s="173"/>
      <c r="T1289" s="173"/>
      <c r="U1289" s="173"/>
      <c r="V1289" s="173"/>
      <c r="W1289" s="3">
        <f>VLOOKUP(Table1[[#This Row],[Status]],Auxiliar!$B$16:$D$23,3,0)*Table1[[#This Row],[Estimação (horas)]]</f>
        <v>0</v>
      </c>
      <c r="X1289" s="132"/>
    </row>
    <row r="1290" spans="2:24" ht="34.799999999999997" hidden="1" customHeight="1">
      <c r="B1290" s="42" t="s">
        <v>28</v>
      </c>
      <c r="C1290" s="42" t="s">
        <v>28</v>
      </c>
      <c r="D1290" s="38" t="s">
        <v>86</v>
      </c>
      <c r="E1290" s="41" t="s">
        <v>89</v>
      </c>
      <c r="F1290" s="41" t="s">
        <v>356</v>
      </c>
      <c r="G1290" s="39" t="s">
        <v>89</v>
      </c>
      <c r="H1290" s="68" t="str">
        <f>Table1[[#This Row],[Tabela]]&amp;Table1[[#This Row],[Campo]]</f>
        <v>lt004_protectionflg_col</v>
      </c>
      <c r="I1290" s="3" t="s">
        <v>476</v>
      </c>
      <c r="J1290" s="47">
        <f>VLOOKUP(Table1[[#This Row],[Status]],Auxiliar!$B$16:$C$23,2,0)</f>
        <v>0</v>
      </c>
      <c r="K1290" s="47" t="s">
        <v>1137</v>
      </c>
      <c r="L1290" s="48" t="s">
        <v>1144</v>
      </c>
      <c r="M1290" s="22" t="s">
        <v>1145</v>
      </c>
      <c r="N1290" s="53">
        <v>45485</v>
      </c>
      <c r="O1290" s="22">
        <f>INDEX(Auxiliar!$D$5:$F$13,MATCH(Table1[[#This Row],[Tipologia_Testes]],Auxiliar!$B$5:$B$13,0),MATCH(Table1[[#This Row],[Complexidade]],Auxiliar!$D$4:$F$4,0))</f>
        <v>2</v>
      </c>
      <c r="P1290" s="45"/>
      <c r="Q1290" s="132"/>
      <c r="R1290" s="173">
        <v>45261</v>
      </c>
      <c r="S1290" s="173"/>
      <c r="T1290" s="173"/>
      <c r="U1290" s="173"/>
      <c r="V1290" s="173"/>
      <c r="W1290" s="3">
        <f>VLOOKUP(Table1[[#This Row],[Status]],Auxiliar!$B$16:$D$23,3,0)*Table1[[#This Row],[Estimação (horas)]]</f>
        <v>0</v>
      </c>
      <c r="X1290" s="132"/>
    </row>
    <row r="1291" spans="2:24" ht="17.399999999999999" hidden="1" customHeight="1">
      <c r="B1291" s="40" t="s">
        <v>28</v>
      </c>
      <c r="C1291" s="40" t="s">
        <v>28</v>
      </c>
      <c r="D1291" s="40" t="s">
        <v>86</v>
      </c>
      <c r="E1291" s="40" t="s">
        <v>89</v>
      </c>
      <c r="F1291" s="40" t="s">
        <v>356</v>
      </c>
      <c r="G1291" s="40" t="s">
        <v>89</v>
      </c>
      <c r="H1291" s="67" t="str">
        <f>Table1[[#This Row],[Tabela]]&amp;Table1[[#This Row],[Campo]]</f>
        <v>lt004_protectionflg_col</v>
      </c>
      <c r="I1291" s="3" t="s">
        <v>476</v>
      </c>
      <c r="J1291" s="47">
        <f>VLOOKUP(Table1[[#This Row],[Status]],Auxiliar!$B$16:$C$23,2,0)</f>
        <v>0</v>
      </c>
      <c r="K1291" s="47" t="s">
        <v>1138</v>
      </c>
      <c r="L1291" s="48" t="s">
        <v>1144</v>
      </c>
      <c r="M1291" s="22" t="s">
        <v>1145</v>
      </c>
      <c r="N1291" s="53">
        <v>45485</v>
      </c>
      <c r="O1291" s="22">
        <f>INDEX(Auxiliar!$D$5:$F$13,MATCH(Table1[[#This Row],[Tipologia_Testes]],Auxiliar!$B$5:$B$13,0),MATCH(Table1[[#This Row],[Complexidade]],Auxiliar!$D$4:$F$4,0))</f>
        <v>2</v>
      </c>
      <c r="P1291" s="45"/>
      <c r="Q1291" s="132"/>
      <c r="R1291" s="173">
        <v>45261</v>
      </c>
      <c r="S1291" s="173"/>
      <c r="T1291" s="173"/>
      <c r="U1291" s="173"/>
      <c r="V1291" s="173"/>
      <c r="W1291" s="3">
        <f>VLOOKUP(Table1[[#This Row],[Status]],Auxiliar!$B$16:$D$23,3,0)*Table1[[#This Row],[Estimação (horas)]]</f>
        <v>0</v>
      </c>
      <c r="X1291" s="132"/>
    </row>
    <row r="1292" spans="2:24" ht="17.399999999999999" hidden="1" customHeight="1">
      <c r="B1292" s="40" t="s">
        <v>28</v>
      </c>
      <c r="C1292" s="40" t="s">
        <v>28</v>
      </c>
      <c r="D1292" s="40" t="s">
        <v>86</v>
      </c>
      <c r="E1292" s="40" t="s">
        <v>89</v>
      </c>
      <c r="F1292" s="40" t="s">
        <v>356</v>
      </c>
      <c r="G1292" s="40" t="s">
        <v>89</v>
      </c>
      <c r="H1292" s="67" t="str">
        <f>Table1[[#This Row],[Tabela]]&amp;Table1[[#This Row],[Campo]]</f>
        <v>lt004_protectionflg_col</v>
      </c>
      <c r="I1292" s="3" t="s">
        <v>476</v>
      </c>
      <c r="J1292" s="47">
        <f>VLOOKUP(Table1[[#This Row],[Status]],Auxiliar!$B$16:$C$23,2,0)</f>
        <v>0</v>
      </c>
      <c r="K1292" s="47" t="s">
        <v>1141</v>
      </c>
      <c r="L1292" s="48" t="s">
        <v>1144</v>
      </c>
      <c r="M1292" s="22" t="s">
        <v>1145</v>
      </c>
      <c r="N1292" s="53">
        <v>45485</v>
      </c>
      <c r="O1292" s="22">
        <f>INDEX(Auxiliar!$D$5:$F$13,MATCH(Table1[[#This Row],[Tipologia_Testes]],Auxiliar!$B$5:$B$13,0),MATCH(Table1[[#This Row],[Complexidade]],Auxiliar!$D$4:$F$4,0))</f>
        <v>0.1</v>
      </c>
      <c r="P1292" s="45"/>
      <c r="Q1292" s="132"/>
      <c r="R1292" s="173">
        <v>45261</v>
      </c>
      <c r="S1292" s="173"/>
      <c r="T1292" s="173"/>
      <c r="U1292" s="173"/>
      <c r="V1292" s="173"/>
      <c r="W1292" s="3">
        <f>VLOOKUP(Table1[[#This Row],[Status]],Auxiliar!$B$16:$D$23,3,0)*Table1[[#This Row],[Estimação (horas)]]</f>
        <v>0</v>
      </c>
      <c r="X1292" s="132"/>
    </row>
    <row r="1293" spans="2:24" ht="34.799999999999997" hidden="1" customHeight="1">
      <c r="B1293" s="42" t="s">
        <v>28</v>
      </c>
      <c r="C1293" s="42" t="s">
        <v>28</v>
      </c>
      <c r="D1293" s="38" t="s">
        <v>86</v>
      </c>
      <c r="E1293" s="41" t="s">
        <v>91</v>
      </c>
      <c r="F1293" s="41" t="s">
        <v>356</v>
      </c>
      <c r="G1293" s="39" t="s">
        <v>91</v>
      </c>
      <c r="H1293" s="68" t="str">
        <f>Table1[[#This Row],[Tabela]]&amp;Table1[[#This Row],[Campo]]</f>
        <v>lt004_protectionflg_pro</v>
      </c>
      <c r="I1293" s="3" t="s">
        <v>476</v>
      </c>
      <c r="J1293" s="47">
        <f>VLOOKUP(Table1[[#This Row],[Status]],Auxiliar!$B$16:$C$23,2,0)</f>
        <v>0</v>
      </c>
      <c r="K1293" s="47" t="s">
        <v>1137</v>
      </c>
      <c r="L1293" s="48" t="s">
        <v>1144</v>
      </c>
      <c r="M1293" s="22" t="s">
        <v>1145</v>
      </c>
      <c r="N1293" s="53">
        <v>45485</v>
      </c>
      <c r="O1293" s="22">
        <f>INDEX(Auxiliar!$D$5:$F$13,MATCH(Table1[[#This Row],[Tipologia_Testes]],Auxiliar!$B$5:$B$13,0),MATCH(Table1[[#This Row],[Complexidade]],Auxiliar!$D$4:$F$4,0))</f>
        <v>2</v>
      </c>
      <c r="P1293" s="45"/>
      <c r="Q1293" s="132"/>
      <c r="R1293" s="173">
        <v>45261</v>
      </c>
      <c r="S1293" s="173"/>
      <c r="T1293" s="173"/>
      <c r="U1293" s="173"/>
      <c r="V1293" s="173"/>
      <c r="W1293" s="3">
        <f>VLOOKUP(Table1[[#This Row],[Status]],Auxiliar!$B$16:$D$23,3,0)*Table1[[#This Row],[Estimação (horas)]]</f>
        <v>0</v>
      </c>
      <c r="X1293" s="132"/>
    </row>
    <row r="1294" spans="2:24" ht="17.399999999999999" hidden="1" customHeight="1">
      <c r="B1294" s="40" t="s">
        <v>28</v>
      </c>
      <c r="C1294" s="40" t="s">
        <v>28</v>
      </c>
      <c r="D1294" s="40" t="s">
        <v>86</v>
      </c>
      <c r="E1294" s="40" t="s">
        <v>91</v>
      </c>
      <c r="F1294" s="40" t="s">
        <v>356</v>
      </c>
      <c r="G1294" s="40" t="s">
        <v>91</v>
      </c>
      <c r="H1294" s="67" t="str">
        <f>Table1[[#This Row],[Tabela]]&amp;Table1[[#This Row],[Campo]]</f>
        <v>lt004_protectionflg_pro</v>
      </c>
      <c r="I1294" s="3" t="s">
        <v>476</v>
      </c>
      <c r="J1294" s="47">
        <f>VLOOKUP(Table1[[#This Row],[Status]],Auxiliar!$B$16:$C$23,2,0)</f>
        <v>0</v>
      </c>
      <c r="K1294" s="47" t="s">
        <v>1138</v>
      </c>
      <c r="L1294" s="48" t="s">
        <v>1144</v>
      </c>
      <c r="M1294" s="22" t="s">
        <v>1145</v>
      </c>
      <c r="N1294" s="53">
        <v>45485</v>
      </c>
      <c r="O1294" s="22">
        <f>INDEX(Auxiliar!$D$5:$F$13,MATCH(Table1[[#This Row],[Tipologia_Testes]],Auxiliar!$B$5:$B$13,0),MATCH(Table1[[#This Row],[Complexidade]],Auxiliar!$D$4:$F$4,0))</f>
        <v>2</v>
      </c>
      <c r="P1294" s="45"/>
      <c r="Q1294" s="132"/>
      <c r="R1294" s="173">
        <v>45261</v>
      </c>
      <c r="S1294" s="173"/>
      <c r="T1294" s="173"/>
      <c r="U1294" s="173"/>
      <c r="V1294" s="173"/>
      <c r="W1294" s="3">
        <f>VLOOKUP(Table1[[#This Row],[Status]],Auxiliar!$B$16:$D$23,3,0)*Table1[[#This Row],[Estimação (horas)]]</f>
        <v>0</v>
      </c>
      <c r="X1294" s="132"/>
    </row>
    <row r="1295" spans="2:24" ht="17.399999999999999" hidden="1" customHeight="1">
      <c r="B1295" s="40" t="s">
        <v>28</v>
      </c>
      <c r="C1295" s="40" t="s">
        <v>28</v>
      </c>
      <c r="D1295" s="40" t="s">
        <v>86</v>
      </c>
      <c r="E1295" s="40" t="s">
        <v>91</v>
      </c>
      <c r="F1295" s="40" t="s">
        <v>356</v>
      </c>
      <c r="G1295" s="40" t="s">
        <v>91</v>
      </c>
      <c r="H1295" s="67" t="str">
        <f>Table1[[#This Row],[Tabela]]&amp;Table1[[#This Row],[Campo]]</f>
        <v>lt004_protectionflg_pro</v>
      </c>
      <c r="I1295" s="3" t="s">
        <v>476</v>
      </c>
      <c r="J1295" s="47">
        <f>VLOOKUP(Table1[[#This Row],[Status]],Auxiliar!$B$16:$C$23,2,0)</f>
        <v>0</v>
      </c>
      <c r="K1295" s="47" t="s">
        <v>1141</v>
      </c>
      <c r="L1295" s="48" t="s">
        <v>1144</v>
      </c>
      <c r="M1295" s="22" t="s">
        <v>1145</v>
      </c>
      <c r="N1295" s="53">
        <v>45485</v>
      </c>
      <c r="O1295" s="22">
        <f>INDEX(Auxiliar!$D$5:$F$13,MATCH(Table1[[#This Row],[Tipologia_Testes]],Auxiliar!$B$5:$B$13,0),MATCH(Table1[[#This Row],[Complexidade]],Auxiliar!$D$4:$F$4,0))</f>
        <v>0.1</v>
      </c>
      <c r="P1295" s="45"/>
      <c r="Q1295" s="132"/>
      <c r="R1295" s="173">
        <v>45261</v>
      </c>
      <c r="S1295" s="173"/>
      <c r="T1295" s="173"/>
      <c r="U1295" s="173"/>
      <c r="V1295" s="173"/>
      <c r="W1295" s="3">
        <f>VLOOKUP(Table1[[#This Row],[Status]],Auxiliar!$B$16:$D$23,3,0)*Table1[[#This Row],[Estimação (horas)]]</f>
        <v>0</v>
      </c>
      <c r="X1295" s="132"/>
    </row>
    <row r="1296" spans="2:24" ht="17.399999999999999" hidden="1" customHeight="1">
      <c r="B1296" s="42" t="s">
        <v>28</v>
      </c>
      <c r="C1296" s="42" t="s">
        <v>28</v>
      </c>
      <c r="D1296" s="3" t="s">
        <v>38</v>
      </c>
      <c r="E1296" s="43" t="s">
        <v>38</v>
      </c>
      <c r="F1296" s="41" t="s">
        <v>367</v>
      </c>
      <c r="G1296" s="39" t="s">
        <v>368</v>
      </c>
      <c r="H1296" s="68" t="str">
        <f>Table1[[#This Row],[Tabela]]&amp;Table1[[#This Row],[Campo]]</f>
        <v>lt002_instrumentrsk_mtgtd_cct</v>
      </c>
      <c r="I1296" s="3" t="s">
        <v>30</v>
      </c>
      <c r="J1296" s="47">
        <f>VLOOKUP(Table1[[#This Row],[Status]],Auxiliar!$B$16:$C$23,2,0)</f>
        <v>7</v>
      </c>
      <c r="K1296" s="47" t="s">
        <v>1137</v>
      </c>
      <c r="L1296" s="48" t="s">
        <v>1144</v>
      </c>
      <c r="M1296" s="22" t="s">
        <v>1145</v>
      </c>
      <c r="N1296" s="53">
        <v>45485</v>
      </c>
      <c r="O1296" s="22">
        <f>INDEX(Auxiliar!$D$5:$F$13,MATCH(Table1[[#This Row],[Tipologia_Testes]],Auxiliar!$B$5:$B$13,0),MATCH(Table1[[#This Row],[Complexidade]],Auxiliar!$D$4:$F$4,0))</f>
        <v>2</v>
      </c>
      <c r="P1296" s="45"/>
      <c r="Q1296" s="132"/>
      <c r="R1296" s="173">
        <v>45261</v>
      </c>
      <c r="S1296" s="173"/>
      <c r="T1296" s="173"/>
      <c r="U1296" s="173"/>
      <c r="V1296" s="173"/>
      <c r="W1296" s="3">
        <f>VLOOKUP(Table1[[#This Row],[Status]],Auxiliar!$B$16:$D$23,3,0)*Table1[[#This Row],[Estimação (horas)]]</f>
        <v>0</v>
      </c>
      <c r="X1296" s="132"/>
    </row>
    <row r="1297" spans="2:24" ht="17.399999999999999" hidden="1" customHeight="1">
      <c r="B1297" s="40" t="s">
        <v>28</v>
      </c>
      <c r="C1297" s="40" t="s">
        <v>28</v>
      </c>
      <c r="D1297" s="3" t="s">
        <v>38</v>
      </c>
      <c r="E1297" s="40" t="s">
        <v>38</v>
      </c>
      <c r="F1297" s="40" t="s">
        <v>367</v>
      </c>
      <c r="G1297" s="40" t="s">
        <v>368</v>
      </c>
      <c r="H1297" s="67" t="str">
        <f>Table1[[#This Row],[Tabela]]&amp;Table1[[#This Row],[Campo]]</f>
        <v>lt002_instrumentrsk_mtgtd_cct</v>
      </c>
      <c r="I1297" s="3" t="s">
        <v>30</v>
      </c>
      <c r="J1297" s="47">
        <f>VLOOKUP(Table1[[#This Row],[Status]],Auxiliar!$B$16:$C$23,2,0)</f>
        <v>7</v>
      </c>
      <c r="K1297" s="47" t="s">
        <v>1138</v>
      </c>
      <c r="L1297" s="48" t="s">
        <v>1144</v>
      </c>
      <c r="M1297" s="22" t="s">
        <v>1145</v>
      </c>
      <c r="N1297" s="53">
        <v>45485</v>
      </c>
      <c r="O1297" s="22">
        <f>INDEX(Auxiliar!$D$5:$F$13,MATCH(Table1[[#This Row],[Tipologia_Testes]],Auxiliar!$B$5:$B$13,0),MATCH(Table1[[#This Row],[Complexidade]],Auxiliar!$D$4:$F$4,0))</f>
        <v>2</v>
      </c>
      <c r="P1297" s="45"/>
      <c r="Q1297" s="132"/>
      <c r="R1297" s="173">
        <v>45261</v>
      </c>
      <c r="S1297" s="173"/>
      <c r="T1297" s="173"/>
      <c r="U1297" s="173"/>
      <c r="V1297" s="173"/>
      <c r="W1297" s="3">
        <f>VLOOKUP(Table1[[#This Row],[Status]],Auxiliar!$B$16:$D$23,3,0)*Table1[[#This Row],[Estimação (horas)]]</f>
        <v>0</v>
      </c>
      <c r="X1297" s="132"/>
    </row>
    <row r="1298" spans="2:24" ht="17.399999999999999" hidden="1" customHeight="1">
      <c r="B1298" s="40" t="s">
        <v>28</v>
      </c>
      <c r="C1298" s="40" t="s">
        <v>28</v>
      </c>
      <c r="D1298" s="3" t="s">
        <v>38</v>
      </c>
      <c r="E1298" s="40" t="s">
        <v>38</v>
      </c>
      <c r="F1298" s="40" t="s">
        <v>367</v>
      </c>
      <c r="G1298" s="40" t="s">
        <v>368</v>
      </c>
      <c r="H1298" s="67" t="str">
        <f>Table1[[#This Row],[Tabela]]&amp;Table1[[#This Row],[Campo]]</f>
        <v>lt002_instrumentrsk_mtgtd_cct</v>
      </c>
      <c r="I1298" s="3" t="s">
        <v>30</v>
      </c>
      <c r="J1298" s="47">
        <f>VLOOKUP(Table1[[#This Row],[Status]],Auxiliar!$B$16:$C$23,2,0)</f>
        <v>7</v>
      </c>
      <c r="K1298" s="47" t="s">
        <v>1141</v>
      </c>
      <c r="L1298" s="48" t="s">
        <v>1144</v>
      </c>
      <c r="M1298" s="22" t="s">
        <v>1145</v>
      </c>
      <c r="N1298" s="53">
        <v>45485</v>
      </c>
      <c r="O1298" s="22">
        <f>INDEX(Auxiliar!$D$5:$F$13,MATCH(Table1[[#This Row],[Tipologia_Testes]],Auxiliar!$B$5:$B$13,0),MATCH(Table1[[#This Row],[Complexidade]],Auxiliar!$D$4:$F$4,0))</f>
        <v>0.1</v>
      </c>
      <c r="P1298" s="45"/>
      <c r="Q1298" s="132"/>
      <c r="R1298" s="173">
        <v>45261</v>
      </c>
      <c r="S1298" s="173"/>
      <c r="T1298" s="173"/>
      <c r="U1298" s="173"/>
      <c r="V1298" s="173"/>
      <c r="W1298" s="3">
        <f>VLOOKUP(Table1[[#This Row],[Status]],Auxiliar!$B$16:$D$23,3,0)*Table1[[#This Row],[Estimação (horas)]]</f>
        <v>0</v>
      </c>
      <c r="X1298" s="132"/>
    </row>
    <row r="1299" spans="2:24" ht="17.399999999999999" hidden="1" customHeight="1">
      <c r="B1299" s="42" t="s">
        <v>28</v>
      </c>
      <c r="C1299" s="42" t="s">
        <v>28</v>
      </c>
      <c r="D1299" s="3" t="s">
        <v>38</v>
      </c>
      <c r="E1299" s="43" t="s">
        <v>38</v>
      </c>
      <c r="F1299" s="41" t="s">
        <v>367</v>
      </c>
      <c r="G1299" s="39" t="s">
        <v>369</v>
      </c>
      <c r="H1299" s="68" t="str">
        <f>Table1[[#This Row],[Tabela]]&amp;Table1[[#This Row],[Campo]]</f>
        <v>lt002_instrumentrsk_mtgtd_ccp</v>
      </c>
      <c r="I1299" s="3" t="s">
        <v>30</v>
      </c>
      <c r="J1299" s="47">
        <f>VLOOKUP(Table1[[#This Row],[Status]],Auxiliar!$B$16:$C$23,2,0)</f>
        <v>7</v>
      </c>
      <c r="K1299" s="47" t="s">
        <v>1137</v>
      </c>
      <c r="L1299" s="48" t="s">
        <v>1144</v>
      </c>
      <c r="M1299" s="22" t="s">
        <v>1145</v>
      </c>
      <c r="N1299" s="53">
        <v>45485</v>
      </c>
      <c r="O1299" s="22">
        <f>INDEX(Auxiliar!$D$5:$F$13,MATCH(Table1[[#This Row],[Tipologia_Testes]],Auxiliar!$B$5:$B$13,0),MATCH(Table1[[#This Row],[Complexidade]],Auxiliar!$D$4:$F$4,0))</f>
        <v>2</v>
      </c>
      <c r="P1299" s="45"/>
      <c r="Q1299" s="132"/>
      <c r="R1299" s="173">
        <v>45261</v>
      </c>
      <c r="S1299" s="173"/>
      <c r="T1299" s="173"/>
      <c r="U1299" s="173"/>
      <c r="V1299" s="173"/>
      <c r="W1299" s="3">
        <f>VLOOKUP(Table1[[#This Row],[Status]],Auxiliar!$B$16:$D$23,3,0)*Table1[[#This Row],[Estimação (horas)]]</f>
        <v>0</v>
      </c>
      <c r="X1299" s="132"/>
    </row>
    <row r="1300" spans="2:24" ht="17.399999999999999" hidden="1" customHeight="1">
      <c r="B1300" s="40" t="s">
        <v>28</v>
      </c>
      <c r="C1300" s="40" t="s">
        <v>28</v>
      </c>
      <c r="D1300" s="3" t="s">
        <v>38</v>
      </c>
      <c r="E1300" s="40" t="s">
        <v>38</v>
      </c>
      <c r="F1300" s="40" t="s">
        <v>367</v>
      </c>
      <c r="G1300" s="40" t="s">
        <v>369</v>
      </c>
      <c r="H1300" s="67" t="str">
        <f>Table1[[#This Row],[Tabela]]&amp;Table1[[#This Row],[Campo]]</f>
        <v>lt002_instrumentrsk_mtgtd_ccp</v>
      </c>
      <c r="I1300" s="3" t="s">
        <v>30</v>
      </c>
      <c r="J1300" s="47">
        <f>VLOOKUP(Table1[[#This Row],[Status]],Auxiliar!$B$16:$C$23,2,0)</f>
        <v>7</v>
      </c>
      <c r="K1300" s="47" t="s">
        <v>1138</v>
      </c>
      <c r="L1300" s="48" t="s">
        <v>1144</v>
      </c>
      <c r="M1300" s="22" t="s">
        <v>1145</v>
      </c>
      <c r="N1300" s="53">
        <v>45485</v>
      </c>
      <c r="O1300" s="22">
        <f>INDEX(Auxiliar!$D$5:$F$13,MATCH(Table1[[#This Row],[Tipologia_Testes]],Auxiliar!$B$5:$B$13,0),MATCH(Table1[[#This Row],[Complexidade]],Auxiliar!$D$4:$F$4,0))</f>
        <v>2</v>
      </c>
      <c r="P1300" s="45"/>
      <c r="Q1300" s="132"/>
      <c r="R1300" s="173">
        <v>45261</v>
      </c>
      <c r="S1300" s="173"/>
      <c r="T1300" s="173"/>
      <c r="U1300" s="173"/>
      <c r="V1300" s="173"/>
      <c r="W1300" s="3">
        <f>VLOOKUP(Table1[[#This Row],[Status]],Auxiliar!$B$16:$D$23,3,0)*Table1[[#This Row],[Estimação (horas)]]</f>
        <v>0</v>
      </c>
      <c r="X1300" s="132"/>
    </row>
    <row r="1301" spans="2:24" ht="17.399999999999999" hidden="1" customHeight="1">
      <c r="B1301" s="40" t="s">
        <v>28</v>
      </c>
      <c r="C1301" s="40" t="s">
        <v>28</v>
      </c>
      <c r="D1301" s="3" t="s">
        <v>38</v>
      </c>
      <c r="E1301" s="40" t="s">
        <v>38</v>
      </c>
      <c r="F1301" s="40" t="s">
        <v>367</v>
      </c>
      <c r="G1301" s="40" t="s">
        <v>369</v>
      </c>
      <c r="H1301" s="67" t="str">
        <f>Table1[[#This Row],[Tabela]]&amp;Table1[[#This Row],[Campo]]</f>
        <v>lt002_instrumentrsk_mtgtd_ccp</v>
      </c>
      <c r="I1301" s="3" t="s">
        <v>30</v>
      </c>
      <c r="J1301" s="47">
        <f>VLOOKUP(Table1[[#This Row],[Status]],Auxiliar!$B$16:$C$23,2,0)</f>
        <v>7</v>
      </c>
      <c r="K1301" s="47" t="s">
        <v>1141</v>
      </c>
      <c r="L1301" s="48" t="s">
        <v>1144</v>
      </c>
      <c r="M1301" s="22" t="s">
        <v>1145</v>
      </c>
      <c r="N1301" s="53">
        <v>45485</v>
      </c>
      <c r="O1301" s="22">
        <f>INDEX(Auxiliar!$D$5:$F$13,MATCH(Table1[[#This Row],[Tipologia_Testes]],Auxiliar!$B$5:$B$13,0),MATCH(Table1[[#This Row],[Complexidade]],Auxiliar!$D$4:$F$4,0))</f>
        <v>0.1</v>
      </c>
      <c r="P1301" s="45"/>
      <c r="Q1301" s="132"/>
      <c r="R1301" s="173">
        <v>45261</v>
      </c>
      <c r="S1301" s="173"/>
      <c r="T1301" s="173"/>
      <c r="U1301" s="173"/>
      <c r="V1301" s="173"/>
      <c r="W1301" s="3">
        <f>VLOOKUP(Table1[[#This Row],[Status]],Auxiliar!$B$16:$D$23,3,0)*Table1[[#This Row],[Estimação (horas)]]</f>
        <v>0</v>
      </c>
      <c r="X1301" s="132"/>
    </row>
    <row r="1302" spans="2:24" ht="17.399999999999999" hidden="1" customHeight="1">
      <c r="B1302" s="42" t="s">
        <v>28</v>
      </c>
      <c r="C1302" s="42" t="s">
        <v>28</v>
      </c>
      <c r="D1302" s="38" t="s">
        <v>1240</v>
      </c>
      <c r="E1302" s="43" t="s">
        <v>1226</v>
      </c>
      <c r="F1302" s="41" t="s">
        <v>367</v>
      </c>
      <c r="G1302" s="39" t="s">
        <v>370</v>
      </c>
      <c r="H1302" s="68" t="str">
        <f>Table1[[#This Row],[Tabela]]&amp;Table1[[#This Row],[Campo]]</f>
        <v>lt002_instrumentenvrnmntl_objctv</v>
      </c>
      <c r="I1302" s="3" t="s">
        <v>30</v>
      </c>
      <c r="J1302" s="47">
        <f>VLOOKUP(Table1[[#This Row],[Status]],Auxiliar!$B$16:$C$23,2,0)</f>
        <v>7</v>
      </c>
      <c r="K1302" s="47" t="s">
        <v>1137</v>
      </c>
      <c r="L1302" s="48" t="s">
        <v>1144</v>
      </c>
      <c r="M1302" s="22" t="s">
        <v>1145</v>
      </c>
      <c r="N1302" s="53">
        <v>45485</v>
      </c>
      <c r="O1302" s="22">
        <f>INDEX(Auxiliar!$D$5:$F$13,MATCH(Table1[[#This Row],[Tipologia_Testes]],Auxiliar!$B$5:$B$13,0),MATCH(Table1[[#This Row],[Complexidade]],Auxiliar!$D$4:$F$4,0))</f>
        <v>2</v>
      </c>
      <c r="P1302" s="45"/>
      <c r="Q1302" s="132"/>
      <c r="R1302" s="173">
        <v>45261</v>
      </c>
      <c r="S1302" s="173"/>
      <c r="T1302" s="173"/>
      <c r="U1302" s="173"/>
      <c r="V1302" s="173"/>
      <c r="W1302" s="3">
        <f>VLOOKUP(Table1[[#This Row],[Status]],Auxiliar!$B$16:$D$23,3,0)*Table1[[#This Row],[Estimação (horas)]]</f>
        <v>0</v>
      </c>
      <c r="X1302" s="132"/>
    </row>
    <row r="1303" spans="2:24" ht="17.399999999999999" hidden="1" customHeight="1">
      <c r="B1303" s="40" t="s">
        <v>28</v>
      </c>
      <c r="C1303" s="40" t="s">
        <v>28</v>
      </c>
      <c r="D1303" s="40" t="s">
        <v>1240</v>
      </c>
      <c r="E1303" s="40" t="s">
        <v>1226</v>
      </c>
      <c r="F1303" s="40" t="s">
        <v>367</v>
      </c>
      <c r="G1303" s="40" t="s">
        <v>370</v>
      </c>
      <c r="H1303" s="67" t="str">
        <f>Table1[[#This Row],[Tabela]]&amp;Table1[[#This Row],[Campo]]</f>
        <v>lt002_instrumentenvrnmntl_objctv</v>
      </c>
      <c r="I1303" s="3" t="s">
        <v>30</v>
      </c>
      <c r="J1303" s="47">
        <f>VLOOKUP(Table1[[#This Row],[Status]],Auxiliar!$B$16:$C$23,2,0)</f>
        <v>7</v>
      </c>
      <c r="K1303" s="47" t="s">
        <v>1138</v>
      </c>
      <c r="L1303" s="48" t="s">
        <v>1144</v>
      </c>
      <c r="M1303" s="22" t="s">
        <v>1145</v>
      </c>
      <c r="N1303" s="53">
        <v>45485</v>
      </c>
      <c r="O1303" s="22">
        <f>INDEX(Auxiliar!$D$5:$F$13,MATCH(Table1[[#This Row],[Tipologia_Testes]],Auxiliar!$B$5:$B$13,0),MATCH(Table1[[#This Row],[Complexidade]],Auxiliar!$D$4:$F$4,0))</f>
        <v>2</v>
      </c>
      <c r="P1303" s="45"/>
      <c r="Q1303" s="132"/>
      <c r="R1303" s="173">
        <v>45261</v>
      </c>
      <c r="S1303" s="173"/>
      <c r="T1303" s="173"/>
      <c r="U1303" s="173"/>
      <c r="V1303" s="173"/>
      <c r="W1303" s="3">
        <f>VLOOKUP(Table1[[#This Row],[Status]],Auxiliar!$B$16:$D$23,3,0)*Table1[[#This Row],[Estimação (horas)]]</f>
        <v>0</v>
      </c>
      <c r="X1303" s="132"/>
    </row>
    <row r="1304" spans="2:24" ht="17.399999999999999" hidden="1" customHeight="1">
      <c r="B1304" s="40" t="s">
        <v>28</v>
      </c>
      <c r="C1304" s="40" t="s">
        <v>28</v>
      </c>
      <c r="D1304" s="40" t="s">
        <v>1240</v>
      </c>
      <c r="E1304" s="40" t="s">
        <v>1226</v>
      </c>
      <c r="F1304" s="40" t="s">
        <v>367</v>
      </c>
      <c r="G1304" s="40" t="s">
        <v>370</v>
      </c>
      <c r="H1304" s="67" t="str">
        <f>Table1[[#This Row],[Tabela]]&amp;Table1[[#This Row],[Campo]]</f>
        <v>lt002_instrumentenvrnmntl_objctv</v>
      </c>
      <c r="I1304" s="3" t="s">
        <v>30</v>
      </c>
      <c r="J1304" s="47">
        <f>VLOOKUP(Table1[[#This Row],[Status]],Auxiliar!$B$16:$C$23,2,0)</f>
        <v>7</v>
      </c>
      <c r="K1304" s="47" t="s">
        <v>1141</v>
      </c>
      <c r="L1304" s="48" t="s">
        <v>1144</v>
      </c>
      <c r="M1304" s="22" t="s">
        <v>1145</v>
      </c>
      <c r="N1304" s="53">
        <v>45485</v>
      </c>
      <c r="O1304" s="22">
        <f>INDEX(Auxiliar!$D$5:$F$13,MATCH(Table1[[#This Row],[Tipologia_Testes]],Auxiliar!$B$5:$B$13,0),MATCH(Table1[[#This Row],[Complexidade]],Auxiliar!$D$4:$F$4,0))</f>
        <v>0.1</v>
      </c>
      <c r="P1304" s="45"/>
      <c r="Q1304" s="132"/>
      <c r="R1304" s="173">
        <v>45261</v>
      </c>
      <c r="S1304" s="173"/>
      <c r="T1304" s="173"/>
      <c r="U1304" s="173"/>
      <c r="V1304" s="173"/>
      <c r="W1304" s="3">
        <f>VLOOKUP(Table1[[#This Row],[Status]],Auxiliar!$B$16:$D$23,3,0)*Table1[[#This Row],[Estimação (horas)]]</f>
        <v>0</v>
      </c>
      <c r="X1304" s="132"/>
    </row>
    <row r="1305" spans="2:24" ht="17.399999999999999" hidden="1" customHeight="1">
      <c r="B1305" s="42" t="s">
        <v>28</v>
      </c>
      <c r="C1305" s="42" t="s">
        <v>28</v>
      </c>
      <c r="D1305" s="38" t="s">
        <v>1240</v>
      </c>
      <c r="E1305" s="43" t="s">
        <v>1226</v>
      </c>
      <c r="F1305" s="41" t="s">
        <v>367</v>
      </c>
      <c r="G1305" s="39" t="s">
        <v>371</v>
      </c>
      <c r="H1305" s="68" t="str">
        <f>Table1[[#This Row],[Tabela]]&amp;Table1[[#This Row],[Campo]]</f>
        <v>lt002_instrumenttyp_actvty</v>
      </c>
      <c r="I1305" s="3" t="s">
        <v>30</v>
      </c>
      <c r="J1305" s="47">
        <f>VLOOKUP(Table1[[#This Row],[Status]],Auxiliar!$B$16:$C$23,2,0)</f>
        <v>7</v>
      </c>
      <c r="K1305" s="47" t="s">
        <v>1137</v>
      </c>
      <c r="L1305" s="48" t="s">
        <v>1144</v>
      </c>
      <c r="M1305" s="22" t="s">
        <v>1145</v>
      </c>
      <c r="N1305" s="53">
        <v>45485</v>
      </c>
      <c r="O1305" s="22">
        <f>INDEX(Auxiliar!$D$5:$F$13,MATCH(Table1[[#This Row],[Tipologia_Testes]],Auxiliar!$B$5:$B$13,0),MATCH(Table1[[#This Row],[Complexidade]],Auxiliar!$D$4:$F$4,0))</f>
        <v>2</v>
      </c>
      <c r="P1305" s="45"/>
      <c r="Q1305" s="132"/>
      <c r="R1305" s="173">
        <v>45261</v>
      </c>
      <c r="S1305" s="173"/>
      <c r="T1305" s="173"/>
      <c r="U1305" s="173"/>
      <c r="V1305" s="173"/>
      <c r="W1305" s="3">
        <f>VLOOKUP(Table1[[#This Row],[Status]],Auxiliar!$B$16:$D$23,3,0)*Table1[[#This Row],[Estimação (horas)]]</f>
        <v>0</v>
      </c>
      <c r="X1305" s="132"/>
    </row>
    <row r="1306" spans="2:24" ht="17.399999999999999" hidden="1" customHeight="1">
      <c r="B1306" s="40" t="s">
        <v>28</v>
      </c>
      <c r="C1306" s="40" t="s">
        <v>28</v>
      </c>
      <c r="D1306" s="40" t="s">
        <v>1240</v>
      </c>
      <c r="E1306" s="40" t="s">
        <v>1226</v>
      </c>
      <c r="F1306" s="40" t="s">
        <v>367</v>
      </c>
      <c r="G1306" s="40" t="s">
        <v>371</v>
      </c>
      <c r="H1306" s="67" t="str">
        <f>Table1[[#This Row],[Tabela]]&amp;Table1[[#This Row],[Campo]]</f>
        <v>lt002_instrumenttyp_actvty</v>
      </c>
      <c r="I1306" s="3" t="s">
        <v>30</v>
      </c>
      <c r="J1306" s="47">
        <f>VLOOKUP(Table1[[#This Row],[Status]],Auxiliar!$B$16:$C$23,2,0)</f>
        <v>7</v>
      </c>
      <c r="K1306" s="47" t="s">
        <v>1138</v>
      </c>
      <c r="L1306" s="48" t="s">
        <v>1144</v>
      </c>
      <c r="M1306" s="22" t="s">
        <v>1145</v>
      </c>
      <c r="N1306" s="53">
        <v>45485</v>
      </c>
      <c r="O1306" s="22">
        <f>INDEX(Auxiliar!$D$5:$F$13,MATCH(Table1[[#This Row],[Tipologia_Testes]],Auxiliar!$B$5:$B$13,0),MATCH(Table1[[#This Row],[Complexidade]],Auxiliar!$D$4:$F$4,0))</f>
        <v>2</v>
      </c>
      <c r="P1306" s="45"/>
      <c r="Q1306" s="132"/>
      <c r="R1306" s="173">
        <v>45261</v>
      </c>
      <c r="S1306" s="173"/>
      <c r="T1306" s="173"/>
      <c r="U1306" s="173"/>
      <c r="V1306" s="173"/>
      <c r="W1306" s="3">
        <f>VLOOKUP(Table1[[#This Row],[Status]],Auxiliar!$B$16:$D$23,3,0)*Table1[[#This Row],[Estimação (horas)]]</f>
        <v>0</v>
      </c>
      <c r="X1306" s="132"/>
    </row>
    <row r="1307" spans="2:24" ht="17.399999999999999" hidden="1" customHeight="1">
      <c r="B1307" s="40" t="s">
        <v>28</v>
      </c>
      <c r="C1307" s="40" t="s">
        <v>28</v>
      </c>
      <c r="D1307" s="40" t="s">
        <v>1240</v>
      </c>
      <c r="E1307" s="40" t="s">
        <v>1226</v>
      </c>
      <c r="F1307" s="40" t="s">
        <v>367</v>
      </c>
      <c r="G1307" s="40" t="s">
        <v>371</v>
      </c>
      <c r="H1307" s="67" t="str">
        <f>Table1[[#This Row],[Tabela]]&amp;Table1[[#This Row],[Campo]]</f>
        <v>lt002_instrumenttyp_actvty</v>
      </c>
      <c r="I1307" s="3" t="s">
        <v>30</v>
      </c>
      <c r="J1307" s="47">
        <f>VLOOKUP(Table1[[#This Row],[Status]],Auxiliar!$B$16:$C$23,2,0)</f>
        <v>7</v>
      </c>
      <c r="K1307" s="47" t="s">
        <v>1141</v>
      </c>
      <c r="L1307" s="48" t="s">
        <v>1144</v>
      </c>
      <c r="M1307" s="22" t="s">
        <v>1145</v>
      </c>
      <c r="N1307" s="53">
        <v>45485</v>
      </c>
      <c r="O1307" s="22">
        <f>INDEX(Auxiliar!$D$5:$F$13,MATCH(Table1[[#This Row],[Tipologia_Testes]],Auxiliar!$B$5:$B$13,0),MATCH(Table1[[#This Row],[Complexidade]],Auxiliar!$D$4:$F$4,0))</f>
        <v>0.1</v>
      </c>
      <c r="P1307" s="45"/>
      <c r="Q1307" s="132"/>
      <c r="R1307" s="173">
        <v>45261</v>
      </c>
      <c r="S1307" s="173"/>
      <c r="T1307" s="173"/>
      <c r="U1307" s="173"/>
      <c r="V1307" s="173"/>
      <c r="W1307" s="3">
        <f>VLOOKUP(Table1[[#This Row],[Status]],Auxiliar!$B$16:$D$23,3,0)*Table1[[#This Row],[Estimação (horas)]]</f>
        <v>0</v>
      </c>
      <c r="X1307" s="132"/>
    </row>
    <row r="1308" spans="2:24" ht="17.399999999999999" hidden="1" customHeight="1">
      <c r="B1308" s="42" t="s">
        <v>28</v>
      </c>
      <c r="C1308" s="42" t="s">
        <v>28</v>
      </c>
      <c r="D1308" s="39" t="s">
        <v>1240</v>
      </c>
      <c r="E1308" s="43" t="s">
        <v>1226</v>
      </c>
      <c r="F1308" s="41" t="s">
        <v>367</v>
      </c>
      <c r="G1308" s="39" t="s">
        <v>372</v>
      </c>
      <c r="H1308" s="68" t="str">
        <f>Table1[[#This Row],[Tabela]]&amp;Table1[[#This Row],[Campo]]</f>
        <v>lt002_instrumentlns_clltrlzd_clssfctn</v>
      </c>
      <c r="I1308" s="3" t="s">
        <v>30</v>
      </c>
      <c r="J1308" s="47">
        <f>VLOOKUP(Table1[[#This Row],[Status]],Auxiliar!$B$16:$C$23,2,0)</f>
        <v>7</v>
      </c>
      <c r="K1308" s="47" t="s">
        <v>1137</v>
      </c>
      <c r="L1308" s="48" t="s">
        <v>1144</v>
      </c>
      <c r="M1308" s="22" t="s">
        <v>1145</v>
      </c>
      <c r="N1308" s="53">
        <v>45485</v>
      </c>
      <c r="O1308" s="22">
        <f>INDEX(Auxiliar!$D$5:$F$13,MATCH(Table1[[#This Row],[Tipologia_Testes]],Auxiliar!$B$5:$B$13,0),MATCH(Table1[[#This Row],[Complexidade]],Auxiliar!$D$4:$F$4,0))</f>
        <v>2</v>
      </c>
      <c r="P1308" s="45"/>
      <c r="Q1308" s="132"/>
      <c r="R1308" s="173">
        <v>45261</v>
      </c>
      <c r="S1308" s="173"/>
      <c r="T1308" s="173"/>
      <c r="U1308" s="173"/>
      <c r="V1308" s="173"/>
      <c r="W1308" s="3">
        <f>VLOOKUP(Table1[[#This Row],[Status]],Auxiliar!$B$16:$D$23,3,0)*Table1[[#This Row],[Estimação (horas)]]</f>
        <v>0</v>
      </c>
      <c r="X1308" s="132"/>
    </row>
    <row r="1309" spans="2:24" ht="17.399999999999999" hidden="1" customHeight="1">
      <c r="B1309" s="40" t="s">
        <v>28</v>
      </c>
      <c r="C1309" s="40" t="s">
        <v>28</v>
      </c>
      <c r="D1309" s="40" t="s">
        <v>1240</v>
      </c>
      <c r="E1309" s="40" t="s">
        <v>1226</v>
      </c>
      <c r="F1309" s="40" t="s">
        <v>367</v>
      </c>
      <c r="G1309" s="40" t="s">
        <v>372</v>
      </c>
      <c r="H1309" s="67" t="str">
        <f>Table1[[#This Row],[Tabela]]&amp;Table1[[#This Row],[Campo]]</f>
        <v>lt002_instrumentlns_clltrlzd_clssfctn</v>
      </c>
      <c r="I1309" s="3" t="s">
        <v>30</v>
      </c>
      <c r="J1309" s="47">
        <f>VLOOKUP(Table1[[#This Row],[Status]],Auxiliar!$B$16:$C$23,2,0)</f>
        <v>7</v>
      </c>
      <c r="K1309" s="47" t="s">
        <v>1138</v>
      </c>
      <c r="L1309" s="48" t="s">
        <v>1144</v>
      </c>
      <c r="M1309" s="22" t="s">
        <v>1145</v>
      </c>
      <c r="N1309" s="53">
        <v>45485</v>
      </c>
      <c r="O1309" s="22">
        <f>INDEX(Auxiliar!$D$5:$F$13,MATCH(Table1[[#This Row],[Tipologia_Testes]],Auxiliar!$B$5:$B$13,0),MATCH(Table1[[#This Row],[Complexidade]],Auxiliar!$D$4:$F$4,0))</f>
        <v>2</v>
      </c>
      <c r="P1309" s="45"/>
      <c r="Q1309" s="132"/>
      <c r="R1309" s="173">
        <v>45261</v>
      </c>
      <c r="S1309" s="173"/>
      <c r="T1309" s="173"/>
      <c r="U1309" s="173"/>
      <c r="V1309" s="173"/>
      <c r="W1309" s="3">
        <f>VLOOKUP(Table1[[#This Row],[Status]],Auxiliar!$B$16:$D$23,3,0)*Table1[[#This Row],[Estimação (horas)]]</f>
        <v>0</v>
      </c>
      <c r="X1309" s="132"/>
    </row>
    <row r="1310" spans="2:24" ht="17.399999999999999" hidden="1" customHeight="1">
      <c r="B1310" s="40" t="s">
        <v>28</v>
      </c>
      <c r="C1310" s="40" t="s">
        <v>28</v>
      </c>
      <c r="D1310" s="40" t="s">
        <v>1240</v>
      </c>
      <c r="E1310" s="40" t="s">
        <v>1226</v>
      </c>
      <c r="F1310" s="40" t="s">
        <v>367</v>
      </c>
      <c r="G1310" s="40" t="s">
        <v>372</v>
      </c>
      <c r="H1310" s="67" t="str">
        <f>Table1[[#This Row],[Tabela]]&amp;Table1[[#This Row],[Campo]]</f>
        <v>lt002_instrumentlns_clltrlzd_clssfctn</v>
      </c>
      <c r="I1310" s="3" t="s">
        <v>30</v>
      </c>
      <c r="J1310" s="47">
        <f>VLOOKUP(Table1[[#This Row],[Status]],Auxiliar!$B$16:$C$23,2,0)</f>
        <v>7</v>
      </c>
      <c r="K1310" s="47" t="s">
        <v>1141</v>
      </c>
      <c r="L1310" s="48" t="s">
        <v>1144</v>
      </c>
      <c r="M1310" s="22" t="s">
        <v>1145</v>
      </c>
      <c r="N1310" s="53">
        <v>45485</v>
      </c>
      <c r="O1310" s="22">
        <f>INDEX(Auxiliar!$D$5:$F$13,MATCH(Table1[[#This Row],[Tipologia_Testes]],Auxiliar!$B$5:$B$13,0),MATCH(Table1[[#This Row],[Complexidade]],Auxiliar!$D$4:$F$4,0))</f>
        <v>0.1</v>
      </c>
      <c r="P1310" s="45"/>
      <c r="Q1310" s="132"/>
      <c r="R1310" s="173">
        <v>45261</v>
      </c>
      <c r="S1310" s="173"/>
      <c r="T1310" s="173"/>
      <c r="U1310" s="173"/>
      <c r="V1310" s="173"/>
      <c r="W1310" s="3">
        <f>VLOOKUP(Table1[[#This Row],[Status]],Auxiliar!$B$16:$D$23,3,0)*Table1[[#This Row],[Estimação (horas)]]</f>
        <v>0</v>
      </c>
      <c r="X1310" s="132"/>
    </row>
    <row r="1311" spans="2:24" ht="34.799999999999997" hidden="1" customHeight="1">
      <c r="B1311" s="42" t="s">
        <v>28</v>
      </c>
      <c r="C1311" s="42" t="s">
        <v>28</v>
      </c>
      <c r="D1311" s="38" t="s">
        <v>377</v>
      </c>
      <c r="E1311" s="119" t="s">
        <v>38</v>
      </c>
      <c r="F1311" s="41" t="s">
        <v>367</v>
      </c>
      <c r="G1311" s="39" t="s">
        <v>373</v>
      </c>
      <c r="H1311" s="68" t="str">
        <f>Table1[[#This Row],[Tabela]]&amp;Table1[[#This Row],[Campo]]</f>
        <v>lt002_instrumentmthd_usd_instrmnt_scp_1</v>
      </c>
      <c r="I1311" s="3" t="s">
        <v>30</v>
      </c>
      <c r="J1311" s="47">
        <f>VLOOKUP(Table1[[#This Row],[Status]],Auxiliar!$B$16:$C$23,2,0)</f>
        <v>7</v>
      </c>
      <c r="K1311" s="47" t="s">
        <v>1137</v>
      </c>
      <c r="L1311" s="48" t="s">
        <v>1144</v>
      </c>
      <c r="M1311" s="22" t="s">
        <v>1145</v>
      </c>
      <c r="N1311" s="53">
        <v>45485</v>
      </c>
      <c r="O1311" s="22">
        <f>INDEX(Auxiliar!$D$5:$F$13,MATCH(Table1[[#This Row],[Tipologia_Testes]],Auxiliar!$B$5:$B$13,0),MATCH(Table1[[#This Row],[Complexidade]],Auxiliar!$D$4:$F$4,0))</f>
        <v>2</v>
      </c>
      <c r="P1311" s="45"/>
      <c r="Q1311" s="132"/>
      <c r="R1311" s="173">
        <v>45261</v>
      </c>
      <c r="S1311" s="173"/>
      <c r="T1311" s="173"/>
      <c r="U1311" s="173"/>
      <c r="V1311" s="173"/>
      <c r="W1311" s="3">
        <f>VLOOKUP(Table1[[#This Row],[Status]],Auxiliar!$B$16:$D$23,3,0)*Table1[[#This Row],[Estimação (horas)]]</f>
        <v>0</v>
      </c>
      <c r="X1311" s="132"/>
    </row>
    <row r="1312" spans="2:24" ht="17.399999999999999" hidden="1" customHeight="1">
      <c r="B1312" s="40" t="s">
        <v>28</v>
      </c>
      <c r="C1312" s="40" t="s">
        <v>28</v>
      </c>
      <c r="D1312" s="40" t="s">
        <v>377</v>
      </c>
      <c r="E1312" s="40" t="s">
        <v>38</v>
      </c>
      <c r="F1312" s="40" t="s">
        <v>367</v>
      </c>
      <c r="G1312" s="40" t="s">
        <v>373</v>
      </c>
      <c r="H1312" s="67" t="str">
        <f>Table1[[#This Row],[Tabela]]&amp;Table1[[#This Row],[Campo]]</f>
        <v>lt002_instrumentmthd_usd_instrmnt_scp_1</v>
      </c>
      <c r="I1312" s="3" t="s">
        <v>30</v>
      </c>
      <c r="J1312" s="47">
        <f>VLOOKUP(Table1[[#This Row],[Status]],Auxiliar!$B$16:$C$23,2,0)</f>
        <v>7</v>
      </c>
      <c r="K1312" s="47" t="s">
        <v>1138</v>
      </c>
      <c r="L1312" s="48" t="s">
        <v>1144</v>
      </c>
      <c r="M1312" s="22" t="s">
        <v>1145</v>
      </c>
      <c r="N1312" s="53">
        <v>45485</v>
      </c>
      <c r="O1312" s="22">
        <f>INDEX(Auxiliar!$D$5:$F$13,MATCH(Table1[[#This Row],[Tipologia_Testes]],Auxiliar!$B$5:$B$13,0),MATCH(Table1[[#This Row],[Complexidade]],Auxiliar!$D$4:$F$4,0))</f>
        <v>2</v>
      </c>
      <c r="P1312" s="45"/>
      <c r="Q1312" s="132"/>
      <c r="R1312" s="173">
        <v>45261</v>
      </c>
      <c r="S1312" s="173"/>
      <c r="T1312" s="173"/>
      <c r="U1312" s="173"/>
      <c r="V1312" s="173"/>
      <c r="W1312" s="3">
        <f>VLOOKUP(Table1[[#This Row],[Status]],Auxiliar!$B$16:$D$23,3,0)*Table1[[#This Row],[Estimação (horas)]]</f>
        <v>0</v>
      </c>
      <c r="X1312" s="132"/>
    </row>
    <row r="1313" spans="2:24" ht="17.399999999999999" hidden="1" customHeight="1">
      <c r="B1313" s="40" t="s">
        <v>28</v>
      </c>
      <c r="C1313" s="40" t="s">
        <v>28</v>
      </c>
      <c r="D1313" s="40" t="s">
        <v>377</v>
      </c>
      <c r="E1313" s="40" t="s">
        <v>38</v>
      </c>
      <c r="F1313" s="40" t="s">
        <v>367</v>
      </c>
      <c r="G1313" s="40" t="s">
        <v>373</v>
      </c>
      <c r="H1313" s="67" t="str">
        <f>Table1[[#This Row],[Tabela]]&amp;Table1[[#This Row],[Campo]]</f>
        <v>lt002_instrumentmthd_usd_instrmnt_scp_1</v>
      </c>
      <c r="I1313" s="3" t="s">
        <v>30</v>
      </c>
      <c r="J1313" s="47">
        <f>VLOOKUP(Table1[[#This Row],[Status]],Auxiliar!$B$16:$C$23,2,0)</f>
        <v>7</v>
      </c>
      <c r="K1313" s="47" t="s">
        <v>1141</v>
      </c>
      <c r="L1313" s="48" t="s">
        <v>1144</v>
      </c>
      <c r="M1313" s="22" t="s">
        <v>1145</v>
      </c>
      <c r="N1313" s="53">
        <v>45485</v>
      </c>
      <c r="O1313" s="22">
        <f>INDEX(Auxiliar!$D$5:$F$13,MATCH(Table1[[#This Row],[Tipologia_Testes]],Auxiliar!$B$5:$B$13,0),MATCH(Table1[[#This Row],[Complexidade]],Auxiliar!$D$4:$F$4,0))</f>
        <v>0.1</v>
      </c>
      <c r="P1313" s="45"/>
      <c r="Q1313" s="132"/>
      <c r="R1313" s="173">
        <v>45261</v>
      </c>
      <c r="S1313" s="173"/>
      <c r="T1313" s="173"/>
      <c r="U1313" s="173"/>
      <c r="V1313" s="173"/>
      <c r="W1313" s="3">
        <f>VLOOKUP(Table1[[#This Row],[Status]],Auxiliar!$B$16:$D$23,3,0)*Table1[[#This Row],[Estimação (horas)]]</f>
        <v>0</v>
      </c>
      <c r="X1313" s="132"/>
    </row>
    <row r="1314" spans="2:24" ht="34.799999999999997" hidden="1" customHeight="1">
      <c r="B1314" s="42" t="s">
        <v>28</v>
      </c>
      <c r="C1314" s="42" t="s">
        <v>28</v>
      </c>
      <c r="D1314" s="38" t="s">
        <v>377</v>
      </c>
      <c r="E1314" s="119" t="s">
        <v>38</v>
      </c>
      <c r="F1314" s="41" t="s">
        <v>367</v>
      </c>
      <c r="G1314" s="39" t="s">
        <v>374</v>
      </c>
      <c r="H1314" s="68" t="str">
        <f>Table1[[#This Row],[Tabela]]&amp;Table1[[#This Row],[Campo]]</f>
        <v>lt002_instrumentmthd_usd_instrmnt_scp_2</v>
      </c>
      <c r="I1314" s="3" t="s">
        <v>30</v>
      </c>
      <c r="J1314" s="47">
        <f>VLOOKUP(Table1[[#This Row],[Status]],Auxiliar!$B$16:$C$23,2,0)</f>
        <v>7</v>
      </c>
      <c r="K1314" s="47" t="s">
        <v>1137</v>
      </c>
      <c r="L1314" s="48" t="s">
        <v>1144</v>
      </c>
      <c r="M1314" s="22" t="s">
        <v>1145</v>
      </c>
      <c r="N1314" s="53">
        <v>45485</v>
      </c>
      <c r="O1314" s="22">
        <f>INDEX(Auxiliar!$D$5:$F$13,MATCH(Table1[[#This Row],[Tipologia_Testes]],Auxiliar!$B$5:$B$13,0),MATCH(Table1[[#This Row],[Complexidade]],Auxiliar!$D$4:$F$4,0))</f>
        <v>2</v>
      </c>
      <c r="P1314" s="45"/>
      <c r="Q1314" s="132"/>
      <c r="R1314" s="173">
        <v>45261</v>
      </c>
      <c r="S1314" s="173"/>
      <c r="T1314" s="173"/>
      <c r="U1314" s="173"/>
      <c r="V1314" s="173"/>
      <c r="W1314" s="3">
        <f>VLOOKUP(Table1[[#This Row],[Status]],Auxiliar!$B$16:$D$23,3,0)*Table1[[#This Row],[Estimação (horas)]]</f>
        <v>0</v>
      </c>
      <c r="X1314" s="132"/>
    </row>
    <row r="1315" spans="2:24" ht="17.399999999999999" hidden="1" customHeight="1">
      <c r="B1315" s="40" t="s">
        <v>28</v>
      </c>
      <c r="C1315" s="40" t="s">
        <v>28</v>
      </c>
      <c r="D1315" s="40" t="s">
        <v>377</v>
      </c>
      <c r="E1315" s="40" t="s">
        <v>38</v>
      </c>
      <c r="F1315" s="40" t="s">
        <v>367</v>
      </c>
      <c r="G1315" s="40" t="s">
        <v>374</v>
      </c>
      <c r="H1315" s="67" t="str">
        <f>Table1[[#This Row],[Tabela]]&amp;Table1[[#This Row],[Campo]]</f>
        <v>lt002_instrumentmthd_usd_instrmnt_scp_2</v>
      </c>
      <c r="I1315" s="3" t="s">
        <v>30</v>
      </c>
      <c r="J1315" s="47">
        <f>VLOOKUP(Table1[[#This Row],[Status]],Auxiliar!$B$16:$C$23,2,0)</f>
        <v>7</v>
      </c>
      <c r="K1315" s="47" t="s">
        <v>1138</v>
      </c>
      <c r="L1315" s="48" t="s">
        <v>1144</v>
      </c>
      <c r="M1315" s="22" t="s">
        <v>1145</v>
      </c>
      <c r="N1315" s="53">
        <v>45485</v>
      </c>
      <c r="O1315" s="22">
        <f>INDEX(Auxiliar!$D$5:$F$13,MATCH(Table1[[#This Row],[Tipologia_Testes]],Auxiliar!$B$5:$B$13,0),MATCH(Table1[[#This Row],[Complexidade]],Auxiliar!$D$4:$F$4,0))</f>
        <v>2</v>
      </c>
      <c r="P1315" s="49"/>
      <c r="Q1315" s="132"/>
      <c r="R1315" s="173">
        <v>45261</v>
      </c>
      <c r="S1315" s="173"/>
      <c r="T1315" s="173"/>
      <c r="U1315" s="173"/>
      <c r="V1315" s="173"/>
      <c r="W1315" s="3">
        <f>VLOOKUP(Table1[[#This Row],[Status]],Auxiliar!$B$16:$D$23,3,0)*Table1[[#This Row],[Estimação (horas)]]</f>
        <v>0</v>
      </c>
      <c r="X1315" s="132"/>
    </row>
    <row r="1316" spans="2:24" ht="17.399999999999999" hidden="1" customHeight="1">
      <c r="B1316" s="40" t="s">
        <v>28</v>
      </c>
      <c r="C1316" s="40" t="s">
        <v>28</v>
      </c>
      <c r="D1316" s="40" t="s">
        <v>377</v>
      </c>
      <c r="E1316" s="40" t="s">
        <v>38</v>
      </c>
      <c r="F1316" s="40" t="s">
        <v>367</v>
      </c>
      <c r="G1316" s="40" t="s">
        <v>374</v>
      </c>
      <c r="H1316" s="67" t="str">
        <f>Table1[[#This Row],[Tabela]]&amp;Table1[[#This Row],[Campo]]</f>
        <v>lt002_instrumentmthd_usd_instrmnt_scp_2</v>
      </c>
      <c r="I1316" s="3" t="s">
        <v>30</v>
      </c>
      <c r="J1316" s="47">
        <f>VLOOKUP(Table1[[#This Row],[Status]],Auxiliar!$B$16:$C$23,2,0)</f>
        <v>7</v>
      </c>
      <c r="K1316" s="47" t="s">
        <v>1141</v>
      </c>
      <c r="L1316" s="48" t="s">
        <v>1144</v>
      </c>
      <c r="M1316" s="22" t="s">
        <v>1145</v>
      </c>
      <c r="N1316" s="53">
        <v>45485</v>
      </c>
      <c r="O1316" s="22">
        <f>INDEX(Auxiliar!$D$5:$F$13,MATCH(Table1[[#This Row],[Tipologia_Testes]],Auxiliar!$B$5:$B$13,0),MATCH(Table1[[#This Row],[Complexidade]],Auxiliar!$D$4:$F$4,0))</f>
        <v>0.1</v>
      </c>
      <c r="P1316" s="49"/>
      <c r="Q1316" s="132"/>
      <c r="R1316" s="173">
        <v>45261</v>
      </c>
      <c r="S1316" s="173"/>
      <c r="T1316" s="173"/>
      <c r="U1316" s="173"/>
      <c r="V1316" s="173"/>
      <c r="W1316" s="3">
        <f>VLOOKUP(Table1[[#This Row],[Status]],Auxiliar!$B$16:$D$23,3,0)*Table1[[#This Row],[Estimação (horas)]]</f>
        <v>0</v>
      </c>
      <c r="X1316" s="132"/>
    </row>
    <row r="1317" spans="2:24" ht="34.799999999999997" hidden="1" customHeight="1">
      <c r="B1317" s="40" t="s">
        <v>28</v>
      </c>
      <c r="C1317" s="40" t="s">
        <v>28</v>
      </c>
      <c r="D1317" s="38" t="s">
        <v>377</v>
      </c>
      <c r="E1317" s="119" t="s">
        <v>38</v>
      </c>
      <c r="F1317" s="41" t="s">
        <v>367</v>
      </c>
      <c r="G1317" s="39" t="s">
        <v>375</v>
      </c>
      <c r="H1317" s="68" t="str">
        <f>Table1[[#This Row],[Tabela]]&amp;Table1[[#This Row],[Campo]]</f>
        <v>lt002_instrumentmthd_usd_instrmnt_scp_3</v>
      </c>
      <c r="I1317" s="3" t="s">
        <v>30</v>
      </c>
      <c r="J1317" s="47">
        <f>VLOOKUP(Table1[[#This Row],[Status]],Auxiliar!$B$16:$C$23,2,0)</f>
        <v>7</v>
      </c>
      <c r="K1317" s="47" t="s">
        <v>1137</v>
      </c>
      <c r="L1317" s="48" t="s">
        <v>1144</v>
      </c>
      <c r="M1317" s="22" t="s">
        <v>1145</v>
      </c>
      <c r="N1317" s="53">
        <v>45485</v>
      </c>
      <c r="O1317" s="22">
        <f>INDEX(Auxiliar!$D$5:$F$13,MATCH(Table1[[#This Row],[Tipologia_Testes]],Auxiliar!$B$5:$B$13,0),MATCH(Table1[[#This Row],[Complexidade]],Auxiliar!$D$4:$F$4,0))</f>
        <v>2</v>
      </c>
      <c r="P1317" s="49"/>
      <c r="Q1317" s="132"/>
      <c r="R1317" s="173">
        <v>45261</v>
      </c>
      <c r="S1317" s="173"/>
      <c r="T1317" s="173"/>
      <c r="U1317" s="173"/>
      <c r="V1317" s="173"/>
      <c r="W1317" s="3">
        <f>VLOOKUP(Table1[[#This Row],[Status]],Auxiliar!$B$16:$D$23,3,0)*Table1[[#This Row],[Estimação (horas)]]</f>
        <v>0</v>
      </c>
      <c r="X1317" s="132"/>
    </row>
    <row r="1318" spans="2:24" ht="17.399999999999999" hidden="1" customHeight="1">
      <c r="B1318" s="40" t="s">
        <v>28</v>
      </c>
      <c r="C1318" s="40" t="s">
        <v>28</v>
      </c>
      <c r="D1318" s="40" t="s">
        <v>377</v>
      </c>
      <c r="E1318" s="40" t="s">
        <v>38</v>
      </c>
      <c r="F1318" s="40" t="s">
        <v>367</v>
      </c>
      <c r="G1318" s="40" t="s">
        <v>375</v>
      </c>
      <c r="H1318" s="67" t="str">
        <f>Table1[[#This Row],[Tabela]]&amp;Table1[[#This Row],[Campo]]</f>
        <v>lt002_instrumentmthd_usd_instrmnt_scp_3</v>
      </c>
      <c r="I1318" s="3" t="s">
        <v>30</v>
      </c>
      <c r="J1318" s="47">
        <f>VLOOKUP(Table1[[#This Row],[Status]],Auxiliar!$B$16:$C$23,2,0)</f>
        <v>7</v>
      </c>
      <c r="K1318" s="47" t="s">
        <v>1138</v>
      </c>
      <c r="L1318" s="48" t="s">
        <v>1144</v>
      </c>
      <c r="M1318" s="22" t="s">
        <v>1145</v>
      </c>
      <c r="N1318" s="53">
        <v>45485</v>
      </c>
      <c r="O1318" s="22">
        <f>INDEX(Auxiliar!$D$5:$F$13,MATCH(Table1[[#This Row],[Tipologia_Testes]],Auxiliar!$B$5:$B$13,0),MATCH(Table1[[#This Row],[Complexidade]],Auxiliar!$D$4:$F$4,0))</f>
        <v>2</v>
      </c>
      <c r="P1318" s="49"/>
      <c r="Q1318" s="132"/>
      <c r="R1318" s="173">
        <v>45261</v>
      </c>
      <c r="S1318" s="173"/>
      <c r="T1318" s="173"/>
      <c r="U1318" s="173"/>
      <c r="V1318" s="173"/>
      <c r="W1318" s="3">
        <f>VLOOKUP(Table1[[#This Row],[Status]],Auxiliar!$B$16:$D$23,3,0)*Table1[[#This Row],[Estimação (horas)]]</f>
        <v>0</v>
      </c>
      <c r="X1318" s="132"/>
    </row>
    <row r="1319" spans="2:24" ht="17.399999999999999" hidden="1" customHeight="1">
      <c r="B1319" s="40" t="s">
        <v>28</v>
      </c>
      <c r="C1319" s="40" t="s">
        <v>28</v>
      </c>
      <c r="D1319" s="40" t="s">
        <v>377</v>
      </c>
      <c r="E1319" s="40" t="s">
        <v>38</v>
      </c>
      <c r="F1319" s="40" t="s">
        <v>367</v>
      </c>
      <c r="G1319" s="40" t="s">
        <v>375</v>
      </c>
      <c r="H1319" s="67" t="str">
        <f>Table1[[#This Row],[Tabela]]&amp;Table1[[#This Row],[Campo]]</f>
        <v>lt002_instrumentmthd_usd_instrmnt_scp_3</v>
      </c>
      <c r="I1319" s="3" t="s">
        <v>30</v>
      </c>
      <c r="J1319" s="47">
        <f>VLOOKUP(Table1[[#This Row],[Status]],Auxiliar!$B$16:$C$23,2,0)</f>
        <v>7</v>
      </c>
      <c r="K1319" s="47" t="s">
        <v>1141</v>
      </c>
      <c r="L1319" s="48" t="s">
        <v>1144</v>
      </c>
      <c r="M1319" s="22" t="s">
        <v>1145</v>
      </c>
      <c r="N1319" s="53">
        <v>45485</v>
      </c>
      <c r="O1319" s="22">
        <f>INDEX(Auxiliar!$D$5:$F$13,MATCH(Table1[[#This Row],[Tipologia_Testes]],Auxiliar!$B$5:$B$13,0),MATCH(Table1[[#This Row],[Complexidade]],Auxiliar!$D$4:$F$4,0))</f>
        <v>0.1</v>
      </c>
      <c r="P1319" s="49"/>
      <c r="Q1319" s="132"/>
      <c r="R1319" s="173">
        <v>45261</v>
      </c>
      <c r="S1319" s="173"/>
      <c r="T1319" s="173"/>
      <c r="U1319" s="173"/>
      <c r="V1319" s="173"/>
      <c r="W1319" s="3">
        <f>VLOOKUP(Table1[[#This Row],[Status]],Auxiliar!$B$16:$D$23,3,0)*Table1[[#This Row],[Estimação (horas)]]</f>
        <v>0</v>
      </c>
      <c r="X1319" s="132"/>
    </row>
    <row r="1320" spans="2:24" ht="17.399999999999999" hidden="1" customHeight="1">
      <c r="B1320" s="40" t="s">
        <v>28</v>
      </c>
      <c r="C1320" s="40" t="s">
        <v>28</v>
      </c>
      <c r="D1320" s="41" t="s">
        <v>1246</v>
      </c>
      <c r="E1320" s="43" t="s">
        <v>1247</v>
      </c>
      <c r="F1320" s="41" t="s">
        <v>367</v>
      </c>
      <c r="G1320" s="39" t="s">
        <v>376</v>
      </c>
      <c r="H1320" s="68" t="str">
        <f>Table1[[#This Row],[Tabela]]&amp;Table1[[#This Row],[Campo]]</f>
        <v>lt002_instrumentsstnbl_ctgry_txnmy</v>
      </c>
      <c r="I1320" s="3" t="s">
        <v>30</v>
      </c>
      <c r="J1320" s="47">
        <f>VLOOKUP(Table1[[#This Row],[Status]],Auxiliar!$B$16:$C$23,2,0)</f>
        <v>7</v>
      </c>
      <c r="K1320" s="47" t="s">
        <v>1137</v>
      </c>
      <c r="L1320" s="48" t="s">
        <v>1144</v>
      </c>
      <c r="M1320" s="22" t="s">
        <v>1145</v>
      </c>
      <c r="N1320" s="53">
        <v>45485</v>
      </c>
      <c r="O1320" s="22">
        <f>INDEX(Auxiliar!$D$5:$F$13,MATCH(Table1[[#This Row],[Tipologia_Testes]],Auxiliar!$B$5:$B$13,0),MATCH(Table1[[#This Row],[Complexidade]],Auxiliar!$D$4:$F$4,0))</f>
        <v>2</v>
      </c>
      <c r="P1320" s="45"/>
      <c r="Q1320" s="132"/>
      <c r="R1320" s="173">
        <v>45261</v>
      </c>
      <c r="S1320" s="173"/>
      <c r="T1320" s="173"/>
      <c r="U1320" s="173"/>
      <c r="V1320" s="173"/>
      <c r="W1320" s="3">
        <f>VLOOKUP(Table1[[#This Row],[Status]],Auxiliar!$B$16:$D$23,3,0)*Table1[[#This Row],[Estimação (horas)]]</f>
        <v>0</v>
      </c>
      <c r="X1320" s="132"/>
    </row>
    <row r="1321" spans="2:24" ht="17.399999999999999" hidden="1" customHeight="1">
      <c r="B1321" s="40" t="s">
        <v>28</v>
      </c>
      <c r="C1321" s="40" t="s">
        <v>28</v>
      </c>
      <c r="D1321" s="40" t="s">
        <v>1246</v>
      </c>
      <c r="E1321" s="40" t="s">
        <v>1247</v>
      </c>
      <c r="F1321" s="40" t="s">
        <v>367</v>
      </c>
      <c r="G1321" s="40" t="s">
        <v>376</v>
      </c>
      <c r="H1321" s="67" t="str">
        <f>Table1[[#This Row],[Tabela]]&amp;Table1[[#This Row],[Campo]]</f>
        <v>lt002_instrumentsstnbl_ctgry_txnmy</v>
      </c>
      <c r="I1321" s="3" t="s">
        <v>30</v>
      </c>
      <c r="J1321" s="47">
        <f>VLOOKUP(Table1[[#This Row],[Status]],Auxiliar!$B$16:$C$23,2,0)</f>
        <v>7</v>
      </c>
      <c r="K1321" s="47" t="s">
        <v>1138</v>
      </c>
      <c r="L1321" s="48" t="s">
        <v>1144</v>
      </c>
      <c r="M1321" s="22" t="s">
        <v>1145</v>
      </c>
      <c r="N1321" s="53">
        <v>45485</v>
      </c>
      <c r="O1321" s="22">
        <f>INDEX(Auxiliar!$D$5:$F$13,MATCH(Table1[[#This Row],[Tipologia_Testes]],Auxiliar!$B$5:$B$13,0),MATCH(Table1[[#This Row],[Complexidade]],Auxiliar!$D$4:$F$4,0))</f>
        <v>2</v>
      </c>
      <c r="P1321" s="45"/>
      <c r="Q1321" s="132"/>
      <c r="R1321" s="173">
        <v>45261</v>
      </c>
      <c r="S1321" s="173"/>
      <c r="T1321" s="173"/>
      <c r="U1321" s="173"/>
      <c r="V1321" s="173"/>
      <c r="W1321" s="3">
        <f>VLOOKUP(Table1[[#This Row],[Status]],Auxiliar!$B$16:$D$23,3,0)*Table1[[#This Row],[Estimação (horas)]]</f>
        <v>0</v>
      </c>
      <c r="X1321" s="132"/>
    </row>
    <row r="1322" spans="2:24" ht="17.399999999999999" hidden="1" customHeight="1">
      <c r="B1322" s="40" t="s">
        <v>28</v>
      </c>
      <c r="C1322" s="40" t="s">
        <v>28</v>
      </c>
      <c r="D1322" s="40" t="s">
        <v>1246</v>
      </c>
      <c r="E1322" s="40" t="s">
        <v>1247</v>
      </c>
      <c r="F1322" s="40" t="s">
        <v>367</v>
      </c>
      <c r="G1322" s="40" t="s">
        <v>376</v>
      </c>
      <c r="H1322" s="67" t="str">
        <f>Table1[[#This Row],[Tabela]]&amp;Table1[[#This Row],[Campo]]</f>
        <v>lt002_instrumentsstnbl_ctgry_txnmy</v>
      </c>
      <c r="I1322" s="3" t="s">
        <v>30</v>
      </c>
      <c r="J1322" s="47">
        <f>VLOOKUP(Table1[[#This Row],[Status]],Auxiliar!$B$16:$C$23,2,0)</f>
        <v>7</v>
      </c>
      <c r="K1322" s="47" t="s">
        <v>1141</v>
      </c>
      <c r="L1322" s="48" t="s">
        <v>1144</v>
      </c>
      <c r="M1322" s="22" t="s">
        <v>1145</v>
      </c>
      <c r="N1322" s="53">
        <v>45485</v>
      </c>
      <c r="O1322" s="22">
        <f>INDEX(Auxiliar!$D$5:$F$13,MATCH(Table1[[#This Row],[Tipologia_Testes]],Auxiliar!$B$5:$B$13,0),MATCH(Table1[[#This Row],[Complexidade]],Auxiliar!$D$4:$F$4,0))</f>
        <v>0.1</v>
      </c>
      <c r="P1322" s="45"/>
      <c r="Q1322" s="132"/>
      <c r="R1322" s="173">
        <v>45261</v>
      </c>
      <c r="S1322" s="173"/>
      <c r="T1322" s="173"/>
      <c r="U1322" s="173"/>
      <c r="V1322" s="173"/>
      <c r="W1322" s="3">
        <f>VLOOKUP(Table1[[#This Row],[Status]],Auxiliar!$B$16:$D$23,3,0)*Table1[[#This Row],[Estimação (horas)]]</f>
        <v>0</v>
      </c>
      <c r="X1322" s="132"/>
    </row>
    <row r="1323" spans="2:24" ht="17.399999999999999" hidden="1" customHeight="1">
      <c r="B1323" s="40" t="s">
        <v>28</v>
      </c>
      <c r="C1323" s="40" t="s">
        <v>28</v>
      </c>
      <c r="D1323" s="3" t="s">
        <v>38</v>
      </c>
      <c r="E1323" s="41" t="s">
        <v>38</v>
      </c>
      <c r="F1323" s="41" t="s">
        <v>377</v>
      </c>
      <c r="G1323" s="41" t="s">
        <v>378</v>
      </c>
      <c r="H1323" s="68" t="str">
        <f>Table1[[#This Row],[Tabela]]&amp;Table1[[#This Row],[Campo]]</f>
        <v>lt825_mthd_usd_instrmntambito</v>
      </c>
      <c r="I1323" s="3" t="s">
        <v>30</v>
      </c>
      <c r="J1323" s="47">
        <f>VLOOKUP(Table1[[#This Row],[Status]],Auxiliar!$B$16:$C$23,2,0)</f>
        <v>7</v>
      </c>
      <c r="K1323" s="47" t="s">
        <v>1137</v>
      </c>
      <c r="L1323" s="48" t="s">
        <v>1144</v>
      </c>
      <c r="M1323" s="22" t="s">
        <v>1145</v>
      </c>
      <c r="N1323" s="53">
        <v>45485</v>
      </c>
      <c r="O1323" s="22">
        <f>INDEX(Auxiliar!$D$5:$F$13,MATCH(Table1[[#This Row],[Tipologia_Testes]],Auxiliar!$B$5:$B$13,0),MATCH(Table1[[#This Row],[Complexidade]],Auxiliar!$D$4:$F$4,0))</f>
        <v>2</v>
      </c>
      <c r="P1323" s="45"/>
      <c r="Q1323" s="132"/>
      <c r="R1323" s="173">
        <v>45261</v>
      </c>
      <c r="S1323" s="173"/>
      <c r="T1323" s="173"/>
      <c r="U1323" s="173"/>
      <c r="V1323" s="173"/>
      <c r="W1323" s="3">
        <f>VLOOKUP(Table1[[#This Row],[Status]],Auxiliar!$B$16:$D$23,3,0)*Table1[[#This Row],[Estimação (horas)]]</f>
        <v>0</v>
      </c>
      <c r="X1323" s="132"/>
    </row>
    <row r="1324" spans="2:24" ht="17.399999999999999" hidden="1" customHeight="1">
      <c r="B1324" s="40" t="s">
        <v>28</v>
      </c>
      <c r="C1324" s="40" t="s">
        <v>28</v>
      </c>
      <c r="D1324" s="3" t="s">
        <v>38</v>
      </c>
      <c r="E1324" s="40" t="s">
        <v>38</v>
      </c>
      <c r="F1324" s="40" t="s">
        <v>377</v>
      </c>
      <c r="G1324" s="40" t="s">
        <v>378</v>
      </c>
      <c r="H1324" s="67" t="str">
        <f>Table1[[#This Row],[Tabela]]&amp;Table1[[#This Row],[Campo]]</f>
        <v>lt825_mthd_usd_instrmntambito</v>
      </c>
      <c r="I1324" s="3" t="s">
        <v>30</v>
      </c>
      <c r="J1324" s="47">
        <f>VLOOKUP(Table1[[#This Row],[Status]],Auxiliar!$B$16:$C$23,2,0)</f>
        <v>7</v>
      </c>
      <c r="K1324" s="47" t="s">
        <v>1138</v>
      </c>
      <c r="L1324" s="48" t="s">
        <v>1144</v>
      </c>
      <c r="M1324" s="22" t="s">
        <v>1145</v>
      </c>
      <c r="N1324" s="53">
        <v>45485</v>
      </c>
      <c r="O1324" s="22">
        <f>INDEX(Auxiliar!$D$5:$F$13,MATCH(Table1[[#This Row],[Tipologia_Testes]],Auxiliar!$B$5:$B$13,0),MATCH(Table1[[#This Row],[Complexidade]],Auxiliar!$D$4:$F$4,0))</f>
        <v>2</v>
      </c>
      <c r="P1324" s="45"/>
      <c r="Q1324" s="132"/>
      <c r="R1324" s="173">
        <v>45261</v>
      </c>
      <c r="S1324" s="173"/>
      <c r="T1324" s="173"/>
      <c r="U1324" s="173"/>
      <c r="V1324" s="173"/>
      <c r="W1324" s="3">
        <f>VLOOKUP(Table1[[#This Row],[Status]],Auxiliar!$B$16:$D$23,3,0)*Table1[[#This Row],[Estimação (horas)]]</f>
        <v>0</v>
      </c>
      <c r="X1324" s="132"/>
    </row>
    <row r="1325" spans="2:24" ht="17.399999999999999" hidden="1" customHeight="1">
      <c r="B1325" s="40" t="s">
        <v>28</v>
      </c>
      <c r="C1325" s="40" t="s">
        <v>28</v>
      </c>
      <c r="D1325" s="3" t="s">
        <v>38</v>
      </c>
      <c r="E1325" s="40" t="s">
        <v>38</v>
      </c>
      <c r="F1325" s="40" t="s">
        <v>377</v>
      </c>
      <c r="G1325" s="40" t="s">
        <v>378</v>
      </c>
      <c r="H1325" s="67" t="str">
        <f>Table1[[#This Row],[Tabela]]&amp;Table1[[#This Row],[Campo]]</f>
        <v>lt825_mthd_usd_instrmntambito</v>
      </c>
      <c r="I1325" s="3" t="s">
        <v>30</v>
      </c>
      <c r="J1325" s="47">
        <f>VLOOKUP(Table1[[#This Row],[Status]],Auxiliar!$B$16:$C$23,2,0)</f>
        <v>7</v>
      </c>
      <c r="K1325" s="47" t="s">
        <v>1141</v>
      </c>
      <c r="L1325" s="48" t="s">
        <v>1144</v>
      </c>
      <c r="M1325" s="22" t="s">
        <v>1145</v>
      </c>
      <c r="N1325" s="53">
        <v>45485</v>
      </c>
      <c r="O1325" s="22">
        <f>INDEX(Auxiliar!$D$5:$F$13,MATCH(Table1[[#This Row],[Tipologia_Testes]],Auxiliar!$B$5:$B$13,0),MATCH(Table1[[#This Row],[Complexidade]],Auxiliar!$D$4:$F$4,0))</f>
        <v>0.1</v>
      </c>
      <c r="P1325" s="45"/>
      <c r="Q1325" s="132"/>
      <c r="R1325" s="173">
        <v>45261</v>
      </c>
      <c r="S1325" s="173"/>
      <c r="T1325" s="173"/>
      <c r="U1325" s="173"/>
      <c r="V1325" s="173"/>
      <c r="W1325" s="3">
        <f>VLOOKUP(Table1[[#This Row],[Status]],Auxiliar!$B$16:$D$23,3,0)*Table1[[#This Row],[Estimação (horas)]]</f>
        <v>0</v>
      </c>
      <c r="X1325" s="132"/>
    </row>
    <row r="1326" spans="2:24" ht="17.399999999999999" hidden="1" customHeight="1">
      <c r="B1326" s="40" t="s">
        <v>28</v>
      </c>
      <c r="C1326" s="40" t="s">
        <v>28</v>
      </c>
      <c r="D1326" s="3" t="s">
        <v>38</v>
      </c>
      <c r="E1326" s="41" t="s">
        <v>38</v>
      </c>
      <c r="F1326" s="41" t="s">
        <v>377</v>
      </c>
      <c r="G1326" s="41" t="s">
        <v>73</v>
      </c>
      <c r="H1326" s="68" t="str">
        <f>Table1[[#This Row],[Tabela]]&amp;Table1[[#This Row],[Campo]]</f>
        <v>lt825_mthd_usd_instrmntref_date</v>
      </c>
      <c r="I1326" s="3" t="s">
        <v>30</v>
      </c>
      <c r="J1326" s="47">
        <f>VLOOKUP(Table1[[#This Row],[Status]],Auxiliar!$B$16:$C$23,2,0)</f>
        <v>7</v>
      </c>
      <c r="K1326" s="47" t="s">
        <v>1137</v>
      </c>
      <c r="L1326" s="48" t="s">
        <v>1144</v>
      </c>
      <c r="M1326" s="22" t="s">
        <v>1145</v>
      </c>
      <c r="N1326" s="53">
        <v>45485</v>
      </c>
      <c r="O1326" s="22">
        <f>INDEX(Auxiliar!$D$5:$F$13,MATCH(Table1[[#This Row],[Tipologia_Testes]],Auxiliar!$B$5:$B$13,0),MATCH(Table1[[#This Row],[Complexidade]],Auxiliar!$D$4:$F$4,0))</f>
        <v>2</v>
      </c>
      <c r="P1326" s="45"/>
      <c r="Q1326" s="132"/>
      <c r="R1326" s="173">
        <v>45261</v>
      </c>
      <c r="S1326" s="173"/>
      <c r="T1326" s="173"/>
      <c r="U1326" s="173"/>
      <c r="V1326" s="173"/>
      <c r="W1326" s="3">
        <f>VLOOKUP(Table1[[#This Row],[Status]],Auxiliar!$B$16:$D$23,3,0)*Table1[[#This Row],[Estimação (horas)]]</f>
        <v>0</v>
      </c>
      <c r="X1326" s="132"/>
    </row>
    <row r="1327" spans="2:24" ht="17.399999999999999" hidden="1" customHeight="1">
      <c r="B1327" s="40" t="s">
        <v>28</v>
      </c>
      <c r="C1327" s="40" t="s">
        <v>28</v>
      </c>
      <c r="D1327" s="3" t="s">
        <v>38</v>
      </c>
      <c r="E1327" s="40" t="s">
        <v>38</v>
      </c>
      <c r="F1327" s="40" t="s">
        <v>377</v>
      </c>
      <c r="G1327" s="40" t="s">
        <v>73</v>
      </c>
      <c r="H1327" s="67" t="str">
        <f>Table1[[#This Row],[Tabela]]&amp;Table1[[#This Row],[Campo]]</f>
        <v>lt825_mthd_usd_instrmntref_date</v>
      </c>
      <c r="I1327" s="3" t="s">
        <v>30</v>
      </c>
      <c r="J1327" s="47">
        <f>VLOOKUP(Table1[[#This Row],[Status]],Auxiliar!$B$16:$C$23,2,0)</f>
        <v>7</v>
      </c>
      <c r="K1327" s="47" t="s">
        <v>1138</v>
      </c>
      <c r="L1327" s="48" t="s">
        <v>1144</v>
      </c>
      <c r="M1327" s="22" t="s">
        <v>1145</v>
      </c>
      <c r="N1327" s="53">
        <v>45485</v>
      </c>
      <c r="O1327" s="22">
        <f>INDEX(Auxiliar!$D$5:$F$13,MATCH(Table1[[#This Row],[Tipologia_Testes]],Auxiliar!$B$5:$B$13,0),MATCH(Table1[[#This Row],[Complexidade]],Auxiliar!$D$4:$F$4,0))</f>
        <v>2</v>
      </c>
      <c r="P1327" s="45"/>
      <c r="Q1327" s="132"/>
      <c r="R1327" s="173">
        <v>45261</v>
      </c>
      <c r="S1327" s="173"/>
      <c r="T1327" s="173"/>
      <c r="U1327" s="173"/>
      <c r="V1327" s="173"/>
      <c r="W1327" s="3">
        <f>VLOOKUP(Table1[[#This Row],[Status]],Auxiliar!$B$16:$D$23,3,0)*Table1[[#This Row],[Estimação (horas)]]</f>
        <v>0</v>
      </c>
      <c r="X1327" s="132"/>
    </row>
    <row r="1328" spans="2:24" ht="17.399999999999999" hidden="1" customHeight="1">
      <c r="B1328" s="40" t="s">
        <v>28</v>
      </c>
      <c r="C1328" s="40" t="s">
        <v>28</v>
      </c>
      <c r="D1328" s="3" t="s">
        <v>38</v>
      </c>
      <c r="E1328" s="40" t="s">
        <v>38</v>
      </c>
      <c r="F1328" s="40" t="s">
        <v>377</v>
      </c>
      <c r="G1328" s="40" t="s">
        <v>73</v>
      </c>
      <c r="H1328" s="67" t="str">
        <f>Table1[[#This Row],[Tabela]]&amp;Table1[[#This Row],[Campo]]</f>
        <v>lt825_mthd_usd_instrmntref_date</v>
      </c>
      <c r="I1328" s="3" t="s">
        <v>30</v>
      </c>
      <c r="J1328" s="47">
        <f>VLOOKUP(Table1[[#This Row],[Status]],Auxiliar!$B$16:$C$23,2,0)</f>
        <v>7</v>
      </c>
      <c r="K1328" s="47" t="s">
        <v>1141</v>
      </c>
      <c r="L1328" s="48" t="s">
        <v>1144</v>
      </c>
      <c r="M1328" s="22" t="s">
        <v>1145</v>
      </c>
      <c r="N1328" s="53">
        <v>45485</v>
      </c>
      <c r="O1328" s="22">
        <f>INDEX(Auxiliar!$D$5:$F$13,MATCH(Table1[[#This Row],[Tipologia_Testes]],Auxiliar!$B$5:$B$13,0),MATCH(Table1[[#This Row],[Complexidade]],Auxiliar!$D$4:$F$4,0))</f>
        <v>0.1</v>
      </c>
      <c r="P1328" s="45"/>
      <c r="Q1328" s="132"/>
      <c r="R1328" s="173">
        <v>45261</v>
      </c>
      <c r="S1328" s="173"/>
      <c r="T1328" s="173"/>
      <c r="U1328" s="173"/>
      <c r="V1328" s="173"/>
      <c r="W1328" s="3">
        <f>VLOOKUP(Table1[[#This Row],[Status]],Auxiliar!$B$16:$D$23,3,0)*Table1[[#This Row],[Estimação (horas)]]</f>
        <v>0</v>
      </c>
      <c r="X1328" s="132"/>
    </row>
    <row r="1329" spans="2:24" ht="17.399999999999999" hidden="1" customHeight="1">
      <c r="B1329" s="40" t="s">
        <v>28</v>
      </c>
      <c r="C1329" s="40" t="s">
        <v>28</v>
      </c>
      <c r="D1329" s="3" t="s">
        <v>38</v>
      </c>
      <c r="E1329" s="41" t="s">
        <v>38</v>
      </c>
      <c r="F1329" s="41" t="s">
        <v>377</v>
      </c>
      <c r="G1329" s="41" t="s">
        <v>322</v>
      </c>
      <c r="H1329" s="68" t="str">
        <f>Table1[[#This Row],[Tabela]]&amp;Table1[[#This Row],[Campo]]</f>
        <v>lt825_mthd_usd_instrmntordem</v>
      </c>
      <c r="I1329" s="3" t="s">
        <v>30</v>
      </c>
      <c r="J1329" s="47">
        <f>VLOOKUP(Table1[[#This Row],[Status]],Auxiliar!$B$16:$C$23,2,0)</f>
        <v>7</v>
      </c>
      <c r="K1329" s="47" t="s">
        <v>1137</v>
      </c>
      <c r="L1329" s="48" t="s">
        <v>1144</v>
      </c>
      <c r="M1329" s="22" t="s">
        <v>1145</v>
      </c>
      <c r="N1329" s="53">
        <v>45485</v>
      </c>
      <c r="O1329" s="22">
        <f>INDEX(Auxiliar!$D$5:$F$13,MATCH(Table1[[#This Row],[Tipologia_Testes]],Auxiliar!$B$5:$B$13,0),MATCH(Table1[[#This Row],[Complexidade]],Auxiliar!$D$4:$F$4,0))</f>
        <v>2</v>
      </c>
      <c r="P1329" s="45"/>
      <c r="Q1329" s="132"/>
      <c r="R1329" s="173">
        <v>45261</v>
      </c>
      <c r="S1329" s="173"/>
      <c r="T1329" s="173"/>
      <c r="U1329" s="173"/>
      <c r="V1329" s="173"/>
      <c r="W1329" s="3">
        <f>VLOOKUP(Table1[[#This Row],[Status]],Auxiliar!$B$16:$D$23,3,0)*Table1[[#This Row],[Estimação (horas)]]</f>
        <v>0</v>
      </c>
      <c r="X1329" s="132"/>
    </row>
    <row r="1330" spans="2:24" ht="17.399999999999999" hidden="1" customHeight="1">
      <c r="B1330" s="40" t="s">
        <v>28</v>
      </c>
      <c r="C1330" s="40" t="s">
        <v>28</v>
      </c>
      <c r="D1330" s="3" t="s">
        <v>38</v>
      </c>
      <c r="E1330" s="40" t="s">
        <v>38</v>
      </c>
      <c r="F1330" s="40" t="s">
        <v>377</v>
      </c>
      <c r="G1330" s="40" t="s">
        <v>322</v>
      </c>
      <c r="H1330" s="67" t="str">
        <f>Table1[[#This Row],[Tabela]]&amp;Table1[[#This Row],[Campo]]</f>
        <v>lt825_mthd_usd_instrmntordem</v>
      </c>
      <c r="I1330" s="3" t="s">
        <v>30</v>
      </c>
      <c r="J1330" s="47">
        <f>VLOOKUP(Table1[[#This Row],[Status]],Auxiliar!$B$16:$C$23,2,0)</f>
        <v>7</v>
      </c>
      <c r="K1330" s="47" t="s">
        <v>1138</v>
      </c>
      <c r="L1330" s="48" t="s">
        <v>1144</v>
      </c>
      <c r="M1330" s="22" t="s">
        <v>1145</v>
      </c>
      <c r="N1330" s="53">
        <v>45485</v>
      </c>
      <c r="O1330" s="22">
        <f>INDEX(Auxiliar!$D$5:$F$13,MATCH(Table1[[#This Row],[Tipologia_Testes]],Auxiliar!$B$5:$B$13,0),MATCH(Table1[[#This Row],[Complexidade]],Auxiliar!$D$4:$F$4,0))</f>
        <v>2</v>
      </c>
      <c r="P1330" s="45"/>
      <c r="Q1330" s="132"/>
      <c r="R1330" s="173">
        <v>45261</v>
      </c>
      <c r="S1330" s="173"/>
      <c r="T1330" s="173"/>
      <c r="U1330" s="173"/>
      <c r="V1330" s="173"/>
      <c r="W1330" s="3">
        <f>VLOOKUP(Table1[[#This Row],[Status]],Auxiliar!$B$16:$D$23,3,0)*Table1[[#This Row],[Estimação (horas)]]</f>
        <v>0</v>
      </c>
      <c r="X1330" s="132"/>
    </row>
    <row r="1331" spans="2:24" ht="17.399999999999999" hidden="1" customHeight="1">
      <c r="B1331" s="40" t="s">
        <v>28</v>
      </c>
      <c r="C1331" s="40" t="s">
        <v>28</v>
      </c>
      <c r="D1331" s="3" t="s">
        <v>38</v>
      </c>
      <c r="E1331" s="40" t="s">
        <v>38</v>
      </c>
      <c r="F1331" s="40" t="s">
        <v>377</v>
      </c>
      <c r="G1331" s="40" t="s">
        <v>322</v>
      </c>
      <c r="H1331" s="67" t="str">
        <f>Table1[[#This Row],[Tabela]]&amp;Table1[[#This Row],[Campo]]</f>
        <v>lt825_mthd_usd_instrmntordem</v>
      </c>
      <c r="I1331" s="3" t="s">
        <v>30</v>
      </c>
      <c r="J1331" s="47">
        <f>VLOOKUP(Table1[[#This Row],[Status]],Auxiliar!$B$16:$C$23,2,0)</f>
        <v>7</v>
      </c>
      <c r="K1331" s="47" t="s">
        <v>1141</v>
      </c>
      <c r="L1331" s="48" t="s">
        <v>1144</v>
      </c>
      <c r="M1331" s="22" t="s">
        <v>1145</v>
      </c>
      <c r="N1331" s="53">
        <v>45485</v>
      </c>
      <c r="O1331" s="22">
        <f>INDEX(Auxiliar!$D$5:$F$13,MATCH(Table1[[#This Row],[Tipologia_Testes]],Auxiliar!$B$5:$B$13,0),MATCH(Table1[[#This Row],[Complexidade]],Auxiliar!$D$4:$F$4,0))</f>
        <v>0.1</v>
      </c>
      <c r="P1331" s="45"/>
      <c r="Q1331" s="132"/>
      <c r="R1331" s="173">
        <v>45261</v>
      </c>
      <c r="S1331" s="173"/>
      <c r="T1331" s="173"/>
      <c r="U1331" s="173"/>
      <c r="V1331" s="173"/>
      <c r="W1331" s="3">
        <f>VLOOKUP(Table1[[#This Row],[Status]],Auxiliar!$B$16:$D$23,3,0)*Table1[[#This Row],[Estimação (horas)]]</f>
        <v>0</v>
      </c>
      <c r="X1331" s="132"/>
    </row>
    <row r="1332" spans="2:24" ht="17.399999999999999" hidden="1" customHeight="1">
      <c r="B1332" s="40" t="s">
        <v>28</v>
      </c>
      <c r="C1332" s="40" t="s">
        <v>28</v>
      </c>
      <c r="D1332" s="3" t="s">
        <v>38</v>
      </c>
      <c r="E1332" s="41" t="s">
        <v>38</v>
      </c>
      <c r="F1332" s="41" t="s">
        <v>377</v>
      </c>
      <c r="G1332" s="41" t="s">
        <v>379</v>
      </c>
      <c r="H1332" s="68" t="str">
        <f>Table1[[#This Row],[Tabela]]&amp;Table1[[#This Row],[Campo]]</f>
        <v>lt825_mthd_usd_instrmnttabela</v>
      </c>
      <c r="I1332" s="3" t="s">
        <v>30</v>
      </c>
      <c r="J1332" s="47">
        <f>VLOOKUP(Table1[[#This Row],[Status]],Auxiliar!$B$16:$C$23,2,0)</f>
        <v>7</v>
      </c>
      <c r="K1332" s="47" t="s">
        <v>1137</v>
      </c>
      <c r="L1332" s="48" t="s">
        <v>1144</v>
      </c>
      <c r="M1332" s="22" t="s">
        <v>1145</v>
      </c>
      <c r="N1332" s="53">
        <v>45485</v>
      </c>
      <c r="O1332" s="22">
        <f>INDEX(Auxiliar!$D$5:$F$13,MATCH(Table1[[#This Row],[Tipologia_Testes]],Auxiliar!$B$5:$B$13,0),MATCH(Table1[[#This Row],[Complexidade]],Auxiliar!$D$4:$F$4,0))</f>
        <v>2</v>
      </c>
      <c r="P1332" s="45"/>
      <c r="Q1332" s="132"/>
      <c r="R1332" s="173">
        <v>45261</v>
      </c>
      <c r="S1332" s="173"/>
      <c r="T1332" s="173"/>
      <c r="U1332" s="173"/>
      <c r="V1332" s="173"/>
      <c r="W1332" s="3">
        <f>VLOOKUP(Table1[[#This Row],[Status]],Auxiliar!$B$16:$D$23,3,0)*Table1[[#This Row],[Estimação (horas)]]</f>
        <v>0</v>
      </c>
      <c r="X1332" s="132"/>
    </row>
    <row r="1333" spans="2:24" ht="17.399999999999999" hidden="1" customHeight="1">
      <c r="B1333" s="40" t="s">
        <v>28</v>
      </c>
      <c r="C1333" s="40" t="s">
        <v>28</v>
      </c>
      <c r="D1333" s="3" t="s">
        <v>38</v>
      </c>
      <c r="E1333" s="40" t="s">
        <v>38</v>
      </c>
      <c r="F1333" s="40" t="s">
        <v>377</v>
      </c>
      <c r="G1333" s="40" t="s">
        <v>379</v>
      </c>
      <c r="H1333" s="67" t="str">
        <f>Table1[[#This Row],[Tabela]]&amp;Table1[[#This Row],[Campo]]</f>
        <v>lt825_mthd_usd_instrmnttabela</v>
      </c>
      <c r="I1333" s="3" t="s">
        <v>30</v>
      </c>
      <c r="J1333" s="47">
        <f>VLOOKUP(Table1[[#This Row],[Status]],Auxiliar!$B$16:$C$23,2,0)</f>
        <v>7</v>
      </c>
      <c r="K1333" s="47" t="s">
        <v>1138</v>
      </c>
      <c r="L1333" s="48" t="s">
        <v>1144</v>
      </c>
      <c r="M1333" s="22" t="s">
        <v>1145</v>
      </c>
      <c r="N1333" s="53">
        <v>45485</v>
      </c>
      <c r="O1333" s="22">
        <f>INDEX(Auxiliar!$D$5:$F$13,MATCH(Table1[[#This Row],[Tipologia_Testes]],Auxiliar!$B$5:$B$13,0),MATCH(Table1[[#This Row],[Complexidade]],Auxiliar!$D$4:$F$4,0))</f>
        <v>2</v>
      </c>
      <c r="P1333" s="45"/>
      <c r="Q1333" s="132"/>
      <c r="R1333" s="173">
        <v>45261</v>
      </c>
      <c r="S1333" s="173"/>
      <c r="T1333" s="173"/>
      <c r="U1333" s="173"/>
      <c r="V1333" s="173"/>
      <c r="W1333" s="3">
        <f>VLOOKUP(Table1[[#This Row],[Status]],Auxiliar!$B$16:$D$23,3,0)*Table1[[#This Row],[Estimação (horas)]]</f>
        <v>0</v>
      </c>
      <c r="X1333" s="132"/>
    </row>
    <row r="1334" spans="2:24" ht="17.399999999999999" hidden="1" customHeight="1">
      <c r="B1334" s="40" t="s">
        <v>28</v>
      </c>
      <c r="C1334" s="40" t="s">
        <v>28</v>
      </c>
      <c r="D1334" s="3" t="s">
        <v>38</v>
      </c>
      <c r="E1334" s="40" t="s">
        <v>38</v>
      </c>
      <c r="F1334" s="40" t="s">
        <v>377</v>
      </c>
      <c r="G1334" s="40" t="s">
        <v>379</v>
      </c>
      <c r="H1334" s="67" t="str">
        <f>Table1[[#This Row],[Tabela]]&amp;Table1[[#This Row],[Campo]]</f>
        <v>lt825_mthd_usd_instrmnttabela</v>
      </c>
      <c r="I1334" s="3" t="s">
        <v>30</v>
      </c>
      <c r="J1334" s="47">
        <f>VLOOKUP(Table1[[#This Row],[Status]],Auxiliar!$B$16:$C$23,2,0)</f>
        <v>7</v>
      </c>
      <c r="K1334" s="47" t="s">
        <v>1141</v>
      </c>
      <c r="L1334" s="48" t="s">
        <v>1144</v>
      </c>
      <c r="M1334" s="22" t="s">
        <v>1145</v>
      </c>
      <c r="N1334" s="53">
        <v>45485</v>
      </c>
      <c r="O1334" s="22">
        <f>INDEX(Auxiliar!$D$5:$F$13,MATCH(Table1[[#This Row],[Tipologia_Testes]],Auxiliar!$B$5:$B$13,0),MATCH(Table1[[#This Row],[Complexidade]],Auxiliar!$D$4:$F$4,0))</f>
        <v>0.1</v>
      </c>
      <c r="P1334" s="45"/>
      <c r="Q1334" s="132"/>
      <c r="R1334" s="173">
        <v>45261</v>
      </c>
      <c r="S1334" s="173"/>
      <c r="T1334" s="173"/>
      <c r="U1334" s="173"/>
      <c r="V1334" s="173"/>
      <c r="W1334" s="3">
        <f>VLOOKUP(Table1[[#This Row],[Status]],Auxiliar!$B$16:$D$23,3,0)*Table1[[#This Row],[Estimação (horas)]]</f>
        <v>0</v>
      </c>
      <c r="X1334" s="132"/>
    </row>
    <row r="1335" spans="2:24" ht="17.399999999999999" hidden="1" customHeight="1">
      <c r="B1335" s="40" t="s">
        <v>28</v>
      </c>
      <c r="C1335" s="40" t="s">
        <v>28</v>
      </c>
      <c r="D1335" s="3" t="s">
        <v>38</v>
      </c>
      <c r="E1335" s="41" t="s">
        <v>38</v>
      </c>
      <c r="F1335" s="41" t="s">
        <v>377</v>
      </c>
      <c r="G1335" s="39" t="s">
        <v>306</v>
      </c>
      <c r="H1335" s="68" t="str">
        <f>Table1[[#This Row],[Tabela]]&amp;Table1[[#This Row],[Campo]]</f>
        <v>lt825_mthd_usd_instrmntorigem_scp1_emss</v>
      </c>
      <c r="I1335" s="3" t="s">
        <v>30</v>
      </c>
      <c r="J1335" s="47">
        <f>VLOOKUP(Table1[[#This Row],[Status]],Auxiliar!$B$16:$C$23,2,0)</f>
        <v>7</v>
      </c>
      <c r="K1335" s="47" t="s">
        <v>1137</v>
      </c>
      <c r="L1335" s="48" t="s">
        <v>1144</v>
      </c>
      <c r="M1335" s="22" t="s">
        <v>1145</v>
      </c>
      <c r="N1335" s="53">
        <v>45485</v>
      </c>
      <c r="O1335" s="22">
        <f>INDEX(Auxiliar!$D$5:$F$13,MATCH(Table1[[#This Row],[Tipologia_Testes]],Auxiliar!$B$5:$B$13,0),MATCH(Table1[[#This Row],[Complexidade]],Auxiliar!$D$4:$F$4,0))</f>
        <v>2</v>
      </c>
      <c r="P1335" s="45"/>
      <c r="Q1335" s="132"/>
      <c r="R1335" s="173">
        <v>45261</v>
      </c>
      <c r="S1335" s="173"/>
      <c r="T1335" s="173"/>
      <c r="U1335" s="173"/>
      <c r="V1335" s="173"/>
      <c r="W1335" s="3">
        <f>VLOOKUP(Table1[[#This Row],[Status]],Auxiliar!$B$16:$D$23,3,0)*Table1[[#This Row],[Estimação (horas)]]</f>
        <v>0</v>
      </c>
      <c r="X1335" s="132"/>
    </row>
    <row r="1336" spans="2:24" ht="17.399999999999999" hidden="1" customHeight="1">
      <c r="B1336" s="40" t="s">
        <v>28</v>
      </c>
      <c r="C1336" s="40" t="s">
        <v>28</v>
      </c>
      <c r="D1336" s="3" t="s">
        <v>38</v>
      </c>
      <c r="E1336" s="40" t="s">
        <v>38</v>
      </c>
      <c r="F1336" s="40" t="s">
        <v>377</v>
      </c>
      <c r="G1336" s="40" t="s">
        <v>306</v>
      </c>
      <c r="H1336" s="67" t="str">
        <f>Table1[[#This Row],[Tabela]]&amp;Table1[[#This Row],[Campo]]</f>
        <v>lt825_mthd_usd_instrmntorigem_scp1_emss</v>
      </c>
      <c r="I1336" s="3" t="s">
        <v>30</v>
      </c>
      <c r="J1336" s="47">
        <f>VLOOKUP(Table1[[#This Row],[Status]],Auxiliar!$B$16:$C$23,2,0)</f>
        <v>7</v>
      </c>
      <c r="K1336" s="47" t="s">
        <v>1138</v>
      </c>
      <c r="L1336" s="48" t="s">
        <v>1144</v>
      </c>
      <c r="M1336" s="22" t="s">
        <v>1145</v>
      </c>
      <c r="N1336" s="53">
        <v>45485</v>
      </c>
      <c r="O1336" s="22">
        <f>INDEX(Auxiliar!$D$5:$F$13,MATCH(Table1[[#This Row],[Tipologia_Testes]],Auxiliar!$B$5:$B$13,0),MATCH(Table1[[#This Row],[Complexidade]],Auxiliar!$D$4:$F$4,0))</f>
        <v>2</v>
      </c>
      <c r="P1336" s="45"/>
      <c r="Q1336" s="132"/>
      <c r="R1336" s="173">
        <v>45261</v>
      </c>
      <c r="S1336" s="173"/>
      <c r="T1336" s="173"/>
      <c r="U1336" s="173"/>
      <c r="V1336" s="173"/>
      <c r="W1336" s="3">
        <f>VLOOKUP(Table1[[#This Row],[Status]],Auxiliar!$B$16:$D$23,3,0)*Table1[[#This Row],[Estimação (horas)]]</f>
        <v>0</v>
      </c>
      <c r="X1336" s="132"/>
    </row>
    <row r="1337" spans="2:24" ht="17.399999999999999" hidden="1" customHeight="1">
      <c r="B1337" s="40" t="s">
        <v>28</v>
      </c>
      <c r="C1337" s="40" t="s">
        <v>28</v>
      </c>
      <c r="D1337" s="3" t="s">
        <v>38</v>
      </c>
      <c r="E1337" s="40" t="s">
        <v>38</v>
      </c>
      <c r="F1337" s="40" t="s">
        <v>377</v>
      </c>
      <c r="G1337" s="40" t="s">
        <v>306</v>
      </c>
      <c r="H1337" s="67" t="str">
        <f>Table1[[#This Row],[Tabela]]&amp;Table1[[#This Row],[Campo]]</f>
        <v>lt825_mthd_usd_instrmntorigem_scp1_emss</v>
      </c>
      <c r="I1337" s="3" t="s">
        <v>30</v>
      </c>
      <c r="J1337" s="47">
        <f>VLOOKUP(Table1[[#This Row],[Status]],Auxiliar!$B$16:$C$23,2,0)</f>
        <v>7</v>
      </c>
      <c r="K1337" s="47" t="s">
        <v>1141</v>
      </c>
      <c r="L1337" s="48" t="s">
        <v>1144</v>
      </c>
      <c r="M1337" s="22" t="s">
        <v>1145</v>
      </c>
      <c r="N1337" s="53">
        <v>45485</v>
      </c>
      <c r="O1337" s="22">
        <f>INDEX(Auxiliar!$D$5:$F$13,MATCH(Table1[[#This Row],[Tipologia_Testes]],Auxiliar!$B$5:$B$13,0),MATCH(Table1[[#This Row],[Complexidade]],Auxiliar!$D$4:$F$4,0))</f>
        <v>0.1</v>
      </c>
      <c r="P1337" s="45"/>
      <c r="Q1337" s="132"/>
      <c r="R1337" s="173">
        <v>45261</v>
      </c>
      <c r="S1337" s="173"/>
      <c r="T1337" s="173"/>
      <c r="U1337" s="173"/>
      <c r="V1337" s="173"/>
      <c r="W1337" s="3">
        <f>VLOOKUP(Table1[[#This Row],[Status]],Auxiliar!$B$16:$D$23,3,0)*Table1[[#This Row],[Estimação (horas)]]</f>
        <v>0</v>
      </c>
      <c r="X1337" s="132"/>
    </row>
    <row r="1338" spans="2:24" ht="17.399999999999999" hidden="1" customHeight="1">
      <c r="B1338" s="40" t="s">
        <v>28</v>
      </c>
      <c r="C1338" s="40" t="s">
        <v>28</v>
      </c>
      <c r="D1338" s="3" t="s">
        <v>38</v>
      </c>
      <c r="E1338" s="41" t="s">
        <v>38</v>
      </c>
      <c r="F1338" s="41" t="s">
        <v>377</v>
      </c>
      <c r="G1338" s="39" t="s">
        <v>307</v>
      </c>
      <c r="H1338" s="68" t="str">
        <f>Table1[[#This Row],[Tabela]]&amp;Table1[[#This Row],[Campo]]</f>
        <v>lt825_mthd_usd_instrmntorigem_scp2_emss</v>
      </c>
      <c r="I1338" s="3" t="s">
        <v>30</v>
      </c>
      <c r="J1338" s="47">
        <f>VLOOKUP(Table1[[#This Row],[Status]],Auxiliar!$B$16:$C$23,2,0)</f>
        <v>7</v>
      </c>
      <c r="K1338" s="47" t="s">
        <v>1137</v>
      </c>
      <c r="L1338" s="48" t="s">
        <v>1144</v>
      </c>
      <c r="M1338" s="22" t="s">
        <v>1145</v>
      </c>
      <c r="N1338" s="53">
        <v>45485</v>
      </c>
      <c r="O1338" s="22">
        <f>INDEX(Auxiliar!$D$5:$F$13,MATCH(Table1[[#This Row],[Tipologia_Testes]],Auxiliar!$B$5:$B$13,0),MATCH(Table1[[#This Row],[Complexidade]],Auxiliar!$D$4:$F$4,0))</f>
        <v>2</v>
      </c>
      <c r="P1338" s="45"/>
      <c r="Q1338" s="132"/>
      <c r="R1338" s="173">
        <v>45261</v>
      </c>
      <c r="S1338" s="173"/>
      <c r="T1338" s="173"/>
      <c r="U1338" s="173"/>
      <c r="V1338" s="173"/>
      <c r="W1338" s="3">
        <f>VLOOKUP(Table1[[#This Row],[Status]],Auxiliar!$B$16:$D$23,3,0)*Table1[[#This Row],[Estimação (horas)]]</f>
        <v>0</v>
      </c>
      <c r="X1338" s="132"/>
    </row>
    <row r="1339" spans="2:24" ht="17.399999999999999" hidden="1" customHeight="1">
      <c r="B1339" s="40" t="s">
        <v>28</v>
      </c>
      <c r="C1339" s="40" t="s">
        <v>28</v>
      </c>
      <c r="D1339" s="3" t="s">
        <v>38</v>
      </c>
      <c r="E1339" s="40" t="s">
        <v>38</v>
      </c>
      <c r="F1339" s="40" t="s">
        <v>377</v>
      </c>
      <c r="G1339" s="40" t="s">
        <v>307</v>
      </c>
      <c r="H1339" s="67" t="str">
        <f>Table1[[#This Row],[Tabela]]&amp;Table1[[#This Row],[Campo]]</f>
        <v>lt825_mthd_usd_instrmntorigem_scp2_emss</v>
      </c>
      <c r="I1339" s="3" t="s">
        <v>30</v>
      </c>
      <c r="J1339" s="47">
        <f>VLOOKUP(Table1[[#This Row],[Status]],Auxiliar!$B$16:$C$23,2,0)</f>
        <v>7</v>
      </c>
      <c r="K1339" s="47" t="s">
        <v>1138</v>
      </c>
      <c r="L1339" s="48" t="s">
        <v>1144</v>
      </c>
      <c r="M1339" s="22" t="s">
        <v>1145</v>
      </c>
      <c r="N1339" s="53">
        <v>45485</v>
      </c>
      <c r="O1339" s="22">
        <f>INDEX(Auxiliar!$D$5:$F$13,MATCH(Table1[[#This Row],[Tipologia_Testes]],Auxiliar!$B$5:$B$13,0),MATCH(Table1[[#This Row],[Complexidade]],Auxiliar!$D$4:$F$4,0))</f>
        <v>2</v>
      </c>
      <c r="P1339" s="45"/>
      <c r="Q1339" s="132"/>
      <c r="R1339" s="173">
        <v>45261</v>
      </c>
      <c r="S1339" s="173"/>
      <c r="T1339" s="173"/>
      <c r="U1339" s="173"/>
      <c r="V1339" s="173"/>
      <c r="W1339" s="3">
        <f>VLOOKUP(Table1[[#This Row],[Status]],Auxiliar!$B$16:$D$23,3,0)*Table1[[#This Row],[Estimação (horas)]]</f>
        <v>0</v>
      </c>
      <c r="X1339" s="132"/>
    </row>
    <row r="1340" spans="2:24" ht="17.399999999999999" hidden="1" customHeight="1">
      <c r="B1340" s="40" t="s">
        <v>28</v>
      </c>
      <c r="C1340" s="40" t="s">
        <v>28</v>
      </c>
      <c r="D1340" s="3" t="s">
        <v>38</v>
      </c>
      <c r="E1340" s="40" t="s">
        <v>38</v>
      </c>
      <c r="F1340" s="40" t="s">
        <v>377</v>
      </c>
      <c r="G1340" s="40" t="s">
        <v>307</v>
      </c>
      <c r="H1340" s="67" t="str">
        <f>Table1[[#This Row],[Tabela]]&amp;Table1[[#This Row],[Campo]]</f>
        <v>lt825_mthd_usd_instrmntorigem_scp2_emss</v>
      </c>
      <c r="I1340" s="3" t="s">
        <v>30</v>
      </c>
      <c r="J1340" s="47">
        <f>VLOOKUP(Table1[[#This Row],[Status]],Auxiliar!$B$16:$C$23,2,0)</f>
        <v>7</v>
      </c>
      <c r="K1340" s="47" t="s">
        <v>1141</v>
      </c>
      <c r="L1340" s="48" t="s">
        <v>1144</v>
      </c>
      <c r="M1340" s="22" t="s">
        <v>1145</v>
      </c>
      <c r="N1340" s="53">
        <v>45485</v>
      </c>
      <c r="O1340" s="22">
        <f>INDEX(Auxiliar!$D$5:$F$13,MATCH(Table1[[#This Row],[Tipologia_Testes]],Auxiliar!$B$5:$B$13,0),MATCH(Table1[[#This Row],[Complexidade]],Auxiliar!$D$4:$F$4,0))</f>
        <v>0.1</v>
      </c>
      <c r="P1340" s="45"/>
      <c r="Q1340" s="132"/>
      <c r="R1340" s="173">
        <v>45261</v>
      </c>
      <c r="S1340" s="173"/>
      <c r="T1340" s="173"/>
      <c r="U1340" s="173"/>
      <c r="V1340" s="173"/>
      <c r="W1340" s="3">
        <f>VLOOKUP(Table1[[#This Row],[Status]],Auxiliar!$B$16:$D$23,3,0)*Table1[[#This Row],[Estimação (horas)]]</f>
        <v>0</v>
      </c>
      <c r="X1340" s="132"/>
    </row>
    <row r="1341" spans="2:24" ht="17.399999999999999" hidden="1" customHeight="1">
      <c r="B1341" s="40" t="s">
        <v>28</v>
      </c>
      <c r="C1341" s="40" t="s">
        <v>28</v>
      </c>
      <c r="D1341" s="3" t="s">
        <v>38</v>
      </c>
      <c r="E1341" s="41" t="s">
        <v>38</v>
      </c>
      <c r="F1341" s="41" t="s">
        <v>377</v>
      </c>
      <c r="G1341" s="39" t="s">
        <v>308</v>
      </c>
      <c r="H1341" s="68" t="str">
        <f>Table1[[#This Row],[Tabela]]&amp;Table1[[#This Row],[Campo]]</f>
        <v>lt825_mthd_usd_instrmntorigem_scp3_emss</v>
      </c>
      <c r="I1341" s="3" t="s">
        <v>30</v>
      </c>
      <c r="J1341" s="47">
        <f>VLOOKUP(Table1[[#This Row],[Status]],Auxiliar!$B$16:$C$23,2,0)</f>
        <v>7</v>
      </c>
      <c r="K1341" s="47" t="s">
        <v>1137</v>
      </c>
      <c r="L1341" s="48" t="s">
        <v>1144</v>
      </c>
      <c r="M1341" s="22" t="s">
        <v>1145</v>
      </c>
      <c r="N1341" s="53">
        <v>45485</v>
      </c>
      <c r="O1341" s="22">
        <f>INDEX(Auxiliar!$D$5:$F$13,MATCH(Table1[[#This Row],[Tipologia_Testes]],Auxiliar!$B$5:$B$13,0),MATCH(Table1[[#This Row],[Complexidade]],Auxiliar!$D$4:$F$4,0))</f>
        <v>2</v>
      </c>
      <c r="P1341" s="45"/>
      <c r="Q1341" s="132"/>
      <c r="R1341" s="173">
        <v>45261</v>
      </c>
      <c r="S1341" s="173"/>
      <c r="T1341" s="173"/>
      <c r="U1341" s="173"/>
      <c r="V1341" s="173"/>
      <c r="W1341" s="3">
        <f>VLOOKUP(Table1[[#This Row],[Status]],Auxiliar!$B$16:$D$23,3,0)*Table1[[#This Row],[Estimação (horas)]]</f>
        <v>0</v>
      </c>
      <c r="X1341" s="132"/>
    </row>
    <row r="1342" spans="2:24" ht="17.399999999999999" hidden="1" customHeight="1">
      <c r="B1342" s="40" t="s">
        <v>28</v>
      </c>
      <c r="C1342" s="40" t="s">
        <v>28</v>
      </c>
      <c r="D1342" s="3" t="s">
        <v>38</v>
      </c>
      <c r="E1342" s="40" t="s">
        <v>38</v>
      </c>
      <c r="F1342" s="40" t="s">
        <v>377</v>
      </c>
      <c r="G1342" s="40" t="s">
        <v>308</v>
      </c>
      <c r="H1342" s="67" t="str">
        <f>Table1[[#This Row],[Tabela]]&amp;Table1[[#This Row],[Campo]]</f>
        <v>lt825_mthd_usd_instrmntorigem_scp3_emss</v>
      </c>
      <c r="I1342" s="3" t="s">
        <v>30</v>
      </c>
      <c r="J1342" s="47">
        <f>VLOOKUP(Table1[[#This Row],[Status]],Auxiliar!$B$16:$C$23,2,0)</f>
        <v>7</v>
      </c>
      <c r="K1342" s="47" t="s">
        <v>1138</v>
      </c>
      <c r="L1342" s="48" t="s">
        <v>1144</v>
      </c>
      <c r="M1342" s="22" t="s">
        <v>1145</v>
      </c>
      <c r="N1342" s="53">
        <v>45485</v>
      </c>
      <c r="O1342" s="22">
        <f>INDEX(Auxiliar!$D$5:$F$13,MATCH(Table1[[#This Row],[Tipologia_Testes]],Auxiliar!$B$5:$B$13,0),MATCH(Table1[[#This Row],[Complexidade]],Auxiliar!$D$4:$F$4,0))</f>
        <v>2</v>
      </c>
      <c r="P1342" s="45"/>
      <c r="Q1342" s="132"/>
      <c r="R1342" s="173">
        <v>45261</v>
      </c>
      <c r="S1342" s="173"/>
      <c r="T1342" s="173"/>
      <c r="U1342" s="173"/>
      <c r="V1342" s="173"/>
      <c r="W1342" s="3">
        <f>VLOOKUP(Table1[[#This Row],[Status]],Auxiliar!$B$16:$D$23,3,0)*Table1[[#This Row],[Estimação (horas)]]</f>
        <v>0</v>
      </c>
      <c r="X1342" s="132"/>
    </row>
    <row r="1343" spans="2:24" ht="17.399999999999999" hidden="1" customHeight="1">
      <c r="B1343" s="40" t="s">
        <v>28</v>
      </c>
      <c r="C1343" s="40" t="s">
        <v>28</v>
      </c>
      <c r="D1343" s="3" t="s">
        <v>38</v>
      </c>
      <c r="E1343" s="40" t="s">
        <v>38</v>
      </c>
      <c r="F1343" s="40" t="s">
        <v>377</v>
      </c>
      <c r="G1343" s="40" t="s">
        <v>308</v>
      </c>
      <c r="H1343" s="67" t="str">
        <f>Table1[[#This Row],[Tabela]]&amp;Table1[[#This Row],[Campo]]</f>
        <v>lt825_mthd_usd_instrmntorigem_scp3_emss</v>
      </c>
      <c r="I1343" s="3" t="s">
        <v>30</v>
      </c>
      <c r="J1343" s="47">
        <f>VLOOKUP(Table1[[#This Row],[Status]],Auxiliar!$B$16:$C$23,2,0)</f>
        <v>7</v>
      </c>
      <c r="K1343" s="47" t="s">
        <v>1141</v>
      </c>
      <c r="L1343" s="48" t="s">
        <v>1144</v>
      </c>
      <c r="M1343" s="22" t="s">
        <v>1145</v>
      </c>
      <c r="N1343" s="53">
        <v>45485</v>
      </c>
      <c r="O1343" s="22">
        <f>INDEX(Auxiliar!$D$5:$F$13,MATCH(Table1[[#This Row],[Tipologia_Testes]],Auxiliar!$B$5:$B$13,0),MATCH(Table1[[#This Row],[Complexidade]],Auxiliar!$D$4:$F$4,0))</f>
        <v>0.1</v>
      </c>
      <c r="P1343" s="45"/>
      <c r="Q1343" s="132"/>
      <c r="R1343" s="173">
        <v>45261</v>
      </c>
      <c r="S1343" s="173"/>
      <c r="T1343" s="173"/>
      <c r="U1343" s="173"/>
      <c r="V1343" s="173"/>
      <c r="W1343" s="3">
        <f>VLOOKUP(Table1[[#This Row],[Status]],Auxiliar!$B$16:$D$23,3,0)*Table1[[#This Row],[Estimação (horas)]]</f>
        <v>0</v>
      </c>
      <c r="X1343" s="132"/>
    </row>
    <row r="1344" spans="2:24" ht="17.399999999999999" hidden="1" customHeight="1">
      <c r="B1344" s="40" t="s">
        <v>28</v>
      </c>
      <c r="C1344" s="40" t="s">
        <v>28</v>
      </c>
      <c r="D1344" s="3" t="s">
        <v>38</v>
      </c>
      <c r="E1344" s="41" t="s">
        <v>38</v>
      </c>
      <c r="F1344" s="41" t="s">
        <v>377</v>
      </c>
      <c r="G1344" s="39" t="s">
        <v>373</v>
      </c>
      <c r="H1344" s="68" t="str">
        <f>Table1[[#This Row],[Tabela]]&amp;Table1[[#This Row],[Campo]]</f>
        <v>lt825_mthd_usd_instrmntmthd_usd_instrmnt_scp_1</v>
      </c>
      <c r="I1344" s="3" t="s">
        <v>30</v>
      </c>
      <c r="J1344" s="47">
        <f>VLOOKUP(Table1[[#This Row],[Status]],Auxiliar!$B$16:$C$23,2,0)</f>
        <v>7</v>
      </c>
      <c r="K1344" s="47" t="s">
        <v>1137</v>
      </c>
      <c r="L1344" s="48" t="s">
        <v>1144</v>
      </c>
      <c r="M1344" s="22" t="s">
        <v>1145</v>
      </c>
      <c r="N1344" s="53">
        <v>45485</v>
      </c>
      <c r="O1344" s="22">
        <f>INDEX(Auxiliar!$D$5:$F$13,MATCH(Table1[[#This Row],[Tipologia_Testes]],Auxiliar!$B$5:$B$13,0),MATCH(Table1[[#This Row],[Complexidade]],Auxiliar!$D$4:$F$4,0))</f>
        <v>2</v>
      </c>
      <c r="P1344" s="45"/>
      <c r="Q1344" s="132"/>
      <c r="R1344" s="173">
        <v>45261</v>
      </c>
      <c r="S1344" s="173"/>
      <c r="T1344" s="173"/>
      <c r="U1344" s="173"/>
      <c r="V1344" s="173"/>
      <c r="W1344" s="3">
        <f>VLOOKUP(Table1[[#This Row],[Status]],Auxiliar!$B$16:$D$23,3,0)*Table1[[#This Row],[Estimação (horas)]]</f>
        <v>0</v>
      </c>
      <c r="X1344" s="132"/>
    </row>
    <row r="1345" spans="2:24" ht="17.399999999999999" hidden="1" customHeight="1">
      <c r="B1345" s="40" t="s">
        <v>28</v>
      </c>
      <c r="C1345" s="40" t="s">
        <v>28</v>
      </c>
      <c r="D1345" s="3" t="s">
        <v>38</v>
      </c>
      <c r="E1345" s="40" t="s">
        <v>38</v>
      </c>
      <c r="F1345" s="40" t="s">
        <v>377</v>
      </c>
      <c r="G1345" s="40" t="s">
        <v>373</v>
      </c>
      <c r="H1345" s="67" t="str">
        <f>Table1[[#This Row],[Tabela]]&amp;Table1[[#This Row],[Campo]]</f>
        <v>lt825_mthd_usd_instrmntmthd_usd_instrmnt_scp_1</v>
      </c>
      <c r="I1345" s="3" t="s">
        <v>30</v>
      </c>
      <c r="J1345" s="47">
        <f>VLOOKUP(Table1[[#This Row],[Status]],Auxiliar!$B$16:$C$23,2,0)</f>
        <v>7</v>
      </c>
      <c r="K1345" s="47" t="s">
        <v>1138</v>
      </c>
      <c r="L1345" s="48" t="s">
        <v>1144</v>
      </c>
      <c r="M1345" s="22" t="s">
        <v>1145</v>
      </c>
      <c r="N1345" s="53">
        <v>45485</v>
      </c>
      <c r="O1345" s="22">
        <f>INDEX(Auxiliar!$D$5:$F$13,MATCH(Table1[[#This Row],[Tipologia_Testes]],Auxiliar!$B$5:$B$13,0),MATCH(Table1[[#This Row],[Complexidade]],Auxiliar!$D$4:$F$4,0))</f>
        <v>2</v>
      </c>
      <c r="P1345" s="45"/>
      <c r="Q1345" s="132"/>
      <c r="R1345" s="173">
        <v>45261</v>
      </c>
      <c r="S1345" s="173"/>
      <c r="T1345" s="173"/>
      <c r="U1345" s="173"/>
      <c r="V1345" s="173"/>
      <c r="W1345" s="3">
        <f>VLOOKUP(Table1[[#This Row],[Status]],Auxiliar!$B$16:$D$23,3,0)*Table1[[#This Row],[Estimação (horas)]]</f>
        <v>0</v>
      </c>
      <c r="X1345" s="132"/>
    </row>
    <row r="1346" spans="2:24" ht="17.399999999999999" hidden="1" customHeight="1">
      <c r="B1346" s="40" t="s">
        <v>28</v>
      </c>
      <c r="C1346" s="40" t="s">
        <v>28</v>
      </c>
      <c r="D1346" s="3" t="s">
        <v>38</v>
      </c>
      <c r="E1346" s="40" t="s">
        <v>38</v>
      </c>
      <c r="F1346" s="40" t="s">
        <v>377</v>
      </c>
      <c r="G1346" s="40" t="s">
        <v>373</v>
      </c>
      <c r="H1346" s="67" t="str">
        <f>Table1[[#This Row],[Tabela]]&amp;Table1[[#This Row],[Campo]]</f>
        <v>lt825_mthd_usd_instrmntmthd_usd_instrmnt_scp_1</v>
      </c>
      <c r="I1346" s="3" t="s">
        <v>30</v>
      </c>
      <c r="J1346" s="47">
        <f>VLOOKUP(Table1[[#This Row],[Status]],Auxiliar!$B$16:$C$23,2,0)</f>
        <v>7</v>
      </c>
      <c r="K1346" s="47" t="s">
        <v>1141</v>
      </c>
      <c r="L1346" s="48" t="s">
        <v>1144</v>
      </c>
      <c r="M1346" s="22" t="s">
        <v>1145</v>
      </c>
      <c r="N1346" s="53">
        <v>45485</v>
      </c>
      <c r="O1346" s="22">
        <f>INDEX(Auxiliar!$D$5:$F$13,MATCH(Table1[[#This Row],[Tipologia_Testes]],Auxiliar!$B$5:$B$13,0),MATCH(Table1[[#This Row],[Complexidade]],Auxiliar!$D$4:$F$4,0))</f>
        <v>0.1</v>
      </c>
      <c r="P1346" s="45"/>
      <c r="Q1346" s="132"/>
      <c r="R1346" s="173">
        <v>45261</v>
      </c>
      <c r="S1346" s="173"/>
      <c r="T1346" s="173"/>
      <c r="U1346" s="173"/>
      <c r="V1346" s="173"/>
      <c r="W1346" s="3">
        <f>VLOOKUP(Table1[[#This Row],[Status]],Auxiliar!$B$16:$D$23,3,0)*Table1[[#This Row],[Estimação (horas)]]</f>
        <v>0</v>
      </c>
      <c r="X1346" s="132"/>
    </row>
    <row r="1347" spans="2:24" ht="17.399999999999999" hidden="1" customHeight="1">
      <c r="B1347" s="40" t="s">
        <v>28</v>
      </c>
      <c r="C1347" s="40" t="s">
        <v>28</v>
      </c>
      <c r="D1347" s="3" t="s">
        <v>38</v>
      </c>
      <c r="E1347" s="41" t="s">
        <v>38</v>
      </c>
      <c r="F1347" s="41" t="s">
        <v>377</v>
      </c>
      <c r="G1347" s="39" t="s">
        <v>374</v>
      </c>
      <c r="H1347" s="68" t="str">
        <f>Table1[[#This Row],[Tabela]]&amp;Table1[[#This Row],[Campo]]</f>
        <v>lt825_mthd_usd_instrmntmthd_usd_instrmnt_scp_2</v>
      </c>
      <c r="I1347" s="3" t="s">
        <v>30</v>
      </c>
      <c r="J1347" s="47">
        <f>VLOOKUP(Table1[[#This Row],[Status]],Auxiliar!$B$16:$C$23,2,0)</f>
        <v>7</v>
      </c>
      <c r="K1347" s="47" t="s">
        <v>1137</v>
      </c>
      <c r="L1347" s="48" t="s">
        <v>1144</v>
      </c>
      <c r="M1347" s="22" t="s">
        <v>1145</v>
      </c>
      <c r="N1347" s="53">
        <v>45485</v>
      </c>
      <c r="O1347" s="22">
        <f>INDEX(Auxiliar!$D$5:$F$13,MATCH(Table1[[#This Row],[Tipologia_Testes]],Auxiliar!$B$5:$B$13,0),MATCH(Table1[[#This Row],[Complexidade]],Auxiliar!$D$4:$F$4,0))</f>
        <v>2</v>
      </c>
      <c r="P1347" s="45"/>
      <c r="Q1347" s="132"/>
      <c r="R1347" s="173">
        <v>45261</v>
      </c>
      <c r="S1347" s="173"/>
      <c r="T1347" s="173"/>
      <c r="U1347" s="173"/>
      <c r="V1347" s="173"/>
      <c r="W1347" s="3">
        <f>VLOOKUP(Table1[[#This Row],[Status]],Auxiliar!$B$16:$D$23,3,0)*Table1[[#This Row],[Estimação (horas)]]</f>
        <v>0</v>
      </c>
      <c r="X1347" s="132"/>
    </row>
    <row r="1348" spans="2:24" ht="17.399999999999999" hidden="1" customHeight="1">
      <c r="B1348" s="40" t="s">
        <v>28</v>
      </c>
      <c r="C1348" s="40" t="s">
        <v>28</v>
      </c>
      <c r="D1348" s="3" t="s">
        <v>38</v>
      </c>
      <c r="E1348" s="40" t="s">
        <v>38</v>
      </c>
      <c r="F1348" s="40" t="s">
        <v>377</v>
      </c>
      <c r="G1348" s="40" t="s">
        <v>374</v>
      </c>
      <c r="H1348" s="67" t="str">
        <f>Table1[[#This Row],[Tabela]]&amp;Table1[[#This Row],[Campo]]</f>
        <v>lt825_mthd_usd_instrmntmthd_usd_instrmnt_scp_2</v>
      </c>
      <c r="I1348" s="3" t="s">
        <v>30</v>
      </c>
      <c r="J1348" s="47">
        <f>VLOOKUP(Table1[[#This Row],[Status]],Auxiliar!$B$16:$C$23,2,0)</f>
        <v>7</v>
      </c>
      <c r="K1348" s="47" t="s">
        <v>1138</v>
      </c>
      <c r="L1348" s="48" t="s">
        <v>1144</v>
      </c>
      <c r="M1348" s="22" t="s">
        <v>1145</v>
      </c>
      <c r="N1348" s="53">
        <v>45485</v>
      </c>
      <c r="O1348" s="22">
        <f>INDEX(Auxiliar!$D$5:$F$13,MATCH(Table1[[#This Row],[Tipologia_Testes]],Auxiliar!$B$5:$B$13,0),MATCH(Table1[[#This Row],[Complexidade]],Auxiliar!$D$4:$F$4,0))</f>
        <v>2</v>
      </c>
      <c r="P1348" s="45"/>
      <c r="Q1348" s="132"/>
      <c r="R1348" s="173">
        <v>45261</v>
      </c>
      <c r="S1348" s="173"/>
      <c r="T1348" s="173"/>
      <c r="U1348" s="173"/>
      <c r="V1348" s="173"/>
      <c r="W1348" s="3">
        <f>VLOOKUP(Table1[[#This Row],[Status]],Auxiliar!$B$16:$D$23,3,0)*Table1[[#This Row],[Estimação (horas)]]</f>
        <v>0</v>
      </c>
      <c r="X1348" s="132"/>
    </row>
    <row r="1349" spans="2:24" ht="17.399999999999999" hidden="1" customHeight="1">
      <c r="B1349" s="40" t="s">
        <v>28</v>
      </c>
      <c r="C1349" s="40" t="s">
        <v>28</v>
      </c>
      <c r="D1349" s="3" t="s">
        <v>38</v>
      </c>
      <c r="E1349" s="40" t="s">
        <v>38</v>
      </c>
      <c r="F1349" s="40" t="s">
        <v>377</v>
      </c>
      <c r="G1349" s="40" t="s">
        <v>374</v>
      </c>
      <c r="H1349" s="67" t="str">
        <f>Table1[[#This Row],[Tabela]]&amp;Table1[[#This Row],[Campo]]</f>
        <v>lt825_mthd_usd_instrmntmthd_usd_instrmnt_scp_2</v>
      </c>
      <c r="I1349" s="3" t="s">
        <v>30</v>
      </c>
      <c r="J1349" s="47">
        <f>VLOOKUP(Table1[[#This Row],[Status]],Auxiliar!$B$16:$C$23,2,0)</f>
        <v>7</v>
      </c>
      <c r="K1349" s="47" t="s">
        <v>1141</v>
      </c>
      <c r="L1349" s="48" t="s">
        <v>1144</v>
      </c>
      <c r="M1349" s="22" t="s">
        <v>1145</v>
      </c>
      <c r="N1349" s="53">
        <v>45485</v>
      </c>
      <c r="O1349" s="22">
        <f>INDEX(Auxiliar!$D$5:$F$13,MATCH(Table1[[#This Row],[Tipologia_Testes]],Auxiliar!$B$5:$B$13,0),MATCH(Table1[[#This Row],[Complexidade]],Auxiliar!$D$4:$F$4,0))</f>
        <v>0.1</v>
      </c>
      <c r="P1349" s="45"/>
      <c r="Q1349" s="132"/>
      <c r="R1349" s="173">
        <v>45261</v>
      </c>
      <c r="S1349" s="173"/>
      <c r="T1349" s="173"/>
      <c r="U1349" s="173"/>
      <c r="V1349" s="173"/>
      <c r="W1349" s="3">
        <f>VLOOKUP(Table1[[#This Row],[Status]],Auxiliar!$B$16:$D$23,3,0)*Table1[[#This Row],[Estimação (horas)]]</f>
        <v>0</v>
      </c>
      <c r="X1349" s="132"/>
    </row>
    <row r="1350" spans="2:24" ht="17.399999999999999" hidden="1" customHeight="1">
      <c r="B1350" s="40" t="s">
        <v>28</v>
      </c>
      <c r="C1350" s="40" t="s">
        <v>28</v>
      </c>
      <c r="D1350" s="3" t="s">
        <v>38</v>
      </c>
      <c r="E1350" s="41" t="s">
        <v>38</v>
      </c>
      <c r="F1350" s="41" t="s">
        <v>377</v>
      </c>
      <c r="G1350" s="39" t="s">
        <v>375</v>
      </c>
      <c r="H1350" s="68" t="str">
        <f>Table1[[#This Row],[Tabela]]&amp;Table1[[#This Row],[Campo]]</f>
        <v>lt825_mthd_usd_instrmntmthd_usd_instrmnt_scp_3</v>
      </c>
      <c r="I1350" s="3" t="s">
        <v>30</v>
      </c>
      <c r="J1350" s="47">
        <f>VLOOKUP(Table1[[#This Row],[Status]],Auxiliar!$B$16:$C$23,2,0)</f>
        <v>7</v>
      </c>
      <c r="K1350" s="47" t="s">
        <v>1137</v>
      </c>
      <c r="L1350" s="48" t="s">
        <v>1144</v>
      </c>
      <c r="M1350" s="22" t="s">
        <v>1145</v>
      </c>
      <c r="N1350" s="53">
        <v>45485</v>
      </c>
      <c r="O1350" s="22">
        <f>INDEX(Auxiliar!$D$5:$F$13,MATCH(Table1[[#This Row],[Tipologia_Testes]],Auxiliar!$B$5:$B$13,0),MATCH(Table1[[#This Row],[Complexidade]],Auxiliar!$D$4:$F$4,0))</f>
        <v>2</v>
      </c>
      <c r="P1350" s="45"/>
      <c r="Q1350" s="132"/>
      <c r="R1350" s="173">
        <v>45261</v>
      </c>
      <c r="S1350" s="173"/>
      <c r="T1350" s="173"/>
      <c r="U1350" s="173"/>
      <c r="V1350" s="173"/>
      <c r="W1350" s="3">
        <f>VLOOKUP(Table1[[#This Row],[Status]],Auxiliar!$B$16:$D$23,3,0)*Table1[[#This Row],[Estimação (horas)]]</f>
        <v>0</v>
      </c>
      <c r="X1350" s="132"/>
    </row>
    <row r="1351" spans="2:24" ht="17.399999999999999" hidden="1" customHeight="1">
      <c r="B1351" s="40" t="s">
        <v>28</v>
      </c>
      <c r="C1351" s="40" t="s">
        <v>28</v>
      </c>
      <c r="D1351" s="3" t="s">
        <v>38</v>
      </c>
      <c r="E1351" s="40" t="s">
        <v>38</v>
      </c>
      <c r="F1351" s="40" t="s">
        <v>377</v>
      </c>
      <c r="G1351" s="40" t="s">
        <v>375</v>
      </c>
      <c r="H1351" s="67" t="str">
        <f>Table1[[#This Row],[Tabela]]&amp;Table1[[#This Row],[Campo]]</f>
        <v>lt825_mthd_usd_instrmntmthd_usd_instrmnt_scp_3</v>
      </c>
      <c r="I1351" s="3" t="s">
        <v>30</v>
      </c>
      <c r="J1351" s="47">
        <f>VLOOKUP(Table1[[#This Row],[Status]],Auxiliar!$B$16:$C$23,2,0)</f>
        <v>7</v>
      </c>
      <c r="K1351" s="47" t="s">
        <v>1138</v>
      </c>
      <c r="L1351" s="48" t="s">
        <v>1144</v>
      </c>
      <c r="M1351" s="22" t="s">
        <v>1145</v>
      </c>
      <c r="N1351" s="53">
        <v>45485</v>
      </c>
      <c r="O1351" s="22">
        <f>INDEX(Auxiliar!$D$5:$F$13,MATCH(Table1[[#This Row],[Tipologia_Testes]],Auxiliar!$B$5:$B$13,0),MATCH(Table1[[#This Row],[Complexidade]],Auxiliar!$D$4:$F$4,0))</f>
        <v>2</v>
      </c>
      <c r="P1351" s="45"/>
      <c r="Q1351" s="132"/>
      <c r="R1351" s="173">
        <v>45261</v>
      </c>
      <c r="S1351" s="173"/>
      <c r="T1351" s="173"/>
      <c r="U1351" s="173"/>
      <c r="V1351" s="173"/>
      <c r="W1351" s="3">
        <f>VLOOKUP(Table1[[#This Row],[Status]],Auxiliar!$B$16:$D$23,3,0)*Table1[[#This Row],[Estimação (horas)]]</f>
        <v>0</v>
      </c>
      <c r="X1351" s="132"/>
    </row>
    <row r="1352" spans="2:24" ht="17.399999999999999" hidden="1" customHeight="1">
      <c r="B1352" s="40" t="s">
        <v>28</v>
      </c>
      <c r="C1352" s="40" t="s">
        <v>28</v>
      </c>
      <c r="D1352" s="3" t="s">
        <v>38</v>
      </c>
      <c r="E1352" s="40" t="s">
        <v>38</v>
      </c>
      <c r="F1352" s="40" t="s">
        <v>377</v>
      </c>
      <c r="G1352" s="40" t="s">
        <v>375</v>
      </c>
      <c r="H1352" s="67" t="str">
        <f>Table1[[#This Row],[Tabela]]&amp;Table1[[#This Row],[Campo]]</f>
        <v>lt825_mthd_usd_instrmntmthd_usd_instrmnt_scp_3</v>
      </c>
      <c r="I1352" s="3" t="s">
        <v>30</v>
      </c>
      <c r="J1352" s="47">
        <f>VLOOKUP(Table1[[#This Row],[Status]],Auxiliar!$B$16:$C$23,2,0)</f>
        <v>7</v>
      </c>
      <c r="K1352" s="47" t="s">
        <v>1141</v>
      </c>
      <c r="L1352" s="48" t="s">
        <v>1144</v>
      </c>
      <c r="M1352" s="22" t="s">
        <v>1145</v>
      </c>
      <c r="N1352" s="53">
        <v>45485</v>
      </c>
      <c r="O1352" s="22">
        <f>INDEX(Auxiliar!$D$5:$F$13,MATCH(Table1[[#This Row],[Tipologia_Testes]],Auxiliar!$B$5:$B$13,0),MATCH(Table1[[#This Row],[Complexidade]],Auxiliar!$D$4:$F$4,0))</f>
        <v>0.1</v>
      </c>
      <c r="P1352" s="45"/>
      <c r="Q1352" s="132"/>
      <c r="R1352" s="173">
        <v>45261</v>
      </c>
      <c r="S1352" s="173"/>
      <c r="T1352" s="173"/>
      <c r="U1352" s="173"/>
      <c r="V1352" s="173"/>
      <c r="W1352" s="3">
        <f>VLOOKUP(Table1[[#This Row],[Status]],Auxiliar!$B$16:$D$23,3,0)*Table1[[#This Row],[Estimação (horas)]]</f>
        <v>0</v>
      </c>
      <c r="X1352" s="132"/>
    </row>
    <row r="1353" spans="2:24" ht="17.399999999999999" hidden="1" customHeight="1">
      <c r="B1353" s="40" t="s">
        <v>28</v>
      </c>
      <c r="C1353" s="40" t="s">
        <v>28</v>
      </c>
      <c r="D1353" s="3" t="s">
        <v>38</v>
      </c>
      <c r="E1353" s="41" t="s">
        <v>38</v>
      </c>
      <c r="F1353" s="41" t="s">
        <v>380</v>
      </c>
      <c r="G1353" s="41" t="s">
        <v>378</v>
      </c>
      <c r="H1353" s="68" t="str">
        <f>Table1[[#This Row],[Tabela]]&amp;Table1[[#This Row],[Campo]]</f>
        <v>lt826_esg_sbsctrambito</v>
      </c>
      <c r="I1353" s="3" t="s">
        <v>30</v>
      </c>
      <c r="J1353" s="47">
        <f>VLOOKUP(Table1[[#This Row],[Status]],Auxiliar!$B$16:$C$23,2,0)</f>
        <v>7</v>
      </c>
      <c r="K1353" s="47" t="s">
        <v>1137</v>
      </c>
      <c r="L1353" s="48" t="s">
        <v>1144</v>
      </c>
      <c r="M1353" s="22" t="s">
        <v>1145</v>
      </c>
      <c r="N1353" s="53">
        <v>45485</v>
      </c>
      <c r="O1353" s="22">
        <f>INDEX(Auxiliar!$D$5:$F$13,MATCH(Table1[[#This Row],[Tipologia_Testes]],Auxiliar!$B$5:$B$13,0),MATCH(Table1[[#This Row],[Complexidade]],Auxiliar!$D$4:$F$4,0))</f>
        <v>2</v>
      </c>
      <c r="P1353" s="45"/>
      <c r="Q1353" s="132"/>
      <c r="R1353" s="173">
        <v>45261</v>
      </c>
      <c r="S1353" s="173"/>
      <c r="T1353" s="173"/>
      <c r="U1353" s="173"/>
      <c r="V1353" s="173"/>
      <c r="W1353" s="3">
        <f>VLOOKUP(Table1[[#This Row],[Status]],Auxiliar!$B$16:$D$23,3,0)*Table1[[#This Row],[Estimação (horas)]]</f>
        <v>0</v>
      </c>
      <c r="X1353" s="132"/>
    </row>
    <row r="1354" spans="2:24" ht="17.399999999999999" hidden="1" customHeight="1">
      <c r="B1354" s="40" t="s">
        <v>28</v>
      </c>
      <c r="C1354" s="40" t="s">
        <v>28</v>
      </c>
      <c r="D1354" s="3" t="s">
        <v>38</v>
      </c>
      <c r="E1354" s="40" t="s">
        <v>38</v>
      </c>
      <c r="F1354" s="40" t="s">
        <v>380</v>
      </c>
      <c r="G1354" s="40" t="s">
        <v>378</v>
      </c>
      <c r="H1354" s="67" t="str">
        <f>Table1[[#This Row],[Tabela]]&amp;Table1[[#This Row],[Campo]]</f>
        <v>lt826_esg_sbsctrambito</v>
      </c>
      <c r="I1354" s="3" t="s">
        <v>30</v>
      </c>
      <c r="J1354" s="47">
        <f>VLOOKUP(Table1[[#This Row],[Status]],Auxiliar!$B$16:$C$23,2,0)</f>
        <v>7</v>
      </c>
      <c r="K1354" s="47" t="s">
        <v>1138</v>
      </c>
      <c r="L1354" s="48" t="s">
        <v>1144</v>
      </c>
      <c r="M1354" s="22" t="s">
        <v>1145</v>
      </c>
      <c r="N1354" s="53">
        <v>45485</v>
      </c>
      <c r="O1354" s="22">
        <f>INDEX(Auxiliar!$D$5:$F$13,MATCH(Table1[[#This Row],[Tipologia_Testes]],Auxiliar!$B$5:$B$13,0),MATCH(Table1[[#This Row],[Complexidade]],Auxiliar!$D$4:$F$4,0))</f>
        <v>2</v>
      </c>
      <c r="P1354" s="45"/>
      <c r="Q1354" s="132"/>
      <c r="R1354" s="173">
        <v>45261</v>
      </c>
      <c r="S1354" s="173"/>
      <c r="T1354" s="173"/>
      <c r="U1354" s="173"/>
      <c r="V1354" s="173"/>
      <c r="W1354" s="3">
        <f>VLOOKUP(Table1[[#This Row],[Status]],Auxiliar!$B$16:$D$23,3,0)*Table1[[#This Row],[Estimação (horas)]]</f>
        <v>0</v>
      </c>
      <c r="X1354" s="132"/>
    </row>
    <row r="1355" spans="2:24" ht="17.399999999999999" hidden="1" customHeight="1">
      <c r="B1355" s="40" t="s">
        <v>28</v>
      </c>
      <c r="C1355" s="40" t="s">
        <v>28</v>
      </c>
      <c r="D1355" s="3" t="s">
        <v>38</v>
      </c>
      <c r="E1355" s="40" t="s">
        <v>38</v>
      </c>
      <c r="F1355" s="40" t="s">
        <v>380</v>
      </c>
      <c r="G1355" s="40" t="s">
        <v>378</v>
      </c>
      <c r="H1355" s="67" t="str">
        <f>Table1[[#This Row],[Tabela]]&amp;Table1[[#This Row],[Campo]]</f>
        <v>lt826_esg_sbsctrambito</v>
      </c>
      <c r="I1355" s="3" t="s">
        <v>30</v>
      </c>
      <c r="J1355" s="47">
        <f>VLOOKUP(Table1[[#This Row],[Status]],Auxiliar!$B$16:$C$23,2,0)</f>
        <v>7</v>
      </c>
      <c r="K1355" s="47" t="s">
        <v>1141</v>
      </c>
      <c r="L1355" s="48" t="s">
        <v>1144</v>
      </c>
      <c r="M1355" s="22" t="s">
        <v>1145</v>
      </c>
      <c r="N1355" s="53">
        <v>45485</v>
      </c>
      <c r="O1355" s="22">
        <f>INDEX(Auxiliar!$D$5:$F$13,MATCH(Table1[[#This Row],[Tipologia_Testes]],Auxiliar!$B$5:$B$13,0),MATCH(Table1[[#This Row],[Complexidade]],Auxiliar!$D$4:$F$4,0))</f>
        <v>0.1</v>
      </c>
      <c r="P1355" s="45"/>
      <c r="Q1355" s="132"/>
      <c r="R1355" s="173">
        <v>45261</v>
      </c>
      <c r="S1355" s="173"/>
      <c r="T1355" s="173"/>
      <c r="U1355" s="173"/>
      <c r="V1355" s="173"/>
      <c r="W1355" s="3">
        <f>VLOOKUP(Table1[[#This Row],[Status]],Auxiliar!$B$16:$D$23,3,0)*Table1[[#This Row],[Estimação (horas)]]</f>
        <v>0</v>
      </c>
      <c r="X1355" s="132"/>
    </row>
    <row r="1356" spans="2:24" ht="17.399999999999999" hidden="1" customHeight="1">
      <c r="B1356" s="40" t="s">
        <v>28</v>
      </c>
      <c r="C1356" s="40" t="s">
        <v>28</v>
      </c>
      <c r="D1356" s="3" t="s">
        <v>38</v>
      </c>
      <c r="E1356" s="41" t="s">
        <v>38</v>
      </c>
      <c r="F1356" s="41" t="s">
        <v>380</v>
      </c>
      <c r="G1356" s="41" t="s">
        <v>73</v>
      </c>
      <c r="H1356" s="68" t="str">
        <f>Table1[[#This Row],[Tabela]]&amp;Table1[[#This Row],[Campo]]</f>
        <v>lt826_esg_sbsctrref_date</v>
      </c>
      <c r="I1356" s="3" t="s">
        <v>30</v>
      </c>
      <c r="J1356" s="47">
        <f>VLOOKUP(Table1[[#This Row],[Status]],Auxiliar!$B$16:$C$23,2,0)</f>
        <v>7</v>
      </c>
      <c r="K1356" s="47" t="s">
        <v>1137</v>
      </c>
      <c r="L1356" s="48" t="s">
        <v>1144</v>
      </c>
      <c r="M1356" s="22" t="s">
        <v>1145</v>
      </c>
      <c r="N1356" s="53">
        <v>45485</v>
      </c>
      <c r="O1356" s="22">
        <f>INDEX(Auxiliar!$D$5:$F$13,MATCH(Table1[[#This Row],[Tipologia_Testes]],Auxiliar!$B$5:$B$13,0),MATCH(Table1[[#This Row],[Complexidade]],Auxiliar!$D$4:$F$4,0))</f>
        <v>2</v>
      </c>
      <c r="P1356" s="45"/>
      <c r="Q1356" s="132"/>
      <c r="R1356" s="173">
        <v>45261</v>
      </c>
      <c r="S1356" s="173"/>
      <c r="T1356" s="173"/>
      <c r="U1356" s="173"/>
      <c r="V1356" s="173"/>
      <c r="W1356" s="3">
        <f>VLOOKUP(Table1[[#This Row],[Status]],Auxiliar!$B$16:$D$23,3,0)*Table1[[#This Row],[Estimação (horas)]]</f>
        <v>0</v>
      </c>
      <c r="X1356" s="132"/>
    </row>
    <row r="1357" spans="2:24" ht="17.399999999999999" hidden="1" customHeight="1">
      <c r="B1357" s="40" t="s">
        <v>28</v>
      </c>
      <c r="C1357" s="40" t="s">
        <v>28</v>
      </c>
      <c r="D1357" s="3" t="s">
        <v>38</v>
      </c>
      <c r="E1357" s="40" t="s">
        <v>38</v>
      </c>
      <c r="F1357" s="40" t="s">
        <v>380</v>
      </c>
      <c r="G1357" s="40" t="s">
        <v>73</v>
      </c>
      <c r="H1357" s="67" t="str">
        <f>Table1[[#This Row],[Tabela]]&amp;Table1[[#This Row],[Campo]]</f>
        <v>lt826_esg_sbsctrref_date</v>
      </c>
      <c r="I1357" s="3" t="s">
        <v>30</v>
      </c>
      <c r="J1357" s="47">
        <f>VLOOKUP(Table1[[#This Row],[Status]],Auxiliar!$B$16:$C$23,2,0)</f>
        <v>7</v>
      </c>
      <c r="K1357" s="47" t="s">
        <v>1138</v>
      </c>
      <c r="L1357" s="48" t="s">
        <v>1144</v>
      </c>
      <c r="M1357" s="22" t="s">
        <v>1145</v>
      </c>
      <c r="N1357" s="53">
        <v>45485</v>
      </c>
      <c r="O1357" s="22">
        <f>INDEX(Auxiliar!$D$5:$F$13,MATCH(Table1[[#This Row],[Tipologia_Testes]],Auxiliar!$B$5:$B$13,0),MATCH(Table1[[#This Row],[Complexidade]],Auxiliar!$D$4:$F$4,0))</f>
        <v>2</v>
      </c>
      <c r="P1357" s="45"/>
      <c r="Q1357" s="132"/>
      <c r="R1357" s="173">
        <v>45261</v>
      </c>
      <c r="S1357" s="173"/>
      <c r="T1357" s="173"/>
      <c r="U1357" s="173"/>
      <c r="V1357" s="173"/>
      <c r="W1357" s="3">
        <f>VLOOKUP(Table1[[#This Row],[Status]],Auxiliar!$B$16:$D$23,3,0)*Table1[[#This Row],[Estimação (horas)]]</f>
        <v>0</v>
      </c>
      <c r="X1357" s="132"/>
    </row>
    <row r="1358" spans="2:24" ht="17.399999999999999" hidden="1" customHeight="1">
      <c r="B1358" s="40" t="s">
        <v>28</v>
      </c>
      <c r="C1358" s="40" t="s">
        <v>28</v>
      </c>
      <c r="D1358" s="3" t="s">
        <v>38</v>
      </c>
      <c r="E1358" s="40" t="s">
        <v>38</v>
      </c>
      <c r="F1358" s="40" t="s">
        <v>380</v>
      </c>
      <c r="G1358" s="40" t="s">
        <v>73</v>
      </c>
      <c r="H1358" s="67" t="str">
        <f>Table1[[#This Row],[Tabela]]&amp;Table1[[#This Row],[Campo]]</f>
        <v>lt826_esg_sbsctrref_date</v>
      </c>
      <c r="I1358" s="3" t="s">
        <v>30</v>
      </c>
      <c r="J1358" s="47">
        <f>VLOOKUP(Table1[[#This Row],[Status]],Auxiliar!$B$16:$C$23,2,0)</f>
        <v>7</v>
      </c>
      <c r="K1358" s="47" t="s">
        <v>1141</v>
      </c>
      <c r="L1358" s="48" t="s">
        <v>1144</v>
      </c>
      <c r="M1358" s="22" t="s">
        <v>1145</v>
      </c>
      <c r="N1358" s="53">
        <v>45485</v>
      </c>
      <c r="O1358" s="22">
        <f>INDEX(Auxiliar!$D$5:$F$13,MATCH(Table1[[#This Row],[Tipologia_Testes]],Auxiliar!$B$5:$B$13,0),MATCH(Table1[[#This Row],[Complexidade]],Auxiliar!$D$4:$F$4,0))</f>
        <v>0.1</v>
      </c>
      <c r="P1358" s="45"/>
      <c r="Q1358" s="132"/>
      <c r="R1358" s="173">
        <v>45261</v>
      </c>
      <c r="S1358" s="173"/>
      <c r="T1358" s="173"/>
      <c r="U1358" s="173"/>
      <c r="V1358" s="173"/>
      <c r="W1358" s="3">
        <f>VLOOKUP(Table1[[#This Row],[Status]],Auxiliar!$B$16:$D$23,3,0)*Table1[[#This Row],[Estimação (horas)]]</f>
        <v>0</v>
      </c>
      <c r="X1358" s="132"/>
    </row>
    <row r="1359" spans="2:24" ht="17.399999999999999" hidden="1" customHeight="1">
      <c r="B1359" s="40" t="s">
        <v>28</v>
      </c>
      <c r="C1359" s="40" t="s">
        <v>28</v>
      </c>
      <c r="D1359" s="3" t="s">
        <v>38</v>
      </c>
      <c r="E1359" s="41" t="s">
        <v>38</v>
      </c>
      <c r="F1359" s="41" t="s">
        <v>380</v>
      </c>
      <c r="G1359" s="41" t="s">
        <v>322</v>
      </c>
      <c r="H1359" s="68" t="str">
        <f>Table1[[#This Row],[Tabela]]&amp;Table1[[#This Row],[Campo]]</f>
        <v>lt826_esg_sbsctrordem</v>
      </c>
      <c r="I1359" s="3" t="s">
        <v>30</v>
      </c>
      <c r="J1359" s="47">
        <f>VLOOKUP(Table1[[#This Row],[Status]],Auxiliar!$B$16:$C$23,2,0)</f>
        <v>7</v>
      </c>
      <c r="K1359" s="47" t="s">
        <v>1137</v>
      </c>
      <c r="L1359" s="48" t="s">
        <v>1144</v>
      </c>
      <c r="M1359" s="22" t="s">
        <v>1145</v>
      </c>
      <c r="N1359" s="53">
        <v>45485</v>
      </c>
      <c r="O1359" s="22">
        <f>INDEX(Auxiliar!$D$5:$F$13,MATCH(Table1[[#This Row],[Tipologia_Testes]],Auxiliar!$B$5:$B$13,0),MATCH(Table1[[#This Row],[Complexidade]],Auxiliar!$D$4:$F$4,0))</f>
        <v>2</v>
      </c>
      <c r="P1359" s="45"/>
      <c r="Q1359" s="132"/>
      <c r="R1359" s="173">
        <v>45261</v>
      </c>
      <c r="S1359" s="173"/>
      <c r="T1359" s="173"/>
      <c r="U1359" s="173"/>
      <c r="V1359" s="173"/>
      <c r="W1359" s="3">
        <f>VLOOKUP(Table1[[#This Row],[Status]],Auxiliar!$B$16:$D$23,3,0)*Table1[[#This Row],[Estimação (horas)]]</f>
        <v>0</v>
      </c>
      <c r="X1359" s="132"/>
    </row>
    <row r="1360" spans="2:24" ht="17.399999999999999" hidden="1" customHeight="1">
      <c r="B1360" s="40" t="s">
        <v>28</v>
      </c>
      <c r="C1360" s="40" t="s">
        <v>28</v>
      </c>
      <c r="D1360" s="3" t="s">
        <v>38</v>
      </c>
      <c r="E1360" s="40" t="s">
        <v>38</v>
      </c>
      <c r="F1360" s="40" t="s">
        <v>380</v>
      </c>
      <c r="G1360" s="40" t="s">
        <v>322</v>
      </c>
      <c r="H1360" s="67" t="str">
        <f>Table1[[#This Row],[Tabela]]&amp;Table1[[#This Row],[Campo]]</f>
        <v>lt826_esg_sbsctrordem</v>
      </c>
      <c r="I1360" s="3" t="s">
        <v>30</v>
      </c>
      <c r="J1360" s="47">
        <f>VLOOKUP(Table1[[#This Row],[Status]],Auxiliar!$B$16:$C$23,2,0)</f>
        <v>7</v>
      </c>
      <c r="K1360" s="47" t="s">
        <v>1138</v>
      </c>
      <c r="L1360" s="48" t="s">
        <v>1144</v>
      </c>
      <c r="M1360" s="22" t="s">
        <v>1145</v>
      </c>
      <c r="N1360" s="53">
        <v>45485</v>
      </c>
      <c r="O1360" s="22">
        <f>INDEX(Auxiliar!$D$5:$F$13,MATCH(Table1[[#This Row],[Tipologia_Testes]],Auxiliar!$B$5:$B$13,0),MATCH(Table1[[#This Row],[Complexidade]],Auxiliar!$D$4:$F$4,0))</f>
        <v>2</v>
      </c>
      <c r="P1360" s="45"/>
      <c r="Q1360" s="132"/>
      <c r="R1360" s="173">
        <v>45261</v>
      </c>
      <c r="S1360" s="173"/>
      <c r="T1360" s="173"/>
      <c r="U1360" s="173"/>
      <c r="V1360" s="173"/>
      <c r="W1360" s="3">
        <f>VLOOKUP(Table1[[#This Row],[Status]],Auxiliar!$B$16:$D$23,3,0)*Table1[[#This Row],[Estimação (horas)]]</f>
        <v>0</v>
      </c>
      <c r="X1360" s="132"/>
    </row>
    <row r="1361" spans="2:24" ht="17.399999999999999" hidden="1" customHeight="1">
      <c r="B1361" s="40" t="s">
        <v>28</v>
      </c>
      <c r="C1361" s="40" t="s">
        <v>28</v>
      </c>
      <c r="D1361" s="3" t="s">
        <v>38</v>
      </c>
      <c r="E1361" s="40" t="s">
        <v>38</v>
      </c>
      <c r="F1361" s="40" t="s">
        <v>380</v>
      </c>
      <c r="G1361" s="40" t="s">
        <v>322</v>
      </c>
      <c r="H1361" s="67" t="str">
        <f>Table1[[#This Row],[Tabela]]&amp;Table1[[#This Row],[Campo]]</f>
        <v>lt826_esg_sbsctrordem</v>
      </c>
      <c r="I1361" s="3" t="s">
        <v>30</v>
      </c>
      <c r="J1361" s="47">
        <f>VLOOKUP(Table1[[#This Row],[Status]],Auxiliar!$B$16:$C$23,2,0)</f>
        <v>7</v>
      </c>
      <c r="K1361" s="47" t="s">
        <v>1141</v>
      </c>
      <c r="L1361" s="48" t="s">
        <v>1144</v>
      </c>
      <c r="M1361" s="22" t="s">
        <v>1145</v>
      </c>
      <c r="N1361" s="53">
        <v>45485</v>
      </c>
      <c r="O1361" s="22">
        <f>INDEX(Auxiliar!$D$5:$F$13,MATCH(Table1[[#This Row],[Tipologia_Testes]],Auxiliar!$B$5:$B$13,0),MATCH(Table1[[#This Row],[Complexidade]],Auxiliar!$D$4:$F$4,0))</f>
        <v>0.1</v>
      </c>
      <c r="P1361" s="45"/>
      <c r="Q1361" s="132"/>
      <c r="R1361" s="173">
        <v>45261</v>
      </c>
      <c r="S1361" s="173"/>
      <c r="T1361" s="173"/>
      <c r="U1361" s="173"/>
      <c r="V1361" s="173"/>
      <c r="W1361" s="3">
        <f>VLOOKUP(Table1[[#This Row],[Status]],Auxiliar!$B$16:$D$23,3,0)*Table1[[#This Row],[Estimação (horas)]]</f>
        <v>0</v>
      </c>
      <c r="X1361" s="132"/>
    </row>
    <row r="1362" spans="2:24" ht="17.399999999999999" hidden="1" customHeight="1">
      <c r="B1362" s="40" t="s">
        <v>28</v>
      </c>
      <c r="C1362" s="40" t="s">
        <v>28</v>
      </c>
      <c r="D1362" s="3" t="s">
        <v>38</v>
      </c>
      <c r="E1362" s="41" t="s">
        <v>38</v>
      </c>
      <c r="F1362" s="41" t="s">
        <v>380</v>
      </c>
      <c r="G1362" s="39" t="s">
        <v>381</v>
      </c>
      <c r="H1362" s="68" t="str">
        <f>Table1[[#This Row],[Tabela]]&amp;Table1[[#This Row],[Campo]]</f>
        <v>lt826_esg_sbsctrnace_code</v>
      </c>
      <c r="I1362" s="3" t="s">
        <v>30</v>
      </c>
      <c r="J1362" s="47">
        <f>VLOOKUP(Table1[[#This Row],[Status]],Auxiliar!$B$16:$C$23,2,0)</f>
        <v>7</v>
      </c>
      <c r="K1362" s="47" t="s">
        <v>1137</v>
      </c>
      <c r="L1362" s="48" t="s">
        <v>1144</v>
      </c>
      <c r="M1362" s="22" t="s">
        <v>1145</v>
      </c>
      <c r="N1362" s="53">
        <v>45485</v>
      </c>
      <c r="O1362" s="22">
        <f>INDEX(Auxiliar!$D$5:$F$13,MATCH(Table1[[#This Row],[Tipologia_Testes]],Auxiliar!$B$5:$B$13,0),MATCH(Table1[[#This Row],[Complexidade]],Auxiliar!$D$4:$F$4,0))</f>
        <v>2</v>
      </c>
      <c r="P1362" s="45"/>
      <c r="Q1362" s="132"/>
      <c r="R1362" s="173">
        <v>45261</v>
      </c>
      <c r="S1362" s="173"/>
      <c r="T1362" s="173"/>
      <c r="U1362" s="173"/>
      <c r="V1362" s="173"/>
      <c r="W1362" s="3">
        <f>VLOOKUP(Table1[[#This Row],[Status]],Auxiliar!$B$16:$D$23,3,0)*Table1[[#This Row],[Estimação (horas)]]</f>
        <v>0</v>
      </c>
      <c r="X1362" s="132"/>
    </row>
    <row r="1363" spans="2:24" ht="17.399999999999999" hidden="1" customHeight="1">
      <c r="B1363" s="40" t="s">
        <v>28</v>
      </c>
      <c r="C1363" s="40" t="s">
        <v>28</v>
      </c>
      <c r="D1363" s="3" t="s">
        <v>38</v>
      </c>
      <c r="E1363" s="40" t="s">
        <v>38</v>
      </c>
      <c r="F1363" s="40" t="s">
        <v>380</v>
      </c>
      <c r="G1363" s="40" t="s">
        <v>381</v>
      </c>
      <c r="H1363" s="67" t="str">
        <f>Table1[[#This Row],[Tabela]]&amp;Table1[[#This Row],[Campo]]</f>
        <v>lt826_esg_sbsctrnace_code</v>
      </c>
      <c r="I1363" s="3" t="s">
        <v>30</v>
      </c>
      <c r="J1363" s="47">
        <f>VLOOKUP(Table1[[#This Row],[Status]],Auxiliar!$B$16:$C$23,2,0)</f>
        <v>7</v>
      </c>
      <c r="K1363" s="47" t="s">
        <v>1138</v>
      </c>
      <c r="L1363" s="48" t="s">
        <v>1144</v>
      </c>
      <c r="M1363" s="22" t="s">
        <v>1145</v>
      </c>
      <c r="N1363" s="53">
        <v>45485</v>
      </c>
      <c r="O1363" s="22">
        <f>INDEX(Auxiliar!$D$5:$F$13,MATCH(Table1[[#This Row],[Tipologia_Testes]],Auxiliar!$B$5:$B$13,0),MATCH(Table1[[#This Row],[Complexidade]],Auxiliar!$D$4:$F$4,0))</f>
        <v>2</v>
      </c>
      <c r="P1363" s="45"/>
      <c r="Q1363" s="132"/>
      <c r="R1363" s="173">
        <v>45261</v>
      </c>
      <c r="S1363" s="173"/>
      <c r="T1363" s="173"/>
      <c r="U1363" s="173"/>
      <c r="V1363" s="173"/>
      <c r="W1363" s="3">
        <f>VLOOKUP(Table1[[#This Row],[Status]],Auxiliar!$B$16:$D$23,3,0)*Table1[[#This Row],[Estimação (horas)]]</f>
        <v>0</v>
      </c>
      <c r="X1363" s="132"/>
    </row>
    <row r="1364" spans="2:24" ht="17.399999999999999" hidden="1" customHeight="1">
      <c r="B1364" s="40" t="s">
        <v>28</v>
      </c>
      <c r="C1364" s="40" t="s">
        <v>28</v>
      </c>
      <c r="D1364" s="3" t="s">
        <v>38</v>
      </c>
      <c r="E1364" s="40" t="s">
        <v>38</v>
      </c>
      <c r="F1364" s="40" t="s">
        <v>380</v>
      </c>
      <c r="G1364" s="40" t="s">
        <v>381</v>
      </c>
      <c r="H1364" s="67" t="str">
        <f>Table1[[#This Row],[Tabela]]&amp;Table1[[#This Row],[Campo]]</f>
        <v>lt826_esg_sbsctrnace_code</v>
      </c>
      <c r="I1364" s="3" t="s">
        <v>30</v>
      </c>
      <c r="J1364" s="47">
        <f>VLOOKUP(Table1[[#This Row],[Status]],Auxiliar!$B$16:$C$23,2,0)</f>
        <v>7</v>
      </c>
      <c r="K1364" s="47" t="s">
        <v>1141</v>
      </c>
      <c r="L1364" s="48" t="s">
        <v>1144</v>
      </c>
      <c r="M1364" s="22" t="s">
        <v>1145</v>
      </c>
      <c r="N1364" s="53">
        <v>45485</v>
      </c>
      <c r="O1364" s="22">
        <f>INDEX(Auxiliar!$D$5:$F$13,MATCH(Table1[[#This Row],[Tipologia_Testes]],Auxiliar!$B$5:$B$13,0),MATCH(Table1[[#This Row],[Complexidade]],Auxiliar!$D$4:$F$4,0))</f>
        <v>0.1</v>
      </c>
      <c r="P1364" s="45"/>
      <c r="Q1364" s="132"/>
      <c r="R1364" s="173">
        <v>45261</v>
      </c>
      <c r="S1364" s="173"/>
      <c r="T1364" s="173"/>
      <c r="U1364" s="173"/>
      <c r="V1364" s="173"/>
      <c r="W1364" s="3">
        <f>VLOOKUP(Table1[[#This Row],[Status]],Auxiliar!$B$16:$D$23,3,0)*Table1[[#This Row],[Estimação (horas)]]</f>
        <v>0</v>
      </c>
      <c r="X1364" s="132"/>
    </row>
    <row r="1365" spans="2:24" ht="17.399999999999999" hidden="1" customHeight="1">
      <c r="B1365" s="40" t="s">
        <v>28</v>
      </c>
      <c r="C1365" s="40" t="s">
        <v>28</v>
      </c>
      <c r="D1365" s="3" t="s">
        <v>38</v>
      </c>
      <c r="E1365" s="41" t="s">
        <v>38</v>
      </c>
      <c r="F1365" s="41" t="s">
        <v>380</v>
      </c>
      <c r="G1365" s="39" t="s">
        <v>382</v>
      </c>
      <c r="H1365" s="68" t="str">
        <f>Table1[[#This Row],[Tabela]]&amp;Table1[[#This Row],[Campo]]</f>
        <v>lt826_esg_sbsctrcontraparte</v>
      </c>
      <c r="I1365" s="3" t="s">
        <v>30</v>
      </c>
      <c r="J1365" s="47">
        <f>VLOOKUP(Table1[[#This Row],[Status]],Auxiliar!$B$16:$C$23,2,0)</f>
        <v>7</v>
      </c>
      <c r="K1365" s="47" t="s">
        <v>1137</v>
      </c>
      <c r="L1365" s="48" t="s">
        <v>1144</v>
      </c>
      <c r="M1365" s="22" t="s">
        <v>1145</v>
      </c>
      <c r="N1365" s="53">
        <v>45485</v>
      </c>
      <c r="O1365" s="22">
        <f>INDEX(Auxiliar!$D$5:$F$13,MATCH(Table1[[#This Row],[Tipologia_Testes]],Auxiliar!$B$5:$B$13,0),MATCH(Table1[[#This Row],[Complexidade]],Auxiliar!$D$4:$F$4,0))</f>
        <v>2</v>
      </c>
      <c r="P1365" s="45"/>
      <c r="Q1365" s="132"/>
      <c r="R1365" s="173">
        <v>45261</v>
      </c>
      <c r="S1365" s="173"/>
      <c r="T1365" s="173"/>
      <c r="U1365" s="173"/>
      <c r="V1365" s="173"/>
      <c r="W1365" s="3">
        <f>VLOOKUP(Table1[[#This Row],[Status]],Auxiliar!$B$16:$D$23,3,0)*Table1[[#This Row],[Estimação (horas)]]</f>
        <v>0</v>
      </c>
      <c r="X1365" s="132"/>
    </row>
    <row r="1366" spans="2:24" ht="17.399999999999999" hidden="1" customHeight="1">
      <c r="B1366" s="40" t="s">
        <v>28</v>
      </c>
      <c r="C1366" s="40" t="s">
        <v>28</v>
      </c>
      <c r="D1366" s="3" t="s">
        <v>38</v>
      </c>
      <c r="E1366" s="40" t="s">
        <v>38</v>
      </c>
      <c r="F1366" s="40" t="s">
        <v>380</v>
      </c>
      <c r="G1366" s="40" t="s">
        <v>382</v>
      </c>
      <c r="H1366" s="67" t="str">
        <f>Table1[[#This Row],[Tabela]]&amp;Table1[[#This Row],[Campo]]</f>
        <v>lt826_esg_sbsctrcontraparte</v>
      </c>
      <c r="I1366" s="3" t="s">
        <v>30</v>
      </c>
      <c r="J1366" s="47">
        <f>VLOOKUP(Table1[[#This Row],[Status]],Auxiliar!$B$16:$C$23,2,0)</f>
        <v>7</v>
      </c>
      <c r="K1366" s="47" t="s">
        <v>1138</v>
      </c>
      <c r="L1366" s="48" t="s">
        <v>1144</v>
      </c>
      <c r="M1366" s="22" t="s">
        <v>1145</v>
      </c>
      <c r="N1366" s="53">
        <v>45485</v>
      </c>
      <c r="O1366" s="22">
        <f>INDEX(Auxiliar!$D$5:$F$13,MATCH(Table1[[#This Row],[Tipologia_Testes]],Auxiliar!$B$5:$B$13,0),MATCH(Table1[[#This Row],[Complexidade]],Auxiliar!$D$4:$F$4,0))</f>
        <v>2</v>
      </c>
      <c r="P1366" s="45"/>
      <c r="Q1366" s="132"/>
      <c r="R1366" s="173">
        <v>45261</v>
      </c>
      <c r="S1366" s="173"/>
      <c r="T1366" s="173"/>
      <c r="U1366" s="173"/>
      <c r="V1366" s="173"/>
      <c r="W1366" s="3">
        <f>VLOOKUP(Table1[[#This Row],[Status]],Auxiliar!$B$16:$D$23,3,0)*Table1[[#This Row],[Estimação (horas)]]</f>
        <v>0</v>
      </c>
      <c r="X1366" s="132"/>
    </row>
    <row r="1367" spans="2:24" ht="17.399999999999999" hidden="1" customHeight="1">
      <c r="B1367" s="40" t="s">
        <v>28</v>
      </c>
      <c r="C1367" s="40" t="s">
        <v>28</v>
      </c>
      <c r="D1367" s="3" t="s">
        <v>38</v>
      </c>
      <c r="E1367" s="40" t="s">
        <v>38</v>
      </c>
      <c r="F1367" s="40" t="s">
        <v>380</v>
      </c>
      <c r="G1367" s="40" t="s">
        <v>382</v>
      </c>
      <c r="H1367" s="67" t="str">
        <f>Table1[[#This Row],[Tabela]]&amp;Table1[[#This Row],[Campo]]</f>
        <v>lt826_esg_sbsctrcontraparte</v>
      </c>
      <c r="I1367" s="3" t="s">
        <v>30</v>
      </c>
      <c r="J1367" s="47">
        <f>VLOOKUP(Table1[[#This Row],[Status]],Auxiliar!$B$16:$C$23,2,0)</f>
        <v>7</v>
      </c>
      <c r="K1367" s="47" t="s">
        <v>1141</v>
      </c>
      <c r="L1367" s="48" t="s">
        <v>1144</v>
      </c>
      <c r="M1367" s="22" t="s">
        <v>1145</v>
      </c>
      <c r="N1367" s="53">
        <v>45485</v>
      </c>
      <c r="O1367" s="22">
        <f>INDEX(Auxiliar!$D$5:$F$13,MATCH(Table1[[#This Row],[Tipologia_Testes]],Auxiliar!$B$5:$B$13,0),MATCH(Table1[[#This Row],[Complexidade]],Auxiliar!$D$4:$F$4,0))</f>
        <v>0.1</v>
      </c>
      <c r="P1367" s="45"/>
      <c r="Q1367" s="132"/>
      <c r="R1367" s="173">
        <v>45261</v>
      </c>
      <c r="S1367" s="173"/>
      <c r="T1367" s="173"/>
      <c r="U1367" s="173"/>
      <c r="V1367" s="173"/>
      <c r="W1367" s="3">
        <f>VLOOKUP(Table1[[#This Row],[Status]],Auxiliar!$B$16:$D$23,3,0)*Table1[[#This Row],[Estimação (horas)]]</f>
        <v>0</v>
      </c>
      <c r="X1367" s="132"/>
    </row>
    <row r="1368" spans="2:24" ht="17.399999999999999" hidden="1" customHeight="1">
      <c r="B1368" s="40" t="s">
        <v>28</v>
      </c>
      <c r="C1368" s="40" t="s">
        <v>28</v>
      </c>
      <c r="D1368" s="3" t="s">
        <v>38</v>
      </c>
      <c r="E1368" s="41" t="s">
        <v>38</v>
      </c>
      <c r="F1368" s="41" t="s">
        <v>380</v>
      </c>
      <c r="G1368" s="39" t="s">
        <v>383</v>
      </c>
      <c r="H1368" s="68" t="str">
        <f>Table1[[#This Row],[Tabela]]&amp;Table1[[#This Row],[Campo]]</f>
        <v>lt826_esg_sbsctrcnatureza_juri</v>
      </c>
      <c r="I1368" s="3" t="s">
        <v>30</v>
      </c>
      <c r="J1368" s="47">
        <f>VLOOKUP(Table1[[#This Row],[Status]],Auxiliar!$B$16:$C$23,2,0)</f>
        <v>7</v>
      </c>
      <c r="K1368" s="47" t="s">
        <v>1137</v>
      </c>
      <c r="L1368" s="48" t="s">
        <v>1144</v>
      </c>
      <c r="M1368" s="22" t="s">
        <v>1145</v>
      </c>
      <c r="N1368" s="53">
        <v>45485</v>
      </c>
      <c r="O1368" s="22">
        <f>INDEX(Auxiliar!$D$5:$F$13,MATCH(Table1[[#This Row],[Tipologia_Testes]],Auxiliar!$B$5:$B$13,0),MATCH(Table1[[#This Row],[Complexidade]],Auxiliar!$D$4:$F$4,0))</f>
        <v>2</v>
      </c>
      <c r="P1368" s="45"/>
      <c r="Q1368" s="132"/>
      <c r="R1368" s="173">
        <v>45261</v>
      </c>
      <c r="S1368" s="173"/>
      <c r="T1368" s="173"/>
      <c r="U1368" s="173"/>
      <c r="V1368" s="173"/>
      <c r="W1368" s="3">
        <f>VLOOKUP(Table1[[#This Row],[Status]],Auxiliar!$B$16:$D$23,3,0)*Table1[[#This Row],[Estimação (horas)]]</f>
        <v>0</v>
      </c>
      <c r="X1368" s="132"/>
    </row>
    <row r="1369" spans="2:24" ht="17.399999999999999" hidden="1" customHeight="1">
      <c r="B1369" s="40" t="s">
        <v>28</v>
      </c>
      <c r="C1369" s="40" t="s">
        <v>28</v>
      </c>
      <c r="D1369" s="3" t="s">
        <v>38</v>
      </c>
      <c r="E1369" s="40" t="s">
        <v>38</v>
      </c>
      <c r="F1369" s="40" t="s">
        <v>380</v>
      </c>
      <c r="G1369" s="40" t="s">
        <v>383</v>
      </c>
      <c r="H1369" s="67" t="str">
        <f>Table1[[#This Row],[Tabela]]&amp;Table1[[#This Row],[Campo]]</f>
        <v>lt826_esg_sbsctrcnatureza_juri</v>
      </c>
      <c r="I1369" s="3" t="s">
        <v>30</v>
      </c>
      <c r="J1369" s="47">
        <f>VLOOKUP(Table1[[#This Row],[Status]],Auxiliar!$B$16:$C$23,2,0)</f>
        <v>7</v>
      </c>
      <c r="K1369" s="47" t="s">
        <v>1138</v>
      </c>
      <c r="L1369" s="48" t="s">
        <v>1144</v>
      </c>
      <c r="M1369" s="22" t="s">
        <v>1145</v>
      </c>
      <c r="N1369" s="53">
        <v>45485</v>
      </c>
      <c r="O1369" s="22">
        <f>INDEX(Auxiliar!$D$5:$F$13,MATCH(Table1[[#This Row],[Tipologia_Testes]],Auxiliar!$B$5:$B$13,0),MATCH(Table1[[#This Row],[Complexidade]],Auxiliar!$D$4:$F$4,0))</f>
        <v>2</v>
      </c>
      <c r="P1369" s="45"/>
      <c r="Q1369" s="132"/>
      <c r="R1369" s="173">
        <v>45261</v>
      </c>
      <c r="S1369" s="173"/>
      <c r="T1369" s="173"/>
      <c r="U1369" s="173"/>
      <c r="V1369" s="173"/>
      <c r="W1369" s="3">
        <f>VLOOKUP(Table1[[#This Row],[Status]],Auxiliar!$B$16:$D$23,3,0)*Table1[[#This Row],[Estimação (horas)]]</f>
        <v>0</v>
      </c>
      <c r="X1369" s="132"/>
    </row>
    <row r="1370" spans="2:24" ht="17.399999999999999" hidden="1" customHeight="1">
      <c r="B1370" s="40" t="s">
        <v>28</v>
      </c>
      <c r="C1370" s="40" t="s">
        <v>28</v>
      </c>
      <c r="D1370" s="3" t="s">
        <v>38</v>
      </c>
      <c r="E1370" s="40" t="s">
        <v>38</v>
      </c>
      <c r="F1370" s="40" t="s">
        <v>380</v>
      </c>
      <c r="G1370" s="40" t="s">
        <v>383</v>
      </c>
      <c r="H1370" s="67" t="str">
        <f>Table1[[#This Row],[Tabela]]&amp;Table1[[#This Row],[Campo]]</f>
        <v>lt826_esg_sbsctrcnatureza_juri</v>
      </c>
      <c r="I1370" s="3" t="s">
        <v>30</v>
      </c>
      <c r="J1370" s="47">
        <f>VLOOKUP(Table1[[#This Row],[Status]],Auxiliar!$B$16:$C$23,2,0)</f>
        <v>7</v>
      </c>
      <c r="K1370" s="47" t="s">
        <v>1141</v>
      </c>
      <c r="L1370" s="48" t="s">
        <v>1144</v>
      </c>
      <c r="M1370" s="22" t="s">
        <v>1145</v>
      </c>
      <c r="N1370" s="53">
        <v>45485</v>
      </c>
      <c r="O1370" s="22">
        <f>INDEX(Auxiliar!$D$5:$F$13,MATCH(Table1[[#This Row],[Tipologia_Testes]],Auxiliar!$B$5:$B$13,0),MATCH(Table1[[#This Row],[Complexidade]],Auxiliar!$D$4:$F$4,0))</f>
        <v>0.1</v>
      </c>
      <c r="P1370" s="45"/>
      <c r="Q1370" s="132"/>
      <c r="R1370" s="173">
        <v>45261</v>
      </c>
      <c r="S1370" s="173"/>
      <c r="T1370" s="173"/>
      <c r="U1370" s="173"/>
      <c r="V1370" s="173"/>
      <c r="W1370" s="3">
        <f>VLOOKUP(Table1[[#This Row],[Status]],Auxiliar!$B$16:$D$23,3,0)*Table1[[#This Row],[Estimação (horas)]]</f>
        <v>0</v>
      </c>
      <c r="X1370" s="132"/>
    </row>
    <row r="1371" spans="2:24" ht="17.399999999999999" hidden="1" customHeight="1">
      <c r="B1371" s="40" t="s">
        <v>28</v>
      </c>
      <c r="C1371" s="40" t="s">
        <v>28</v>
      </c>
      <c r="D1371" s="3" t="s">
        <v>38</v>
      </c>
      <c r="E1371" s="41" t="s">
        <v>38</v>
      </c>
      <c r="F1371" s="41" t="s">
        <v>380</v>
      </c>
      <c r="G1371" s="39" t="s">
        <v>384</v>
      </c>
      <c r="H1371" s="68" t="str">
        <f>Table1[[#This Row],[Tabela]]&amp;Table1[[#This Row],[Campo]]</f>
        <v>lt826_esg_sbsctridcomb</v>
      </c>
      <c r="I1371" s="3" t="s">
        <v>30</v>
      </c>
      <c r="J1371" s="47">
        <f>VLOOKUP(Table1[[#This Row],[Status]],Auxiliar!$B$16:$C$23,2,0)</f>
        <v>7</v>
      </c>
      <c r="K1371" s="47" t="s">
        <v>1137</v>
      </c>
      <c r="L1371" s="48" t="s">
        <v>1144</v>
      </c>
      <c r="M1371" s="22" t="s">
        <v>1145</v>
      </c>
      <c r="N1371" s="53">
        <v>45485</v>
      </c>
      <c r="O1371" s="22">
        <f>INDEX(Auxiliar!$D$5:$F$13,MATCH(Table1[[#This Row],[Tipologia_Testes]],Auxiliar!$B$5:$B$13,0),MATCH(Table1[[#This Row],[Complexidade]],Auxiliar!$D$4:$F$4,0))</f>
        <v>2</v>
      </c>
      <c r="P1371" s="45"/>
      <c r="Q1371" s="132"/>
      <c r="R1371" s="173">
        <v>45261</v>
      </c>
      <c r="S1371" s="173"/>
      <c r="T1371" s="173"/>
      <c r="U1371" s="173"/>
      <c r="V1371" s="173"/>
      <c r="W1371" s="3">
        <f>VLOOKUP(Table1[[#This Row],[Status]],Auxiliar!$B$16:$D$23,3,0)*Table1[[#This Row],[Estimação (horas)]]</f>
        <v>0</v>
      </c>
      <c r="X1371" s="132"/>
    </row>
    <row r="1372" spans="2:24" ht="17.399999999999999" hidden="1" customHeight="1">
      <c r="B1372" s="40" t="s">
        <v>28</v>
      </c>
      <c r="C1372" s="40" t="s">
        <v>28</v>
      </c>
      <c r="D1372" s="3" t="s">
        <v>38</v>
      </c>
      <c r="E1372" s="40" t="s">
        <v>38</v>
      </c>
      <c r="F1372" s="40" t="s">
        <v>380</v>
      </c>
      <c r="G1372" s="40" t="s">
        <v>384</v>
      </c>
      <c r="H1372" s="67" t="str">
        <f>Table1[[#This Row],[Tabela]]&amp;Table1[[#This Row],[Campo]]</f>
        <v>lt826_esg_sbsctridcomb</v>
      </c>
      <c r="I1372" s="3" t="s">
        <v>30</v>
      </c>
      <c r="J1372" s="47">
        <f>VLOOKUP(Table1[[#This Row],[Status]],Auxiliar!$B$16:$C$23,2,0)</f>
        <v>7</v>
      </c>
      <c r="K1372" s="47" t="s">
        <v>1138</v>
      </c>
      <c r="L1372" s="48" t="s">
        <v>1144</v>
      </c>
      <c r="M1372" s="22" t="s">
        <v>1145</v>
      </c>
      <c r="N1372" s="53">
        <v>45485</v>
      </c>
      <c r="O1372" s="22">
        <f>INDEX(Auxiliar!$D$5:$F$13,MATCH(Table1[[#This Row],[Tipologia_Testes]],Auxiliar!$B$5:$B$13,0),MATCH(Table1[[#This Row],[Complexidade]],Auxiliar!$D$4:$F$4,0))</f>
        <v>2</v>
      </c>
      <c r="P1372" s="45"/>
      <c r="Q1372" s="132"/>
      <c r="R1372" s="173">
        <v>45261</v>
      </c>
      <c r="S1372" s="173"/>
      <c r="T1372" s="173"/>
      <c r="U1372" s="173"/>
      <c r="V1372" s="173"/>
      <c r="W1372" s="3">
        <f>VLOOKUP(Table1[[#This Row],[Status]],Auxiliar!$B$16:$D$23,3,0)*Table1[[#This Row],[Estimação (horas)]]</f>
        <v>0</v>
      </c>
      <c r="X1372" s="132"/>
    </row>
    <row r="1373" spans="2:24" ht="17.399999999999999" hidden="1" customHeight="1">
      <c r="B1373" s="40" t="s">
        <v>28</v>
      </c>
      <c r="C1373" s="40" t="s">
        <v>28</v>
      </c>
      <c r="D1373" s="3" t="s">
        <v>38</v>
      </c>
      <c r="E1373" s="40" t="s">
        <v>38</v>
      </c>
      <c r="F1373" s="40" t="s">
        <v>380</v>
      </c>
      <c r="G1373" s="40" t="s">
        <v>384</v>
      </c>
      <c r="H1373" s="67" t="str">
        <f>Table1[[#This Row],[Tabela]]&amp;Table1[[#This Row],[Campo]]</f>
        <v>lt826_esg_sbsctridcomb</v>
      </c>
      <c r="I1373" s="3" t="s">
        <v>30</v>
      </c>
      <c r="J1373" s="47">
        <f>VLOOKUP(Table1[[#This Row],[Status]],Auxiliar!$B$16:$C$23,2,0)</f>
        <v>7</v>
      </c>
      <c r="K1373" s="47" t="s">
        <v>1141</v>
      </c>
      <c r="L1373" s="48" t="s">
        <v>1144</v>
      </c>
      <c r="M1373" s="22" t="s">
        <v>1145</v>
      </c>
      <c r="N1373" s="53">
        <v>45485</v>
      </c>
      <c r="O1373" s="22">
        <f>INDEX(Auxiliar!$D$5:$F$13,MATCH(Table1[[#This Row],[Tipologia_Testes]],Auxiliar!$B$5:$B$13,0),MATCH(Table1[[#This Row],[Complexidade]],Auxiliar!$D$4:$F$4,0))</f>
        <v>0.1</v>
      </c>
      <c r="P1373" s="45"/>
      <c r="Q1373" s="132"/>
      <c r="R1373" s="173">
        <v>45261</v>
      </c>
      <c r="S1373" s="173"/>
      <c r="T1373" s="173"/>
      <c r="U1373" s="173"/>
      <c r="V1373" s="173"/>
      <c r="W1373" s="3">
        <f>VLOOKUP(Table1[[#This Row],[Status]],Auxiliar!$B$16:$D$23,3,0)*Table1[[#This Row],[Estimação (horas)]]</f>
        <v>0</v>
      </c>
      <c r="X1373" s="132"/>
    </row>
    <row r="1374" spans="2:24" ht="17.399999999999999" hidden="1" customHeight="1">
      <c r="B1374" s="40" t="s">
        <v>28</v>
      </c>
      <c r="C1374" s="40" t="s">
        <v>28</v>
      </c>
      <c r="D1374" s="3" t="s">
        <v>38</v>
      </c>
      <c r="E1374" s="41" t="s">
        <v>38</v>
      </c>
      <c r="F1374" s="41" t="s">
        <v>380</v>
      </c>
      <c r="G1374" s="39" t="s">
        <v>348</v>
      </c>
      <c r="H1374" s="68" t="str">
        <f>Table1[[#This Row],[Tabela]]&amp;Table1[[#This Row],[Campo]]</f>
        <v>lt826_esg_sbsctresg_sbsctr</v>
      </c>
      <c r="I1374" s="3" t="s">
        <v>30</v>
      </c>
      <c r="J1374" s="47">
        <f>VLOOKUP(Table1[[#This Row],[Status]],Auxiliar!$B$16:$C$23,2,0)</f>
        <v>7</v>
      </c>
      <c r="K1374" s="47" t="s">
        <v>1137</v>
      </c>
      <c r="L1374" s="48" t="s">
        <v>1144</v>
      </c>
      <c r="M1374" s="22" t="s">
        <v>1145</v>
      </c>
      <c r="N1374" s="53">
        <v>45485</v>
      </c>
      <c r="O1374" s="22">
        <f>INDEX(Auxiliar!$D$5:$F$13,MATCH(Table1[[#This Row],[Tipologia_Testes]],Auxiliar!$B$5:$B$13,0),MATCH(Table1[[#This Row],[Complexidade]],Auxiliar!$D$4:$F$4,0))</f>
        <v>2</v>
      </c>
      <c r="P1374" s="45"/>
      <c r="Q1374" s="132"/>
      <c r="R1374" s="173">
        <v>45261</v>
      </c>
      <c r="S1374" s="173"/>
      <c r="T1374" s="173"/>
      <c r="U1374" s="173"/>
      <c r="V1374" s="173"/>
      <c r="W1374" s="3">
        <f>VLOOKUP(Table1[[#This Row],[Status]],Auxiliar!$B$16:$D$23,3,0)*Table1[[#This Row],[Estimação (horas)]]</f>
        <v>0</v>
      </c>
      <c r="X1374" s="132"/>
    </row>
    <row r="1375" spans="2:24" ht="17.399999999999999" hidden="1" customHeight="1">
      <c r="B1375" s="40" t="s">
        <v>28</v>
      </c>
      <c r="C1375" s="40" t="s">
        <v>28</v>
      </c>
      <c r="D1375" s="3" t="s">
        <v>38</v>
      </c>
      <c r="E1375" s="40" t="s">
        <v>38</v>
      </c>
      <c r="F1375" s="40" t="s">
        <v>380</v>
      </c>
      <c r="G1375" s="40" t="s">
        <v>348</v>
      </c>
      <c r="H1375" s="67" t="str">
        <f>Table1[[#This Row],[Tabela]]&amp;Table1[[#This Row],[Campo]]</f>
        <v>lt826_esg_sbsctresg_sbsctr</v>
      </c>
      <c r="I1375" s="3" t="s">
        <v>30</v>
      </c>
      <c r="J1375" s="47">
        <f>VLOOKUP(Table1[[#This Row],[Status]],Auxiliar!$B$16:$C$23,2,0)</f>
        <v>7</v>
      </c>
      <c r="K1375" s="47" t="s">
        <v>1138</v>
      </c>
      <c r="L1375" s="48" t="s">
        <v>1144</v>
      </c>
      <c r="M1375" s="22" t="s">
        <v>1145</v>
      </c>
      <c r="N1375" s="53">
        <v>45485</v>
      </c>
      <c r="O1375" s="22">
        <f>INDEX(Auxiliar!$D$5:$F$13,MATCH(Table1[[#This Row],[Tipologia_Testes]],Auxiliar!$B$5:$B$13,0),MATCH(Table1[[#This Row],[Complexidade]],Auxiliar!$D$4:$F$4,0))</f>
        <v>2</v>
      </c>
      <c r="P1375" s="45"/>
      <c r="Q1375" s="132"/>
      <c r="R1375" s="173">
        <v>45261</v>
      </c>
      <c r="S1375" s="173"/>
      <c r="T1375" s="173"/>
      <c r="U1375" s="173"/>
      <c r="V1375" s="173"/>
      <c r="W1375" s="3">
        <f>VLOOKUP(Table1[[#This Row],[Status]],Auxiliar!$B$16:$D$23,3,0)*Table1[[#This Row],[Estimação (horas)]]</f>
        <v>0</v>
      </c>
      <c r="X1375" s="132"/>
    </row>
    <row r="1376" spans="2:24" ht="17.399999999999999" hidden="1" customHeight="1">
      <c r="B1376" s="40" t="s">
        <v>28</v>
      </c>
      <c r="C1376" s="40" t="s">
        <v>28</v>
      </c>
      <c r="D1376" s="3" t="s">
        <v>38</v>
      </c>
      <c r="E1376" s="40" t="s">
        <v>38</v>
      </c>
      <c r="F1376" s="40" t="s">
        <v>380</v>
      </c>
      <c r="G1376" s="40" t="s">
        <v>348</v>
      </c>
      <c r="H1376" s="67" t="str">
        <f>Table1[[#This Row],[Tabela]]&amp;Table1[[#This Row],[Campo]]</f>
        <v>lt826_esg_sbsctresg_sbsctr</v>
      </c>
      <c r="I1376" s="3" t="s">
        <v>30</v>
      </c>
      <c r="J1376" s="47">
        <f>VLOOKUP(Table1[[#This Row],[Status]],Auxiliar!$B$16:$C$23,2,0)</f>
        <v>7</v>
      </c>
      <c r="K1376" s="47" t="s">
        <v>1141</v>
      </c>
      <c r="L1376" s="48" t="s">
        <v>1144</v>
      </c>
      <c r="M1376" s="22" t="s">
        <v>1145</v>
      </c>
      <c r="N1376" s="53">
        <v>45485</v>
      </c>
      <c r="O1376" s="22">
        <f>INDEX(Auxiliar!$D$5:$F$13,MATCH(Table1[[#This Row],[Tipologia_Testes]],Auxiliar!$B$5:$B$13,0),MATCH(Table1[[#This Row],[Complexidade]],Auxiliar!$D$4:$F$4,0))</f>
        <v>0.1</v>
      </c>
      <c r="P1376" s="45"/>
      <c r="Q1376" s="132"/>
      <c r="R1376" s="173">
        <v>45261</v>
      </c>
      <c r="S1376" s="173"/>
      <c r="T1376" s="173"/>
      <c r="U1376" s="173"/>
      <c r="V1376" s="173"/>
      <c r="W1376" s="3">
        <f>VLOOKUP(Table1[[#This Row],[Status]],Auxiliar!$B$16:$D$23,3,0)*Table1[[#This Row],[Estimação (horas)]]</f>
        <v>0</v>
      </c>
      <c r="X1376" s="132"/>
    </row>
    <row r="1377" spans="2:24" ht="17.399999999999999" hidden="1" customHeight="1">
      <c r="B1377" s="40" t="s">
        <v>28</v>
      </c>
      <c r="C1377" s="40" t="s">
        <v>28</v>
      </c>
      <c r="D1377" s="3" t="s">
        <v>38</v>
      </c>
      <c r="E1377" s="41" t="s">
        <v>38</v>
      </c>
      <c r="F1377" s="41" t="s">
        <v>380</v>
      </c>
      <c r="G1377" s="39" t="s">
        <v>385</v>
      </c>
      <c r="H1377" s="68" t="str">
        <f>Table1[[#This Row],[Tabela]]&amp;Table1[[#This Row],[Campo]]</f>
        <v>lt826_esg_sbsctrdescrição</v>
      </c>
      <c r="I1377" s="3" t="s">
        <v>30</v>
      </c>
      <c r="J1377" s="47">
        <f>VLOOKUP(Table1[[#This Row],[Status]],Auxiliar!$B$16:$C$23,2,0)</f>
        <v>7</v>
      </c>
      <c r="K1377" s="47" t="s">
        <v>1137</v>
      </c>
      <c r="L1377" s="48" t="s">
        <v>1144</v>
      </c>
      <c r="M1377" s="22" t="s">
        <v>1145</v>
      </c>
      <c r="N1377" s="53">
        <v>45485</v>
      </c>
      <c r="O1377" s="22">
        <f>INDEX(Auxiliar!$D$5:$F$13,MATCH(Table1[[#This Row],[Tipologia_Testes]],Auxiliar!$B$5:$B$13,0),MATCH(Table1[[#This Row],[Complexidade]],Auxiliar!$D$4:$F$4,0))</f>
        <v>2</v>
      </c>
      <c r="P1377" s="45"/>
      <c r="Q1377" s="132"/>
      <c r="R1377" s="173">
        <v>45261</v>
      </c>
      <c r="S1377" s="173"/>
      <c r="T1377" s="173"/>
      <c r="U1377" s="173"/>
      <c r="V1377" s="173"/>
      <c r="W1377" s="3">
        <f>VLOOKUP(Table1[[#This Row],[Status]],Auxiliar!$B$16:$D$23,3,0)*Table1[[#This Row],[Estimação (horas)]]</f>
        <v>0</v>
      </c>
      <c r="X1377" s="132"/>
    </row>
    <row r="1378" spans="2:24" ht="17.399999999999999" hidden="1" customHeight="1">
      <c r="B1378" s="40" t="s">
        <v>28</v>
      </c>
      <c r="C1378" s="40" t="s">
        <v>28</v>
      </c>
      <c r="D1378" s="3" t="s">
        <v>38</v>
      </c>
      <c r="E1378" s="120" t="s">
        <v>38</v>
      </c>
      <c r="F1378" s="40" t="s">
        <v>380</v>
      </c>
      <c r="G1378" s="40" t="s">
        <v>385</v>
      </c>
      <c r="H1378" s="67" t="str">
        <f>Table1[[#This Row],[Tabela]]&amp;Table1[[#This Row],[Campo]]</f>
        <v>lt826_esg_sbsctrdescrição</v>
      </c>
      <c r="I1378" s="3" t="s">
        <v>30</v>
      </c>
      <c r="J1378" s="47">
        <f>VLOOKUP(Table1[[#This Row],[Status]],Auxiliar!$B$16:$C$23,2,0)</f>
        <v>7</v>
      </c>
      <c r="K1378" s="47" t="s">
        <v>1138</v>
      </c>
      <c r="L1378" s="48" t="s">
        <v>1144</v>
      </c>
      <c r="M1378" s="22" t="s">
        <v>1145</v>
      </c>
      <c r="N1378" s="53">
        <v>45485</v>
      </c>
      <c r="O1378" s="22">
        <f>INDEX(Auxiliar!$D$5:$F$13,MATCH(Table1[[#This Row],[Tipologia_Testes]],Auxiliar!$B$5:$B$13,0),MATCH(Table1[[#This Row],[Complexidade]],Auxiliar!$D$4:$F$4,0))</f>
        <v>2</v>
      </c>
      <c r="P1378" s="49"/>
      <c r="Q1378" s="132"/>
      <c r="R1378" s="173">
        <v>45261</v>
      </c>
      <c r="S1378" s="173"/>
      <c r="T1378" s="173"/>
      <c r="U1378" s="173"/>
      <c r="V1378" s="173"/>
      <c r="W1378" s="3">
        <f>VLOOKUP(Table1[[#This Row],[Status]],Auxiliar!$B$16:$D$23,3,0)*Table1[[#This Row],[Estimação (horas)]]</f>
        <v>0</v>
      </c>
      <c r="X1378" s="132"/>
    </row>
    <row r="1379" spans="2:24" ht="17.399999999999999" hidden="1" customHeight="1">
      <c r="B1379" s="40" t="s">
        <v>28</v>
      </c>
      <c r="C1379" s="40" t="s">
        <v>28</v>
      </c>
      <c r="D1379" s="3" t="s">
        <v>38</v>
      </c>
      <c r="E1379" s="120" t="s">
        <v>38</v>
      </c>
      <c r="F1379" s="40" t="s">
        <v>380</v>
      </c>
      <c r="G1379" s="40" t="s">
        <v>385</v>
      </c>
      <c r="H1379" s="67" t="str">
        <f>Table1[[#This Row],[Tabela]]&amp;Table1[[#This Row],[Campo]]</f>
        <v>lt826_esg_sbsctrdescrição</v>
      </c>
      <c r="I1379" s="3" t="s">
        <v>30</v>
      </c>
      <c r="J1379" s="47">
        <f>VLOOKUP(Table1[[#This Row],[Status]],Auxiliar!$B$16:$C$23,2,0)</f>
        <v>7</v>
      </c>
      <c r="K1379" s="47" t="s">
        <v>1141</v>
      </c>
      <c r="L1379" s="48" t="s">
        <v>1144</v>
      </c>
      <c r="M1379" s="22" t="s">
        <v>1145</v>
      </c>
      <c r="N1379" s="53">
        <v>45485</v>
      </c>
      <c r="O1379" s="22">
        <f>INDEX(Auxiliar!$D$5:$F$13,MATCH(Table1[[#This Row],[Tipologia_Testes]],Auxiliar!$B$5:$B$13,0),MATCH(Table1[[#This Row],[Complexidade]],Auxiliar!$D$4:$F$4,0))</f>
        <v>0.1</v>
      </c>
      <c r="P1379" s="49"/>
      <c r="Q1379" s="132"/>
      <c r="R1379" s="173">
        <v>45261</v>
      </c>
      <c r="S1379" s="173"/>
      <c r="T1379" s="173"/>
      <c r="U1379" s="173"/>
      <c r="V1379" s="173"/>
      <c r="W1379" s="3">
        <f>VLOOKUP(Table1[[#This Row],[Status]],Auxiliar!$B$16:$D$23,3,0)*Table1[[#This Row],[Estimação (horas)]]</f>
        <v>0</v>
      </c>
      <c r="X1379" s="132"/>
    </row>
    <row r="1380" spans="2:24" ht="17.399999999999999" hidden="1" customHeight="1">
      <c r="B1380" s="40" t="s">
        <v>28</v>
      </c>
      <c r="C1380" s="40" t="s">
        <v>28</v>
      </c>
      <c r="D1380" s="121" t="s">
        <v>387</v>
      </c>
      <c r="E1380" s="120" t="s">
        <v>38</v>
      </c>
      <c r="F1380" s="122" t="s">
        <v>367</v>
      </c>
      <c r="G1380" s="121" t="s">
        <v>386</v>
      </c>
      <c r="H1380" s="123" t="str">
        <f>Table1[[#This Row],[Tabela]]&amp;Table1[[#This Row],[Campo]]</f>
        <v>lt002_instrumentdt_rfrnc</v>
      </c>
      <c r="I1380" s="3" t="s">
        <v>477</v>
      </c>
      <c r="J1380" s="124">
        <f>VLOOKUP(Table1[[#This Row],[Status]],Auxiliar!$B$16:$C$23,2,0)</f>
        <v>1</v>
      </c>
      <c r="K1380" s="125" t="s">
        <v>1143</v>
      </c>
      <c r="L1380" s="48" t="s">
        <v>1144</v>
      </c>
      <c r="M1380" s="22" t="s">
        <v>1145</v>
      </c>
      <c r="N1380" s="126">
        <v>45506</v>
      </c>
      <c r="O1380" s="130">
        <v>0.1</v>
      </c>
      <c r="P1380" s="122"/>
      <c r="Q1380" s="127"/>
      <c r="R1380" s="173"/>
      <c r="S1380" s="173"/>
      <c r="T1380" s="173"/>
      <c r="U1380" s="173"/>
      <c r="V1380" s="173"/>
      <c r="W1380" s="3">
        <f>VLOOKUP(Table1[[#This Row],[Status]],Auxiliar!$B$16:$D$23,3,0)*Table1[[#This Row],[Estimação (horas)]]</f>
        <v>0.1</v>
      </c>
      <c r="X1380" s="127"/>
    </row>
    <row r="1381" spans="2:24" ht="17.399999999999999" hidden="1" customHeight="1">
      <c r="B1381" s="40" t="s">
        <v>28</v>
      </c>
      <c r="C1381" s="40" t="s">
        <v>28</v>
      </c>
      <c r="D1381" s="121" t="s">
        <v>387</v>
      </c>
      <c r="E1381" s="120" t="s">
        <v>38</v>
      </c>
      <c r="F1381" s="122" t="s">
        <v>367</v>
      </c>
      <c r="G1381" s="121" t="s">
        <v>388</v>
      </c>
      <c r="H1381" s="123" t="str">
        <f>Table1[[#This Row],[Tabela]]&amp;Table1[[#This Row],[Campo]]</f>
        <v>lt002_instrumentinstrmnt_id</v>
      </c>
      <c r="I1381" s="3" t="s">
        <v>477</v>
      </c>
      <c r="J1381" s="124">
        <f>VLOOKUP(Table1[[#This Row],[Status]],Auxiliar!$B$16:$C$23,2,0)</f>
        <v>1</v>
      </c>
      <c r="K1381" s="125" t="s">
        <v>1143</v>
      </c>
      <c r="L1381" s="48" t="s">
        <v>1144</v>
      </c>
      <c r="M1381" s="22" t="s">
        <v>1145</v>
      </c>
      <c r="N1381" s="126">
        <v>45506</v>
      </c>
      <c r="O1381" s="130">
        <v>0.1</v>
      </c>
      <c r="P1381" s="122"/>
      <c r="Q1381" s="127"/>
      <c r="R1381" s="173"/>
      <c r="S1381" s="173"/>
      <c r="T1381" s="173"/>
      <c r="U1381" s="173"/>
      <c r="V1381" s="173"/>
      <c r="W1381" s="3">
        <f>VLOOKUP(Table1[[#This Row],[Status]],Auxiliar!$B$16:$D$23,3,0)*Table1[[#This Row],[Estimação (horas)]]</f>
        <v>0.1</v>
      </c>
      <c r="X1381" s="127"/>
    </row>
    <row r="1382" spans="2:24" ht="17.399999999999999" hidden="1" customHeight="1">
      <c r="B1382" s="40" t="s">
        <v>28</v>
      </c>
      <c r="C1382" s="40" t="s">
        <v>28</v>
      </c>
      <c r="D1382" s="121" t="s">
        <v>387</v>
      </c>
      <c r="E1382" s="120" t="s">
        <v>38</v>
      </c>
      <c r="F1382" s="122" t="s">
        <v>367</v>
      </c>
      <c r="G1382" s="121" t="s">
        <v>389</v>
      </c>
      <c r="H1382" s="123" t="str">
        <f>Table1[[#This Row],[Tabela]]&amp;Table1[[#This Row],[Campo]]</f>
        <v>lt002_instrumentdt_incptn</v>
      </c>
      <c r="I1382" s="3" t="s">
        <v>477</v>
      </c>
      <c r="J1382" s="124">
        <f>VLOOKUP(Table1[[#This Row],[Status]],Auxiliar!$B$16:$C$23,2,0)</f>
        <v>1</v>
      </c>
      <c r="K1382" s="125" t="s">
        <v>1143</v>
      </c>
      <c r="L1382" s="48" t="s">
        <v>1144</v>
      </c>
      <c r="M1382" s="22" t="s">
        <v>1145</v>
      </c>
      <c r="N1382" s="126">
        <v>45506</v>
      </c>
      <c r="O1382" s="130">
        <v>0.1</v>
      </c>
      <c r="P1382" s="122"/>
      <c r="Q1382" s="127"/>
      <c r="R1382" s="173"/>
      <c r="S1382" s="173"/>
      <c r="T1382" s="173"/>
      <c r="U1382" s="173"/>
      <c r="V1382" s="173"/>
      <c r="W1382" s="3">
        <f>VLOOKUP(Table1[[#This Row],[Status]],Auxiliar!$B$16:$D$23,3,0)*Table1[[#This Row],[Estimação (horas)]]</f>
        <v>0.1</v>
      </c>
      <c r="X1382" s="127"/>
    </row>
    <row r="1383" spans="2:24" ht="17.399999999999999" hidden="1" customHeight="1">
      <c r="B1383" s="40" t="s">
        <v>28</v>
      </c>
      <c r="C1383" s="40" t="s">
        <v>28</v>
      </c>
      <c r="D1383" s="121" t="s">
        <v>387</v>
      </c>
      <c r="E1383" s="120" t="s">
        <v>38</v>
      </c>
      <c r="F1383" s="122" t="s">
        <v>367</v>
      </c>
      <c r="G1383" s="121" t="s">
        <v>390</v>
      </c>
      <c r="H1383" s="123" t="str">
        <f>Table1[[#This Row],[Tabela]]&amp;Table1[[#This Row],[Campo]]</f>
        <v>lt002_instrumentdflt_stts_instrmnt</v>
      </c>
      <c r="I1383" s="3" t="s">
        <v>477</v>
      </c>
      <c r="J1383" s="124">
        <f>VLOOKUP(Table1[[#This Row],[Status]],Auxiliar!$B$16:$C$23,2,0)</f>
        <v>1</v>
      </c>
      <c r="K1383" s="125" t="s">
        <v>1143</v>
      </c>
      <c r="L1383" s="48" t="s">
        <v>1144</v>
      </c>
      <c r="M1383" s="22" t="s">
        <v>1145</v>
      </c>
      <c r="N1383" s="126">
        <v>45509</v>
      </c>
      <c r="O1383" s="130">
        <v>0.1</v>
      </c>
      <c r="P1383" s="122"/>
      <c r="Q1383" s="127"/>
      <c r="R1383" s="173"/>
      <c r="S1383" s="173"/>
      <c r="T1383" s="173"/>
      <c r="U1383" s="173"/>
      <c r="V1383" s="173"/>
      <c r="W1383" s="3">
        <f>VLOOKUP(Table1[[#This Row],[Status]],Auxiliar!$B$16:$D$23,3,0)*Table1[[#This Row],[Estimação (horas)]]</f>
        <v>0.1</v>
      </c>
      <c r="X1383" s="127"/>
    </row>
    <row r="1384" spans="2:24" ht="17.399999999999999" hidden="1" customHeight="1">
      <c r="B1384" s="40" t="s">
        <v>28</v>
      </c>
      <c r="C1384" s="40" t="s">
        <v>28</v>
      </c>
      <c r="D1384" s="121" t="s">
        <v>387</v>
      </c>
      <c r="E1384" s="120" t="s">
        <v>38</v>
      </c>
      <c r="F1384" s="122" t="s">
        <v>367</v>
      </c>
      <c r="G1384" s="121" t="s">
        <v>391</v>
      </c>
      <c r="H1384" s="123" t="str">
        <f>Table1[[#This Row],[Tabela]]&amp;Table1[[#This Row],[Campo]]</f>
        <v>lt002_instrumentimprmnt_stts</v>
      </c>
      <c r="I1384" s="3" t="s">
        <v>477</v>
      </c>
      <c r="J1384" s="124">
        <f>VLOOKUP(Table1[[#This Row],[Status]],Auxiliar!$B$16:$C$23,2,0)</f>
        <v>1</v>
      </c>
      <c r="K1384" s="125" t="s">
        <v>1143</v>
      </c>
      <c r="L1384" s="48" t="s">
        <v>1144</v>
      </c>
      <c r="M1384" s="22" t="s">
        <v>1145</v>
      </c>
      <c r="N1384" s="126">
        <v>45506</v>
      </c>
      <c r="O1384" s="130">
        <v>0.1</v>
      </c>
      <c r="P1384" s="122"/>
      <c r="Q1384" s="127"/>
      <c r="R1384" s="173"/>
      <c r="S1384" s="173"/>
      <c r="T1384" s="173"/>
      <c r="U1384" s="173"/>
      <c r="V1384" s="173"/>
      <c r="W1384" s="3">
        <f>VLOOKUP(Table1[[#This Row],[Status]],Auxiliar!$B$16:$D$23,3,0)*Table1[[#This Row],[Estimação (horas)]]</f>
        <v>0.1</v>
      </c>
      <c r="X1384" s="127"/>
    </row>
    <row r="1385" spans="2:24" ht="17.399999999999999" hidden="1" customHeight="1">
      <c r="B1385" s="40" t="s">
        <v>28</v>
      </c>
      <c r="C1385" s="40" t="s">
        <v>28</v>
      </c>
      <c r="D1385" s="121" t="s">
        <v>387</v>
      </c>
      <c r="E1385" s="120" t="s">
        <v>38</v>
      </c>
      <c r="F1385" s="122" t="s">
        <v>367</v>
      </c>
      <c r="G1385" s="121" t="s">
        <v>392</v>
      </c>
      <c r="H1385" s="123" t="str">
        <f>Table1[[#This Row],[Tabela]]&amp;Table1[[#This Row],[Campo]]</f>
        <v>lt002_instrumentprfrmng_stts</v>
      </c>
      <c r="I1385" s="3" t="s">
        <v>477</v>
      </c>
      <c r="J1385" s="124">
        <f>VLOOKUP(Table1[[#This Row],[Status]],Auxiliar!$B$16:$C$23,2,0)</f>
        <v>1</v>
      </c>
      <c r="K1385" s="125" t="s">
        <v>1143</v>
      </c>
      <c r="L1385" s="48" t="s">
        <v>1144</v>
      </c>
      <c r="M1385" s="22" t="s">
        <v>1145</v>
      </c>
      <c r="N1385" s="126">
        <v>45506</v>
      </c>
      <c r="O1385" s="130">
        <v>0.1</v>
      </c>
      <c r="P1385" s="122"/>
      <c r="Q1385" s="127"/>
      <c r="R1385" s="173"/>
      <c r="S1385" s="173"/>
      <c r="T1385" s="173"/>
      <c r="U1385" s="173"/>
      <c r="V1385" s="173"/>
      <c r="W1385" s="3">
        <f>VLOOKUP(Table1[[#This Row],[Status]],Auxiliar!$B$16:$D$23,3,0)*Table1[[#This Row],[Estimação (horas)]]</f>
        <v>0.1</v>
      </c>
      <c r="X1385" s="127"/>
    </row>
    <row r="1386" spans="2:24" ht="17.399999999999999" hidden="1" customHeight="1">
      <c r="B1386" s="40" t="s">
        <v>28</v>
      </c>
      <c r="C1386" s="40" t="s">
        <v>28</v>
      </c>
      <c r="D1386" s="121" t="s">
        <v>387</v>
      </c>
      <c r="E1386" s="120" t="s">
        <v>38</v>
      </c>
      <c r="F1386" s="122" t="s">
        <v>367</v>
      </c>
      <c r="G1386" s="121" t="s">
        <v>393</v>
      </c>
      <c r="H1386" s="123" t="str">
        <f>Table1[[#This Row],[Tabela]]&amp;Table1[[#This Row],[Campo]]</f>
        <v>lt002_instrumentprjct_fnnc_ln</v>
      </c>
      <c r="I1386" s="3" t="s">
        <v>477</v>
      </c>
      <c r="J1386" s="124">
        <f>VLOOKUP(Table1[[#This Row],[Status]],Auxiliar!$B$16:$C$23,2,0)</f>
        <v>1</v>
      </c>
      <c r="K1386" s="125" t="s">
        <v>1143</v>
      </c>
      <c r="L1386" s="48" t="s">
        <v>1144</v>
      </c>
      <c r="M1386" s="22" t="s">
        <v>1145</v>
      </c>
      <c r="N1386" s="126">
        <v>45509</v>
      </c>
      <c r="O1386" s="130">
        <v>0.1</v>
      </c>
      <c r="P1386" s="122"/>
      <c r="Q1386" s="127"/>
      <c r="R1386" s="173"/>
      <c r="S1386" s="173"/>
      <c r="T1386" s="173"/>
      <c r="U1386" s="173"/>
      <c r="V1386" s="173"/>
      <c r="W1386" s="3">
        <f>VLOOKUP(Table1[[#This Row],[Status]],Auxiliar!$B$16:$D$23,3,0)*Table1[[#This Row],[Estimação (horas)]]</f>
        <v>0.1</v>
      </c>
      <c r="X1386" s="127"/>
    </row>
    <row r="1387" spans="2:24" ht="17.399999999999999" hidden="1" customHeight="1">
      <c r="B1387" s="40" t="s">
        <v>28</v>
      </c>
      <c r="C1387" s="40" t="s">
        <v>28</v>
      </c>
      <c r="D1387" s="121" t="s">
        <v>387</v>
      </c>
      <c r="E1387" s="120" t="s">
        <v>38</v>
      </c>
      <c r="F1387" s="122" t="s">
        <v>367</v>
      </c>
      <c r="G1387" s="121" t="s">
        <v>394</v>
      </c>
      <c r="H1387" s="123" t="str">
        <f>Table1[[#This Row],[Tabela]]&amp;Table1[[#This Row],[Campo]]</f>
        <v>lt002_instrumenttyp_instrmnt</v>
      </c>
      <c r="I1387" s="3" t="s">
        <v>477</v>
      </c>
      <c r="J1387" s="124">
        <f>VLOOKUP(Table1[[#This Row],[Status]],Auxiliar!$B$16:$C$23,2,0)</f>
        <v>1</v>
      </c>
      <c r="K1387" s="125" t="s">
        <v>1143</v>
      </c>
      <c r="L1387" s="48" t="s">
        <v>1144</v>
      </c>
      <c r="M1387" s="22" t="s">
        <v>1145</v>
      </c>
      <c r="N1387" s="126">
        <v>45506</v>
      </c>
      <c r="O1387" s="130">
        <v>0.1</v>
      </c>
      <c r="P1387" s="122"/>
      <c r="Q1387" s="127"/>
      <c r="R1387" s="173"/>
      <c r="S1387" s="173"/>
      <c r="T1387" s="173"/>
      <c r="U1387" s="173"/>
      <c r="V1387" s="173"/>
      <c r="W1387" s="3">
        <f>VLOOKUP(Table1[[#This Row],[Status]],Auxiliar!$B$16:$D$23,3,0)*Table1[[#This Row],[Estimação (horas)]]</f>
        <v>0.1</v>
      </c>
      <c r="X1387" s="127"/>
    </row>
    <row r="1388" spans="2:24" ht="17.399999999999999" hidden="1" customHeight="1">
      <c r="B1388" s="40" t="s">
        <v>28</v>
      </c>
      <c r="C1388" s="40" t="s">
        <v>28</v>
      </c>
      <c r="D1388" s="121" t="s">
        <v>387</v>
      </c>
      <c r="E1388" s="120" t="s">
        <v>38</v>
      </c>
      <c r="F1388" s="122" t="s">
        <v>367</v>
      </c>
      <c r="G1388" s="121" t="s">
        <v>395</v>
      </c>
      <c r="H1388" s="123" t="str">
        <f>Table1[[#This Row],[Tabela]]&amp;Table1[[#This Row],[Campo]]</f>
        <v>lt002_instrumentgrss_crryng_amnt_instrmnt</v>
      </c>
      <c r="I1388" s="3" t="s">
        <v>477</v>
      </c>
      <c r="J1388" s="124">
        <f>VLOOKUP(Table1[[#This Row],[Status]],Auxiliar!$B$16:$C$23,2,0)</f>
        <v>1</v>
      </c>
      <c r="K1388" s="125" t="s">
        <v>1143</v>
      </c>
      <c r="L1388" s="48" t="s">
        <v>1144</v>
      </c>
      <c r="M1388" s="22" t="s">
        <v>1145</v>
      </c>
      <c r="N1388" s="126">
        <v>45506</v>
      </c>
      <c r="O1388" s="130">
        <v>0.1</v>
      </c>
      <c r="P1388" s="122"/>
      <c r="Q1388" s="127"/>
      <c r="R1388" s="173"/>
      <c r="S1388" s="173"/>
      <c r="T1388" s="173"/>
      <c r="U1388" s="173"/>
      <c r="V1388" s="173"/>
      <c r="W1388" s="3">
        <f>VLOOKUP(Table1[[#This Row],[Status]],Auxiliar!$B$16:$D$23,3,0)*Table1[[#This Row],[Estimação (horas)]]</f>
        <v>0.1</v>
      </c>
      <c r="X1388" s="127"/>
    </row>
    <row r="1389" spans="2:24" ht="17.399999999999999" hidden="1" customHeight="1">
      <c r="B1389" s="40" t="s">
        <v>28</v>
      </c>
      <c r="C1389" s="40" t="s">
        <v>28</v>
      </c>
      <c r="D1389" s="121" t="s">
        <v>387</v>
      </c>
      <c r="E1389" s="120" t="s">
        <v>38</v>
      </c>
      <c r="F1389" s="122" t="s">
        <v>367</v>
      </c>
      <c r="G1389" s="121" t="s">
        <v>396</v>
      </c>
      <c r="H1389" s="123" t="str">
        <f>Table1[[#This Row],[Tabela]]&amp;Table1[[#This Row],[Campo]]</f>
        <v>lt002_instrumentaccmltd_chngs_fv_cr_instrmnt</v>
      </c>
      <c r="I1389" s="3" t="s">
        <v>477</v>
      </c>
      <c r="J1389" s="124">
        <f>VLOOKUP(Table1[[#This Row],[Status]],Auxiliar!$B$16:$C$23,2,0)</f>
        <v>1</v>
      </c>
      <c r="K1389" s="125" t="s">
        <v>1143</v>
      </c>
      <c r="L1389" s="48" t="s">
        <v>1144</v>
      </c>
      <c r="M1389" s="22" t="s">
        <v>1145</v>
      </c>
      <c r="N1389" s="126">
        <v>45506</v>
      </c>
      <c r="O1389" s="130">
        <v>0.1</v>
      </c>
      <c r="P1389" s="122"/>
      <c r="Q1389" s="127"/>
      <c r="R1389" s="173"/>
      <c r="S1389" s="173"/>
      <c r="T1389" s="173"/>
      <c r="U1389" s="173"/>
      <c r="V1389" s="173"/>
      <c r="W1389" s="3">
        <f>VLOOKUP(Table1[[#This Row],[Status]],Auxiliar!$B$16:$D$23,3,0)*Table1[[#This Row],[Estimação (horas)]]</f>
        <v>0.1</v>
      </c>
      <c r="X1389" s="127"/>
    </row>
    <row r="1390" spans="2:24" ht="17.399999999999999" hidden="1" customHeight="1">
      <c r="B1390" s="40" t="s">
        <v>28</v>
      </c>
      <c r="C1390" s="40" t="s">
        <v>28</v>
      </c>
      <c r="D1390" s="121" t="s">
        <v>387</v>
      </c>
      <c r="E1390" s="120" t="s">
        <v>38</v>
      </c>
      <c r="F1390" s="122" t="s">
        <v>367</v>
      </c>
      <c r="G1390" s="121" t="s">
        <v>397</v>
      </c>
      <c r="H1390" s="123" t="str">
        <f>Table1[[#This Row],[Tabela]]&amp;Table1[[#This Row],[Campo]]</f>
        <v>lt002_instrumentaccntng_clssfctn</v>
      </c>
      <c r="I1390" s="3" t="s">
        <v>477</v>
      </c>
      <c r="J1390" s="124">
        <f>VLOOKUP(Table1[[#This Row],[Status]],Auxiliar!$B$16:$C$23,2,0)</f>
        <v>1</v>
      </c>
      <c r="K1390" s="125" t="s">
        <v>1143</v>
      </c>
      <c r="L1390" s="48" t="s">
        <v>1144</v>
      </c>
      <c r="M1390" s="22" t="s">
        <v>1145</v>
      </c>
      <c r="N1390" s="126">
        <v>45506</v>
      </c>
      <c r="O1390" s="130">
        <v>0.1</v>
      </c>
      <c r="P1390" s="122"/>
      <c r="Q1390" s="127"/>
      <c r="R1390" s="173"/>
      <c r="S1390" s="173"/>
      <c r="T1390" s="173"/>
      <c r="U1390" s="173"/>
      <c r="V1390" s="173"/>
      <c r="W1390" s="3">
        <f>VLOOKUP(Table1[[#This Row],[Status]],Auxiliar!$B$16:$D$23,3,0)*Table1[[#This Row],[Estimação (horas)]]</f>
        <v>0.1</v>
      </c>
      <c r="X1390" s="127"/>
    </row>
    <row r="1391" spans="2:24" ht="17.399999999999999" hidden="1" customHeight="1">
      <c r="B1391" s="40" t="s">
        <v>28</v>
      </c>
      <c r="C1391" s="40" t="s">
        <v>28</v>
      </c>
      <c r="D1391" s="121" t="s">
        <v>387</v>
      </c>
      <c r="E1391" s="120" t="s">
        <v>38</v>
      </c>
      <c r="F1391" s="122" t="s">
        <v>367</v>
      </c>
      <c r="G1391" s="121" t="s">
        <v>398</v>
      </c>
      <c r="H1391" s="123" t="str">
        <f>Table1[[#This Row],[Tabela]]&amp;Table1[[#This Row],[Campo]]</f>
        <v>lt002_instrumentdt_lgl_fnl_mtrty</v>
      </c>
      <c r="I1391" s="3" t="s">
        <v>477</v>
      </c>
      <c r="J1391" s="124">
        <f>VLOOKUP(Table1[[#This Row],[Status]],Auxiliar!$B$16:$C$23,2,0)</f>
        <v>1</v>
      </c>
      <c r="K1391" s="125" t="s">
        <v>1143</v>
      </c>
      <c r="L1391" s="48" t="s">
        <v>1144</v>
      </c>
      <c r="M1391" s="22" t="s">
        <v>1145</v>
      </c>
      <c r="N1391" s="126">
        <v>45506</v>
      </c>
      <c r="O1391" s="130">
        <v>0.1</v>
      </c>
      <c r="P1391" s="122"/>
      <c r="Q1391" s="127"/>
      <c r="R1391" s="173"/>
      <c r="S1391" s="173"/>
      <c r="T1391" s="173"/>
      <c r="U1391" s="173"/>
      <c r="V1391" s="173"/>
      <c r="W1391" s="3">
        <f>VLOOKUP(Table1[[#This Row],[Status]],Auxiliar!$B$16:$D$23,3,0)*Table1[[#This Row],[Estimação (horas)]]</f>
        <v>0.1</v>
      </c>
      <c r="X1391" s="127"/>
    </row>
    <row r="1392" spans="2:24" ht="17.399999999999999" hidden="1" customHeight="1">
      <c r="B1392" s="40" t="s">
        <v>28</v>
      </c>
      <c r="C1392" s="40" t="s">
        <v>28</v>
      </c>
      <c r="D1392" s="121" t="s">
        <v>387</v>
      </c>
      <c r="E1392" s="120" t="s">
        <v>38</v>
      </c>
      <c r="F1392" s="122" t="s">
        <v>367</v>
      </c>
      <c r="G1392" s="121" t="s">
        <v>399</v>
      </c>
      <c r="H1392" s="123" t="str">
        <f>Table1[[#This Row],[Tabela]]&amp;Table1[[#This Row],[Campo]]</f>
        <v>lt002_instrumentaccmltd_imprmnt_instrmnt</v>
      </c>
      <c r="I1392" s="3" t="s">
        <v>477</v>
      </c>
      <c r="J1392" s="124">
        <f>VLOOKUP(Table1[[#This Row],[Status]],Auxiliar!$B$16:$C$23,2,0)</f>
        <v>1</v>
      </c>
      <c r="K1392" s="125" t="s">
        <v>1143</v>
      </c>
      <c r="L1392" s="48" t="s">
        <v>1144</v>
      </c>
      <c r="M1392" s="22" t="s">
        <v>1145</v>
      </c>
      <c r="N1392" s="126">
        <v>45506</v>
      </c>
      <c r="O1392" s="130">
        <v>0.1</v>
      </c>
      <c r="P1392" s="122"/>
      <c r="Q1392" s="127"/>
      <c r="R1392" s="173"/>
      <c r="S1392" s="173"/>
      <c r="T1392" s="173"/>
      <c r="U1392" s="173"/>
      <c r="V1392" s="173"/>
      <c r="W1392" s="3">
        <f>VLOOKUP(Table1[[#This Row],[Status]],Auxiliar!$B$16:$D$23,3,0)*Table1[[#This Row],[Estimação (horas)]]</f>
        <v>0.1</v>
      </c>
      <c r="X1392" s="127"/>
    </row>
    <row r="1393" spans="2:24" ht="17.399999999999999" hidden="1" customHeight="1">
      <c r="B1393" s="40" t="s">
        <v>28</v>
      </c>
      <c r="C1393" s="40" t="s">
        <v>28</v>
      </c>
      <c r="D1393" s="121" t="s">
        <v>387</v>
      </c>
      <c r="E1393" s="120" t="s">
        <v>38</v>
      </c>
      <c r="F1393" s="122" t="s">
        <v>367</v>
      </c>
      <c r="G1393" s="121" t="s">
        <v>400</v>
      </c>
      <c r="H1393" s="123" t="str">
        <f>Table1[[#This Row],[Tabela]]&amp;Table1[[#This Row],[Campo]]</f>
        <v>lt002_instrumentissr_cntry</v>
      </c>
      <c r="I1393" s="3" t="s">
        <v>477</v>
      </c>
      <c r="J1393" s="124">
        <f>VLOOKUP(Table1[[#This Row],[Status]],Auxiliar!$B$16:$C$23,2,0)</f>
        <v>1</v>
      </c>
      <c r="K1393" s="125" t="s">
        <v>1143</v>
      </c>
      <c r="L1393" s="48" t="s">
        <v>1144</v>
      </c>
      <c r="M1393" s="22" t="s">
        <v>1145</v>
      </c>
      <c r="N1393" s="126">
        <v>45506</v>
      </c>
      <c r="O1393" s="130">
        <v>0.1</v>
      </c>
      <c r="P1393" s="122"/>
      <c r="Q1393" s="127"/>
      <c r="R1393" s="173"/>
      <c r="S1393" s="173"/>
      <c r="T1393" s="173"/>
      <c r="U1393" s="173"/>
      <c r="V1393" s="173"/>
      <c r="W1393" s="3">
        <f>VLOOKUP(Table1[[#This Row],[Status]],Auxiliar!$B$16:$D$23,3,0)*Table1[[#This Row],[Estimação (horas)]]</f>
        <v>0.1</v>
      </c>
      <c r="X1393" s="127"/>
    </row>
    <row r="1394" spans="2:24" ht="17.399999999999999" hidden="1" customHeight="1">
      <c r="B1394" s="40" t="s">
        <v>28</v>
      </c>
      <c r="C1394" s="40" t="s">
        <v>28</v>
      </c>
      <c r="D1394" s="121" t="s">
        <v>387</v>
      </c>
      <c r="E1394" s="120" t="s">
        <v>38</v>
      </c>
      <c r="F1394" s="122" t="s">
        <v>367</v>
      </c>
      <c r="G1394" s="121" t="s">
        <v>401</v>
      </c>
      <c r="H1394" s="123" t="str">
        <f>Table1[[#This Row],[Tabela]]&amp;Table1[[#This Row],[Campo]]</f>
        <v>lt002_instrumentissr_nace_sctr</v>
      </c>
      <c r="I1394" s="3" t="s">
        <v>477</v>
      </c>
      <c r="J1394" s="124">
        <f>VLOOKUP(Table1[[#This Row],[Status]],Auxiliar!$B$16:$C$23,2,0)</f>
        <v>1</v>
      </c>
      <c r="K1394" s="125" t="s">
        <v>1143</v>
      </c>
      <c r="L1394" s="48" t="s">
        <v>1144</v>
      </c>
      <c r="M1394" s="22" t="s">
        <v>1145</v>
      </c>
      <c r="N1394" s="126">
        <v>45506</v>
      </c>
      <c r="O1394" s="130">
        <v>0.1</v>
      </c>
      <c r="P1394" s="122"/>
      <c r="Q1394" s="127"/>
      <c r="R1394" s="173"/>
      <c r="S1394" s="173"/>
      <c r="T1394" s="173"/>
      <c r="U1394" s="173"/>
      <c r="V1394" s="173"/>
      <c r="W1394" s="3">
        <f>VLOOKUP(Table1[[#This Row],[Status]],Auxiliar!$B$16:$D$23,3,0)*Table1[[#This Row],[Estimação (horas)]]</f>
        <v>0.1</v>
      </c>
      <c r="X1394" s="127"/>
    </row>
    <row r="1395" spans="2:24" ht="17.399999999999999" hidden="1" customHeight="1">
      <c r="B1395" s="40" t="s">
        <v>28</v>
      </c>
      <c r="C1395" s="40" t="s">
        <v>28</v>
      </c>
      <c r="D1395" s="121" t="s">
        <v>387</v>
      </c>
      <c r="E1395" s="120" t="s">
        <v>38</v>
      </c>
      <c r="F1395" s="122" t="s">
        <v>367</v>
      </c>
      <c r="G1395" s="121" t="s">
        <v>402</v>
      </c>
      <c r="H1395" s="123" t="str">
        <f>Table1[[#This Row],[Tabela]]&amp;Table1[[#This Row],[Campo]]</f>
        <v>lt002_instrumentprmry_asst_clssf</v>
      </c>
      <c r="I1395" s="3" t="s">
        <v>477</v>
      </c>
      <c r="J1395" s="124">
        <f>VLOOKUP(Table1[[#This Row],[Status]],Auxiliar!$B$16:$C$23,2,0)</f>
        <v>1</v>
      </c>
      <c r="K1395" s="125" t="s">
        <v>1143</v>
      </c>
      <c r="L1395" s="48" t="s">
        <v>1144</v>
      </c>
      <c r="M1395" s="22" t="s">
        <v>1145</v>
      </c>
      <c r="N1395" s="126">
        <v>45506</v>
      </c>
      <c r="O1395" s="130">
        <v>0.1</v>
      </c>
      <c r="P1395" s="122"/>
      <c r="Q1395" s="127"/>
      <c r="R1395" s="173"/>
      <c r="S1395" s="173"/>
      <c r="T1395" s="173"/>
      <c r="U1395" s="173"/>
      <c r="V1395" s="173"/>
      <c r="W1395" s="3">
        <f>VLOOKUP(Table1[[#This Row],[Status]],Auxiliar!$B$16:$D$23,3,0)*Table1[[#This Row],[Estimação (horas)]]</f>
        <v>0.1</v>
      </c>
      <c r="X1395" s="127"/>
    </row>
    <row r="1396" spans="2:24" ht="17.399999999999999" hidden="1" customHeight="1">
      <c r="B1396" s="40" t="s">
        <v>28</v>
      </c>
      <c r="C1396" s="40" t="s">
        <v>28</v>
      </c>
      <c r="D1396" s="121" t="s">
        <v>387</v>
      </c>
      <c r="E1396" s="120" t="s">
        <v>38</v>
      </c>
      <c r="F1396" s="122" t="s">
        <v>367</v>
      </c>
      <c r="G1396" s="121" t="s">
        <v>403</v>
      </c>
      <c r="H1396" s="123" t="str">
        <f>Table1[[#This Row],[Tabela]]&amp;Table1[[#This Row],[Campo]]</f>
        <v>lt002_instrumentsubportfolio_id</v>
      </c>
      <c r="I1396" s="3" t="s">
        <v>477</v>
      </c>
      <c r="J1396" s="124">
        <f>VLOOKUP(Table1[[#This Row],[Status]],Auxiliar!$B$16:$C$23,2,0)</f>
        <v>1</v>
      </c>
      <c r="K1396" s="125" t="s">
        <v>1143</v>
      </c>
      <c r="L1396" s="48" t="s">
        <v>1144</v>
      </c>
      <c r="M1396" s="22" t="s">
        <v>1145</v>
      </c>
      <c r="N1396" s="126">
        <v>45506</v>
      </c>
      <c r="O1396" s="130">
        <v>0.1</v>
      </c>
      <c r="P1396" s="122"/>
      <c r="Q1396" s="127"/>
      <c r="R1396" s="173"/>
      <c r="S1396" s="173"/>
      <c r="T1396" s="173"/>
      <c r="U1396" s="173"/>
      <c r="V1396" s="173"/>
      <c r="W1396" s="3">
        <f>VLOOKUP(Table1[[#This Row],[Status]],Auxiliar!$B$16:$D$23,3,0)*Table1[[#This Row],[Estimação (horas)]]</f>
        <v>0.1</v>
      </c>
      <c r="X1396" s="127"/>
    </row>
    <row r="1397" spans="2:24" ht="17.399999999999999" hidden="1" customHeight="1">
      <c r="B1397" s="40" t="s">
        <v>28</v>
      </c>
      <c r="C1397" s="40" t="s">
        <v>28</v>
      </c>
      <c r="D1397" s="121" t="s">
        <v>387</v>
      </c>
      <c r="E1397" s="120" t="s">
        <v>38</v>
      </c>
      <c r="F1397" s="122" t="s">
        <v>367</v>
      </c>
      <c r="G1397" s="121" t="s">
        <v>404</v>
      </c>
      <c r="H1397" s="123" t="str">
        <f>Table1[[#This Row],[Tabela]]&amp;Table1[[#This Row],[Campo]]</f>
        <v>lt002_instrumentcod_soc</v>
      </c>
      <c r="I1397" s="3" t="s">
        <v>477</v>
      </c>
      <c r="J1397" s="124">
        <f>VLOOKUP(Table1[[#This Row],[Status]],Auxiliar!$B$16:$C$23,2,0)</f>
        <v>1</v>
      </c>
      <c r="K1397" s="125" t="s">
        <v>1143</v>
      </c>
      <c r="L1397" s="48" t="s">
        <v>1144</v>
      </c>
      <c r="M1397" s="22" t="s">
        <v>1145</v>
      </c>
      <c r="N1397" s="126">
        <v>45506</v>
      </c>
      <c r="O1397" s="130">
        <v>0.1</v>
      </c>
      <c r="P1397" s="122"/>
      <c r="Q1397" s="127"/>
      <c r="R1397" s="173"/>
      <c r="S1397" s="173"/>
      <c r="T1397" s="173"/>
      <c r="U1397" s="173"/>
      <c r="V1397" s="173"/>
      <c r="W1397" s="3">
        <f>VLOOKUP(Table1[[#This Row],[Status]],Auxiliar!$B$16:$D$23,3,0)*Table1[[#This Row],[Estimação (horas)]]</f>
        <v>0.1</v>
      </c>
      <c r="X1397" s="127"/>
    </row>
    <row r="1398" spans="2:24" ht="17.399999999999999" hidden="1" customHeight="1">
      <c r="B1398" s="40" t="s">
        <v>28</v>
      </c>
      <c r="C1398" s="40" t="s">
        <v>28</v>
      </c>
      <c r="D1398" s="128" t="s">
        <v>387</v>
      </c>
      <c r="E1398" s="120" t="s">
        <v>38</v>
      </c>
      <c r="F1398" s="129" t="s">
        <v>367</v>
      </c>
      <c r="G1398" s="128" t="s">
        <v>405</v>
      </c>
      <c r="H1398" s="123" t="str">
        <f>Table1[[#This Row],[Tabela]]&amp;Table1[[#This Row],[Campo]]</f>
        <v>lt002_instrumentlcl_instmrnt_id</v>
      </c>
      <c r="I1398" s="3" t="s">
        <v>477</v>
      </c>
      <c r="J1398" s="124">
        <f>VLOOKUP(Table1[[#This Row],[Status]],Auxiliar!$B$16:$C$23,2,0)</f>
        <v>1</v>
      </c>
      <c r="K1398" s="125" t="s">
        <v>1143</v>
      </c>
      <c r="L1398" s="48" t="s">
        <v>1144</v>
      </c>
      <c r="M1398" s="22" t="s">
        <v>1145</v>
      </c>
      <c r="N1398" s="126">
        <v>45510</v>
      </c>
      <c r="O1398" s="130">
        <v>0.1</v>
      </c>
      <c r="P1398" s="129"/>
      <c r="Q1398" s="127"/>
      <c r="R1398" s="173"/>
      <c r="S1398" s="173"/>
      <c r="T1398" s="173"/>
      <c r="U1398" s="173"/>
      <c r="V1398" s="173"/>
      <c r="W1398" s="3">
        <f>VLOOKUP(Table1[[#This Row],[Status]],Auxiliar!$B$16:$D$23,3,0)*Table1[[#This Row],[Estimação (horas)]]</f>
        <v>0.1</v>
      </c>
      <c r="X1398" s="127"/>
    </row>
    <row r="1399" spans="2:24" ht="17.399999999999999" hidden="1" customHeight="1">
      <c r="B1399" s="40" t="s">
        <v>28</v>
      </c>
      <c r="C1399" s="40" t="s">
        <v>28</v>
      </c>
      <c r="D1399" s="121" t="s">
        <v>32</v>
      </c>
      <c r="E1399" s="120" t="s">
        <v>38</v>
      </c>
      <c r="F1399" s="122" t="s">
        <v>367</v>
      </c>
      <c r="G1399" s="121" t="s">
        <v>406</v>
      </c>
      <c r="H1399" s="123" t="str">
        <f>Table1[[#This Row],[Tabela]]&amp;Table1[[#This Row],[Campo]]</f>
        <v>lt002_instrumentsstnbl_indctr</v>
      </c>
      <c r="I1399" s="3" t="s">
        <v>30</v>
      </c>
      <c r="J1399" s="124">
        <f>VLOOKUP(Table1[[#This Row],[Status]],Auxiliar!$B$16:$C$23,2,0)</f>
        <v>7</v>
      </c>
      <c r="K1399" s="125" t="s">
        <v>1143</v>
      </c>
      <c r="L1399" s="48" t="s">
        <v>1144</v>
      </c>
      <c r="M1399" s="22" t="s">
        <v>1145</v>
      </c>
      <c r="N1399" s="53">
        <v>45491</v>
      </c>
      <c r="O1399" s="130">
        <v>0.1</v>
      </c>
      <c r="P1399" s="3" t="s">
        <v>1248</v>
      </c>
      <c r="Q1399" s="127"/>
      <c r="R1399" s="173"/>
      <c r="S1399" s="173"/>
      <c r="T1399" s="173"/>
      <c r="U1399" s="173"/>
      <c r="V1399" s="173"/>
      <c r="W1399" s="3">
        <f>VLOOKUP(Table1[[#This Row],[Status]],Auxiliar!$B$16:$D$23,3,0)*Table1[[#This Row],[Estimação (horas)]]</f>
        <v>0</v>
      </c>
      <c r="X1399" s="127"/>
    </row>
    <row r="1400" spans="2:24" ht="17.399999999999999" hidden="1" customHeight="1">
      <c r="B1400" s="40" t="s">
        <v>28</v>
      </c>
      <c r="C1400" s="40" t="s">
        <v>28</v>
      </c>
      <c r="D1400" s="121" t="s">
        <v>32</v>
      </c>
      <c r="E1400" s="120" t="s">
        <v>38</v>
      </c>
      <c r="F1400" s="122" t="s">
        <v>367</v>
      </c>
      <c r="G1400" s="121" t="s">
        <v>407</v>
      </c>
      <c r="H1400" s="123" t="str">
        <f>Table1[[#This Row],[Tabela]]&amp;Table1[[#This Row],[Campo]]</f>
        <v>lt002_instrumentsstnbl_ctgry</v>
      </c>
      <c r="I1400" s="3" t="s">
        <v>30</v>
      </c>
      <c r="J1400" s="124">
        <f>VLOOKUP(Table1[[#This Row],[Status]],Auxiliar!$B$16:$C$23,2,0)</f>
        <v>7</v>
      </c>
      <c r="K1400" s="125" t="s">
        <v>1143</v>
      </c>
      <c r="L1400" s="48" t="s">
        <v>1144</v>
      </c>
      <c r="M1400" s="22" t="s">
        <v>1145</v>
      </c>
      <c r="N1400" s="126">
        <v>45491</v>
      </c>
      <c r="O1400" s="130">
        <v>0.1</v>
      </c>
      <c r="P1400" s="122"/>
      <c r="Q1400" s="127"/>
      <c r="R1400" s="173"/>
      <c r="S1400" s="173"/>
      <c r="T1400" s="173"/>
      <c r="U1400" s="173"/>
      <c r="V1400" s="173"/>
      <c r="W1400" s="3">
        <f>VLOOKUP(Table1[[#This Row],[Status]],Auxiliar!$B$16:$D$23,3,0)*Table1[[#This Row],[Estimação (horas)]]</f>
        <v>0</v>
      </c>
      <c r="X1400" s="127"/>
    </row>
    <row r="1401" spans="2:24" ht="17.399999999999999" hidden="1" customHeight="1">
      <c r="B1401" s="40" t="s">
        <v>28</v>
      </c>
      <c r="C1401" s="40" t="s">
        <v>28</v>
      </c>
      <c r="D1401" s="121" t="s">
        <v>32</v>
      </c>
      <c r="E1401" s="120" t="s">
        <v>38</v>
      </c>
      <c r="F1401" s="122" t="s">
        <v>367</v>
      </c>
      <c r="G1401" s="121" t="s">
        <v>408</v>
      </c>
      <c r="H1401" s="123" t="str">
        <f>Table1[[#This Row],[Tabela]]&amp;Table1[[#This Row],[Campo]]</f>
        <v>lt002_instrumentgrss_intrst_incm</v>
      </c>
      <c r="I1401" s="3" t="s">
        <v>30</v>
      </c>
      <c r="J1401" s="124">
        <f>VLOOKUP(Table1[[#This Row],[Status]],Auxiliar!$B$16:$C$23,2,0)</f>
        <v>7</v>
      </c>
      <c r="K1401" s="125" t="s">
        <v>1143</v>
      </c>
      <c r="L1401" s="48" t="s">
        <v>1144</v>
      </c>
      <c r="M1401" s="22" t="s">
        <v>1145</v>
      </c>
      <c r="N1401" s="126">
        <v>45491</v>
      </c>
      <c r="O1401" s="130">
        <v>0.1</v>
      </c>
      <c r="P1401" s="122"/>
      <c r="Q1401" s="127"/>
      <c r="R1401" s="173"/>
      <c r="S1401" s="173"/>
      <c r="T1401" s="173"/>
      <c r="U1401" s="173"/>
      <c r="V1401" s="173"/>
      <c r="W1401" s="3">
        <f>VLOOKUP(Table1[[#This Row],[Status]],Auxiliar!$B$16:$D$23,3,0)*Table1[[#This Row],[Estimação (horas)]]</f>
        <v>0</v>
      </c>
      <c r="X1401" s="127"/>
    </row>
    <row r="1402" spans="2:24" ht="17.399999999999999" hidden="1" customHeight="1">
      <c r="B1402" s="40" t="s">
        <v>28</v>
      </c>
      <c r="C1402" s="40" t="s">
        <v>28</v>
      </c>
      <c r="D1402" s="121" t="s">
        <v>32</v>
      </c>
      <c r="E1402" s="120" t="s">
        <v>38</v>
      </c>
      <c r="F1402" s="122" t="s">
        <v>367</v>
      </c>
      <c r="G1402" s="121" t="s">
        <v>409</v>
      </c>
      <c r="H1402" s="123" t="str">
        <f>Table1[[#This Row],[Tabela]]&amp;Table1[[#This Row],[Campo]]</f>
        <v>lt002_instrumentgrss_cmmssn_incm</v>
      </c>
      <c r="I1402" s="3" t="s">
        <v>30</v>
      </c>
      <c r="J1402" s="124">
        <f>VLOOKUP(Table1[[#This Row],[Status]],Auxiliar!$B$16:$C$23,2,0)</f>
        <v>7</v>
      </c>
      <c r="K1402" s="125" t="s">
        <v>1143</v>
      </c>
      <c r="L1402" s="48" t="s">
        <v>1144</v>
      </c>
      <c r="M1402" s="22" t="s">
        <v>1145</v>
      </c>
      <c r="N1402" s="126">
        <v>45491</v>
      </c>
      <c r="O1402" s="130">
        <v>0.1</v>
      </c>
      <c r="P1402" s="122"/>
      <c r="Q1402" s="127"/>
      <c r="R1402" s="173"/>
      <c r="S1402" s="173"/>
      <c r="T1402" s="173"/>
      <c r="U1402" s="173"/>
      <c r="V1402" s="173"/>
      <c r="W1402" s="3">
        <f>VLOOKUP(Table1[[#This Row],[Status]],Auxiliar!$B$16:$D$23,3,0)*Table1[[#This Row],[Estimação (horas)]]</f>
        <v>0</v>
      </c>
      <c r="X1402" s="127"/>
    </row>
    <row r="1403" spans="2:24" ht="17.399999999999999" hidden="1" customHeight="1">
      <c r="B1403" s="40" t="s">
        <v>28</v>
      </c>
      <c r="C1403" s="40" t="s">
        <v>28</v>
      </c>
      <c r="D1403" s="121" t="s">
        <v>32</v>
      </c>
      <c r="E1403" s="120" t="s">
        <v>38</v>
      </c>
      <c r="F1403" s="122" t="s">
        <v>367</v>
      </c>
      <c r="G1403" s="121" t="s">
        <v>410</v>
      </c>
      <c r="H1403" s="123" t="str">
        <f>Table1[[#This Row],[Tabela]]&amp;Table1[[#This Row],[Campo]]</f>
        <v>lt002_instrumentgrss_cmmssn_incm_off_blnc</v>
      </c>
      <c r="I1403" s="3" t="s">
        <v>30</v>
      </c>
      <c r="J1403" s="124">
        <f>VLOOKUP(Table1[[#This Row],[Status]],Auxiliar!$B$16:$C$23,2,0)</f>
        <v>7</v>
      </c>
      <c r="K1403" s="125" t="s">
        <v>1143</v>
      </c>
      <c r="L1403" s="48" t="s">
        <v>1144</v>
      </c>
      <c r="M1403" s="22" t="s">
        <v>1145</v>
      </c>
      <c r="N1403" s="126">
        <v>45491</v>
      </c>
      <c r="O1403" s="130">
        <v>0.1</v>
      </c>
      <c r="P1403" s="122"/>
      <c r="Q1403" s="127"/>
      <c r="R1403" s="173"/>
      <c r="S1403" s="173"/>
      <c r="T1403" s="173"/>
      <c r="U1403" s="173"/>
      <c r="V1403" s="173"/>
      <c r="W1403" s="3">
        <f>VLOOKUP(Table1[[#This Row],[Status]],Auxiliar!$B$16:$D$23,3,0)*Table1[[#This Row],[Estimação (horas)]]</f>
        <v>0</v>
      </c>
      <c r="X1403" s="127"/>
    </row>
    <row r="1404" spans="2:24" ht="17.399999999999999" hidden="1" customHeight="1">
      <c r="B1404" s="40" t="s">
        <v>28</v>
      </c>
      <c r="C1404" s="40" t="s">
        <v>28</v>
      </c>
      <c r="D1404" s="121" t="s">
        <v>387</v>
      </c>
      <c r="E1404" s="120" t="s">
        <v>38</v>
      </c>
      <c r="F1404" s="122" t="s">
        <v>367</v>
      </c>
      <c r="G1404" s="121" t="s">
        <v>411</v>
      </c>
      <c r="H1404" s="123" t="str">
        <f>Table1[[#This Row],[Tabela]]&amp;Table1[[#This Row],[Campo]]</f>
        <v>lt002_instrumentidcmb</v>
      </c>
      <c r="I1404" s="3" t="s">
        <v>477</v>
      </c>
      <c r="J1404" s="124">
        <f>VLOOKUP(Table1[[#This Row],[Status]],Auxiliar!$B$16:$C$23,2,0)</f>
        <v>1</v>
      </c>
      <c r="K1404" s="125" t="s">
        <v>1143</v>
      </c>
      <c r="L1404" s="48" t="s">
        <v>1144</v>
      </c>
      <c r="M1404" s="22" t="s">
        <v>1145</v>
      </c>
      <c r="N1404" s="126">
        <v>45506</v>
      </c>
      <c r="O1404" s="130">
        <v>0.1</v>
      </c>
      <c r="P1404" s="122"/>
      <c r="Q1404" s="127"/>
      <c r="R1404" s="173"/>
      <c r="S1404" s="173"/>
      <c r="T1404" s="173"/>
      <c r="U1404" s="173"/>
      <c r="V1404" s="173"/>
      <c r="W1404" s="3">
        <f>VLOOKUP(Table1[[#This Row],[Status]],Auxiliar!$B$16:$D$23,3,0)*Table1[[#This Row],[Estimação (horas)]]</f>
        <v>0.1</v>
      </c>
      <c r="X1404" s="127"/>
    </row>
    <row r="1405" spans="2:24" ht="17.399999999999999" hidden="1" customHeight="1">
      <c r="B1405" s="40" t="s">
        <v>28</v>
      </c>
      <c r="C1405" s="40" t="s">
        <v>28</v>
      </c>
      <c r="D1405" s="121" t="s">
        <v>387</v>
      </c>
      <c r="E1405" s="120" t="s">
        <v>38</v>
      </c>
      <c r="F1405" s="122" t="s">
        <v>323</v>
      </c>
      <c r="G1405" s="121" t="s">
        <v>412</v>
      </c>
      <c r="H1405" s="123" t="str">
        <f>Table1[[#This Row],[Tabela]]&amp;Table1[[#This Row],[Campo]]</f>
        <v>lt003_entitycntry</v>
      </c>
      <c r="I1405" s="3" t="s">
        <v>477</v>
      </c>
      <c r="J1405" s="124">
        <f>VLOOKUP(Table1[[#This Row],[Status]],Auxiliar!$B$16:$C$23,2,0)</f>
        <v>1</v>
      </c>
      <c r="K1405" s="125" t="s">
        <v>1143</v>
      </c>
      <c r="L1405" s="48" t="s">
        <v>1144</v>
      </c>
      <c r="M1405" s="22" t="s">
        <v>1145</v>
      </c>
      <c r="N1405" s="126">
        <v>45505</v>
      </c>
      <c r="O1405" s="130">
        <v>0.1</v>
      </c>
      <c r="P1405" s="122"/>
      <c r="Q1405" s="127"/>
      <c r="R1405" s="173"/>
      <c r="S1405" s="173"/>
      <c r="T1405" s="173"/>
      <c r="U1405" s="173"/>
      <c r="V1405" s="173"/>
      <c r="W1405" s="3">
        <f>VLOOKUP(Table1[[#This Row],[Status]],Auxiliar!$B$16:$D$23,3,0)*Table1[[#This Row],[Estimação (horas)]]</f>
        <v>0.1</v>
      </c>
      <c r="X1405" s="127"/>
    </row>
    <row r="1406" spans="2:24" ht="17.399999999999999" hidden="1" customHeight="1">
      <c r="B1406" s="40" t="s">
        <v>28</v>
      </c>
      <c r="C1406" s="40" t="s">
        <v>28</v>
      </c>
      <c r="D1406" s="121" t="s">
        <v>387</v>
      </c>
      <c r="E1406" s="120" t="s">
        <v>38</v>
      </c>
      <c r="F1406" s="122" t="s">
        <v>323</v>
      </c>
      <c r="G1406" s="121" t="s">
        <v>386</v>
      </c>
      <c r="H1406" s="123" t="str">
        <f>Table1[[#This Row],[Tabela]]&amp;Table1[[#This Row],[Campo]]</f>
        <v>lt003_entitydt_rfrnc</v>
      </c>
      <c r="I1406" s="3" t="s">
        <v>477</v>
      </c>
      <c r="J1406" s="124">
        <f>VLOOKUP(Table1[[#This Row],[Status]],Auxiliar!$B$16:$C$23,2,0)</f>
        <v>1</v>
      </c>
      <c r="K1406" s="125" t="s">
        <v>1143</v>
      </c>
      <c r="L1406" s="48" t="s">
        <v>1144</v>
      </c>
      <c r="M1406" s="22" t="s">
        <v>1145</v>
      </c>
      <c r="N1406" s="126">
        <v>45506</v>
      </c>
      <c r="O1406" s="130">
        <v>0.1</v>
      </c>
      <c r="P1406" s="122"/>
      <c r="Q1406" s="127"/>
      <c r="R1406" s="173"/>
      <c r="S1406" s="173"/>
      <c r="T1406" s="173"/>
      <c r="U1406" s="173"/>
      <c r="V1406" s="173"/>
      <c r="W1406" s="3">
        <f>VLOOKUP(Table1[[#This Row],[Status]],Auxiliar!$B$16:$D$23,3,0)*Table1[[#This Row],[Estimação (horas)]]</f>
        <v>0.1</v>
      </c>
      <c r="X1406" s="127"/>
    </row>
    <row r="1407" spans="2:24" ht="17.399999999999999" hidden="1" customHeight="1">
      <c r="B1407" s="40" t="s">
        <v>28</v>
      </c>
      <c r="C1407" s="40" t="s">
        <v>28</v>
      </c>
      <c r="D1407" s="121" t="s">
        <v>387</v>
      </c>
      <c r="E1407" s="120" t="s">
        <v>38</v>
      </c>
      <c r="F1407" s="122" t="s">
        <v>323</v>
      </c>
      <c r="G1407" s="121" t="s">
        <v>413</v>
      </c>
      <c r="H1407" s="123" t="str">
        <f>Table1[[#This Row],[Tabela]]&amp;Table1[[#This Row],[Campo]]</f>
        <v>lt003_entityentty_id</v>
      </c>
      <c r="I1407" s="3" t="s">
        <v>477</v>
      </c>
      <c r="J1407" s="124">
        <f>VLOOKUP(Table1[[#This Row],[Status]],Auxiliar!$B$16:$C$23,2,0)</f>
        <v>1</v>
      </c>
      <c r="K1407" s="125" t="s">
        <v>1143</v>
      </c>
      <c r="L1407" s="48" t="s">
        <v>1144</v>
      </c>
      <c r="M1407" s="22" t="s">
        <v>1145</v>
      </c>
      <c r="N1407" s="126">
        <v>45506</v>
      </c>
      <c r="O1407" s="130">
        <v>0.1</v>
      </c>
      <c r="P1407" s="122"/>
      <c r="Q1407" s="127"/>
      <c r="R1407" s="173"/>
      <c r="S1407" s="173"/>
      <c r="T1407" s="173"/>
      <c r="U1407" s="173"/>
      <c r="V1407" s="173"/>
      <c r="W1407" s="3">
        <f>VLOOKUP(Table1[[#This Row],[Status]],Auxiliar!$B$16:$D$23,3,0)*Table1[[#This Row],[Estimação (horas)]]</f>
        <v>0.1</v>
      </c>
      <c r="X1407" s="127"/>
    </row>
    <row r="1408" spans="2:24" ht="17.399999999999999" hidden="1" customHeight="1">
      <c r="B1408" s="40" t="s">
        <v>28</v>
      </c>
      <c r="C1408" s="40" t="s">
        <v>28</v>
      </c>
      <c r="D1408" s="121" t="s">
        <v>387</v>
      </c>
      <c r="E1408" s="120" t="s">
        <v>38</v>
      </c>
      <c r="F1408" s="122" t="s">
        <v>323</v>
      </c>
      <c r="G1408" s="121" t="s">
        <v>414</v>
      </c>
      <c r="H1408" s="123" t="str">
        <f>Table1[[#This Row],[Tabela]]&amp;Table1[[#This Row],[Campo]]</f>
        <v>lt003_entitylei</v>
      </c>
      <c r="I1408" s="3" t="s">
        <v>477</v>
      </c>
      <c r="J1408" s="124">
        <f>VLOOKUP(Table1[[#This Row],[Status]],Auxiliar!$B$16:$C$23,2,0)</f>
        <v>1</v>
      </c>
      <c r="K1408" s="125" t="s">
        <v>1143</v>
      </c>
      <c r="L1408" s="48" t="s">
        <v>1144</v>
      </c>
      <c r="M1408" s="22" t="s">
        <v>1145</v>
      </c>
      <c r="N1408" s="126">
        <v>45509</v>
      </c>
      <c r="O1408" s="130">
        <v>0.1</v>
      </c>
      <c r="P1408" s="3" t="s">
        <v>1810</v>
      </c>
      <c r="Q1408" s="127"/>
      <c r="R1408" s="173"/>
      <c r="S1408" s="173"/>
      <c r="T1408" s="173"/>
      <c r="U1408" s="173"/>
      <c r="V1408" s="173"/>
      <c r="W1408" s="3">
        <f>VLOOKUP(Table1[[#This Row],[Status]],Auxiliar!$B$16:$D$23,3,0)*Table1[[#This Row],[Estimação (horas)]]</f>
        <v>0.1</v>
      </c>
      <c r="X1408" s="127"/>
    </row>
    <row r="1409" spans="2:24" ht="17.399999999999999" hidden="1" customHeight="1">
      <c r="B1409" s="40" t="s">
        <v>28</v>
      </c>
      <c r="C1409" s="40" t="s">
        <v>28</v>
      </c>
      <c r="D1409" s="121" t="s">
        <v>387</v>
      </c>
      <c r="E1409" s="120" t="s">
        <v>38</v>
      </c>
      <c r="F1409" s="122" t="s">
        <v>323</v>
      </c>
      <c r="G1409" s="121" t="s">
        <v>415</v>
      </c>
      <c r="H1409" s="123" t="str">
        <f>Table1[[#This Row],[Tabela]]&amp;Table1[[#This Row],[Campo]]</f>
        <v>lt003_entityecnmc_actvty</v>
      </c>
      <c r="I1409" s="3" t="s">
        <v>477</v>
      </c>
      <c r="J1409" s="124">
        <f>VLOOKUP(Table1[[#This Row],[Status]],Auxiliar!$B$16:$C$23,2,0)</f>
        <v>1</v>
      </c>
      <c r="K1409" s="125" t="s">
        <v>1143</v>
      </c>
      <c r="L1409" s="48" t="s">
        <v>1144</v>
      </c>
      <c r="M1409" s="22" t="s">
        <v>1145</v>
      </c>
      <c r="N1409" s="126">
        <v>45509</v>
      </c>
      <c r="O1409" s="130">
        <v>0.1</v>
      </c>
      <c r="P1409" s="3" t="s">
        <v>1810</v>
      </c>
      <c r="Q1409" s="127"/>
      <c r="R1409" s="173"/>
      <c r="S1409" s="173"/>
      <c r="T1409" s="173"/>
      <c r="U1409" s="173"/>
      <c r="V1409" s="173"/>
      <c r="W1409" s="3">
        <f>VLOOKUP(Table1[[#This Row],[Status]],Auxiliar!$B$16:$D$23,3,0)*Table1[[#This Row],[Estimação (horas)]]</f>
        <v>0.1</v>
      </c>
      <c r="X1409" s="127"/>
    </row>
    <row r="1410" spans="2:24" ht="17.399999999999999" hidden="1" customHeight="1">
      <c r="B1410" s="40" t="s">
        <v>28</v>
      </c>
      <c r="C1410" s="40" t="s">
        <v>28</v>
      </c>
      <c r="D1410" s="121" t="s">
        <v>387</v>
      </c>
      <c r="E1410" s="120" t="s">
        <v>38</v>
      </c>
      <c r="F1410" s="122" t="s">
        <v>323</v>
      </c>
      <c r="G1410" s="121" t="s">
        <v>416</v>
      </c>
      <c r="H1410" s="123" t="str">
        <f>Table1[[#This Row],[Tabela]]&amp;Table1[[#This Row],[Campo]]</f>
        <v>lt003_entitygrp_eqty</v>
      </c>
      <c r="I1410" s="3" t="s">
        <v>477</v>
      </c>
      <c r="J1410" s="124">
        <f>VLOOKUP(Table1[[#This Row],[Status]],Auxiliar!$B$16:$C$23,2,0)</f>
        <v>1</v>
      </c>
      <c r="K1410" s="125" t="s">
        <v>1143</v>
      </c>
      <c r="L1410" s="48" t="s">
        <v>1144</v>
      </c>
      <c r="M1410" s="22" t="s">
        <v>1145</v>
      </c>
      <c r="N1410" s="126">
        <v>45509</v>
      </c>
      <c r="O1410" s="130">
        <v>0.1</v>
      </c>
      <c r="P1410" s="3" t="s">
        <v>1810</v>
      </c>
      <c r="Q1410" s="127"/>
      <c r="R1410" s="173"/>
      <c r="S1410" s="173"/>
      <c r="T1410" s="173"/>
      <c r="U1410" s="173"/>
      <c r="V1410" s="173"/>
      <c r="W1410" s="3">
        <f>VLOOKUP(Table1[[#This Row],[Status]],Auxiliar!$B$16:$D$23,3,0)*Table1[[#This Row],[Estimação (horas)]]</f>
        <v>0.1</v>
      </c>
      <c r="X1410" s="127"/>
    </row>
    <row r="1411" spans="2:24" ht="17.399999999999999" hidden="1" customHeight="1">
      <c r="B1411" s="40" t="s">
        <v>28</v>
      </c>
      <c r="C1411" s="40" t="s">
        <v>28</v>
      </c>
      <c r="D1411" s="121" t="s">
        <v>387</v>
      </c>
      <c r="E1411" s="120" t="s">
        <v>38</v>
      </c>
      <c r="F1411" s="122" t="s">
        <v>323</v>
      </c>
      <c r="G1411" s="121" t="s">
        <v>417</v>
      </c>
      <c r="H1411" s="123" t="str">
        <f>Table1[[#This Row],[Tabela]]&amp;Table1[[#This Row],[Campo]]</f>
        <v>lt003_entityannl_trnvr_le</v>
      </c>
      <c r="I1411" s="3" t="s">
        <v>477</v>
      </c>
      <c r="J1411" s="124">
        <f>VLOOKUP(Table1[[#This Row],[Status]],Auxiliar!$B$16:$C$23,2,0)</f>
        <v>1</v>
      </c>
      <c r="K1411" s="125" t="s">
        <v>1143</v>
      </c>
      <c r="L1411" s="48" t="s">
        <v>1144</v>
      </c>
      <c r="M1411" s="22" t="s">
        <v>1145</v>
      </c>
      <c r="N1411" s="126">
        <v>45509</v>
      </c>
      <c r="O1411" s="130">
        <v>0.1</v>
      </c>
      <c r="P1411" s="3" t="s">
        <v>1810</v>
      </c>
      <c r="Q1411" s="127"/>
      <c r="R1411" s="173"/>
      <c r="S1411" s="173"/>
      <c r="T1411" s="173"/>
      <c r="U1411" s="173"/>
      <c r="V1411" s="173"/>
      <c r="W1411" s="3">
        <f>VLOOKUP(Table1[[#This Row],[Status]],Auxiliar!$B$16:$D$23,3,0)*Table1[[#This Row],[Estimação (horas)]]</f>
        <v>0.1</v>
      </c>
      <c r="X1411" s="127"/>
    </row>
    <row r="1412" spans="2:24" ht="17.399999999999999" hidden="1" customHeight="1">
      <c r="B1412" s="40" t="s">
        <v>28</v>
      </c>
      <c r="C1412" s="40" t="s">
        <v>28</v>
      </c>
      <c r="D1412" s="121" t="s">
        <v>387</v>
      </c>
      <c r="E1412" s="120" t="s">
        <v>38</v>
      </c>
      <c r="F1412" s="122" t="s">
        <v>323</v>
      </c>
      <c r="G1412" s="121" t="s">
        <v>418</v>
      </c>
      <c r="H1412" s="123" t="str">
        <f>Table1[[#This Row],[Tabela]]&amp;Table1[[#This Row],[Campo]]</f>
        <v>lt003_entityeqty</v>
      </c>
      <c r="I1412" s="3" t="s">
        <v>477</v>
      </c>
      <c r="J1412" s="124">
        <f>VLOOKUP(Table1[[#This Row],[Status]],Auxiliar!$B$16:$C$23,2,0)</f>
        <v>1</v>
      </c>
      <c r="K1412" s="125" t="s">
        <v>1143</v>
      </c>
      <c r="L1412" s="48" t="s">
        <v>1144</v>
      </c>
      <c r="M1412" s="22" t="s">
        <v>1145</v>
      </c>
      <c r="N1412" s="126">
        <v>45509</v>
      </c>
      <c r="O1412" s="130">
        <v>0.1</v>
      </c>
      <c r="P1412" s="3" t="s">
        <v>1810</v>
      </c>
      <c r="Q1412" s="127"/>
      <c r="R1412" s="173"/>
      <c r="S1412" s="173"/>
      <c r="T1412" s="173"/>
      <c r="U1412" s="173"/>
      <c r="V1412" s="173"/>
      <c r="W1412" s="3">
        <f>VLOOKUP(Table1[[#This Row],[Status]],Auxiliar!$B$16:$D$23,3,0)*Table1[[#This Row],[Estimação (horas)]]</f>
        <v>0.1</v>
      </c>
      <c r="X1412" s="127"/>
    </row>
    <row r="1413" spans="2:24" ht="17.399999999999999" hidden="1" customHeight="1">
      <c r="B1413" s="40" t="s">
        <v>28</v>
      </c>
      <c r="C1413" s="40" t="s">
        <v>28</v>
      </c>
      <c r="D1413" s="121" t="s">
        <v>387</v>
      </c>
      <c r="E1413" s="120" t="s">
        <v>38</v>
      </c>
      <c r="F1413" s="122" t="s">
        <v>323</v>
      </c>
      <c r="G1413" s="121" t="s">
        <v>419</v>
      </c>
      <c r="H1413" s="123" t="str">
        <f>Table1[[#This Row],[Tabela]]&amp;Table1[[#This Row],[Campo]]</f>
        <v>lt003_entitygrp_ttl_dbt</v>
      </c>
      <c r="I1413" s="3" t="s">
        <v>477</v>
      </c>
      <c r="J1413" s="124">
        <f>VLOOKUP(Table1[[#This Row],[Status]],Auxiliar!$B$16:$C$23,2,0)</f>
        <v>1</v>
      </c>
      <c r="K1413" s="125" t="s">
        <v>1143</v>
      </c>
      <c r="L1413" s="48" t="s">
        <v>1144</v>
      </c>
      <c r="M1413" s="22" t="s">
        <v>1145</v>
      </c>
      <c r="N1413" s="126">
        <v>45509</v>
      </c>
      <c r="O1413" s="130">
        <v>0.1</v>
      </c>
      <c r="P1413" s="3" t="s">
        <v>1810</v>
      </c>
      <c r="Q1413" s="127"/>
      <c r="R1413" s="173"/>
      <c r="S1413" s="173"/>
      <c r="T1413" s="173"/>
      <c r="U1413" s="173"/>
      <c r="V1413" s="173"/>
      <c r="W1413" s="3">
        <f>VLOOKUP(Table1[[#This Row],[Status]],Auxiliar!$B$16:$D$23,3,0)*Table1[[#This Row],[Estimação (horas)]]</f>
        <v>0.1</v>
      </c>
      <c r="X1413" s="127"/>
    </row>
    <row r="1414" spans="2:24" ht="17.399999999999999" hidden="1" customHeight="1">
      <c r="B1414" s="40" t="s">
        <v>28</v>
      </c>
      <c r="C1414" s="40" t="s">
        <v>28</v>
      </c>
      <c r="D1414" s="121" t="s">
        <v>387</v>
      </c>
      <c r="E1414" s="120" t="s">
        <v>38</v>
      </c>
      <c r="F1414" s="122" t="s">
        <v>323</v>
      </c>
      <c r="G1414" s="121" t="s">
        <v>420</v>
      </c>
      <c r="H1414" s="123" t="str">
        <f>Table1[[#This Row],[Tabela]]&amp;Table1[[#This Row],[Campo]]</f>
        <v>lt003_entityttl_dbt</v>
      </c>
      <c r="I1414" s="3" t="s">
        <v>477</v>
      </c>
      <c r="J1414" s="124">
        <f>VLOOKUP(Table1[[#This Row],[Status]],Auxiliar!$B$16:$C$23,2,0)</f>
        <v>1</v>
      </c>
      <c r="K1414" s="125" t="s">
        <v>1143</v>
      </c>
      <c r="L1414" s="48" t="s">
        <v>1144</v>
      </c>
      <c r="M1414" s="22" t="s">
        <v>1145</v>
      </c>
      <c r="N1414" s="126">
        <v>45509</v>
      </c>
      <c r="O1414" s="130">
        <v>0.1</v>
      </c>
      <c r="P1414" s="3" t="s">
        <v>1810</v>
      </c>
      <c r="Q1414" s="127"/>
      <c r="R1414" s="173"/>
      <c r="S1414" s="173"/>
      <c r="T1414" s="173"/>
      <c r="U1414" s="173"/>
      <c r="V1414" s="173"/>
      <c r="W1414" s="3">
        <f>VLOOKUP(Table1[[#This Row],[Status]],Auxiliar!$B$16:$D$23,3,0)*Table1[[#This Row],[Estimação (horas)]]</f>
        <v>0.1</v>
      </c>
      <c r="X1414" s="127"/>
    </row>
    <row r="1415" spans="2:24" ht="17.399999999999999" hidden="1" customHeight="1">
      <c r="B1415" s="40" t="s">
        <v>28</v>
      </c>
      <c r="C1415" s="40" t="s">
        <v>28</v>
      </c>
      <c r="D1415" s="128" t="s">
        <v>387</v>
      </c>
      <c r="E1415" s="120" t="s">
        <v>38</v>
      </c>
      <c r="F1415" s="129" t="s">
        <v>323</v>
      </c>
      <c r="G1415" s="128" t="s">
        <v>404</v>
      </c>
      <c r="H1415" s="123" t="str">
        <f>Table1[[#This Row],[Tabela]]&amp;Table1[[#This Row],[Campo]]</f>
        <v>lt003_entitycod_soc</v>
      </c>
      <c r="I1415" s="3" t="s">
        <v>477</v>
      </c>
      <c r="J1415" s="124">
        <f>VLOOKUP(Table1[[#This Row],[Status]],Auxiliar!$B$16:$C$23,2,0)</f>
        <v>1</v>
      </c>
      <c r="K1415" s="125" t="s">
        <v>1143</v>
      </c>
      <c r="L1415" s="48" t="s">
        <v>1144</v>
      </c>
      <c r="M1415" s="22" t="s">
        <v>1145</v>
      </c>
      <c r="N1415" s="126">
        <v>45491</v>
      </c>
      <c r="O1415" s="130">
        <v>0.1</v>
      </c>
      <c r="P1415" s="129"/>
      <c r="Q1415" s="127"/>
      <c r="R1415" s="173"/>
      <c r="S1415" s="173"/>
      <c r="T1415" s="173"/>
      <c r="U1415" s="173"/>
      <c r="V1415" s="173"/>
      <c r="W1415" s="3">
        <f>VLOOKUP(Table1[[#This Row],[Status]],Auxiliar!$B$16:$D$23,3,0)*Table1[[#This Row],[Estimação (horas)]]</f>
        <v>0.1</v>
      </c>
      <c r="X1415" s="127"/>
    </row>
    <row r="1416" spans="2:24" ht="17.399999999999999" hidden="1" customHeight="1">
      <c r="B1416" s="40" t="s">
        <v>28</v>
      </c>
      <c r="C1416" s="40" t="s">
        <v>28</v>
      </c>
      <c r="D1416" s="121" t="s">
        <v>387</v>
      </c>
      <c r="E1416" s="120" t="s">
        <v>38</v>
      </c>
      <c r="F1416" s="122" t="s">
        <v>356</v>
      </c>
      <c r="G1416" s="121" t="s">
        <v>386</v>
      </c>
      <c r="H1416" s="123" t="str">
        <f>Table1[[#This Row],[Tabela]]&amp;Table1[[#This Row],[Campo]]</f>
        <v>lt004_protectiondt_rfrnc</v>
      </c>
      <c r="I1416" s="3" t="s">
        <v>477</v>
      </c>
      <c r="J1416" s="124">
        <f>VLOOKUP(Table1[[#This Row],[Status]],Auxiliar!$B$16:$C$23,2,0)</f>
        <v>1</v>
      </c>
      <c r="K1416" s="125" t="s">
        <v>1143</v>
      </c>
      <c r="L1416" s="48" t="s">
        <v>1144</v>
      </c>
      <c r="M1416" s="22" t="s">
        <v>1145</v>
      </c>
      <c r="N1416" s="126">
        <v>45509</v>
      </c>
      <c r="O1416" s="130">
        <v>0.1</v>
      </c>
      <c r="P1416" s="122"/>
      <c r="Q1416" s="127"/>
      <c r="R1416" s="173"/>
      <c r="S1416" s="173"/>
      <c r="T1416" s="173"/>
      <c r="U1416" s="173"/>
      <c r="V1416" s="173"/>
      <c r="W1416" s="3">
        <f>VLOOKUP(Table1[[#This Row],[Status]],Auxiliar!$B$16:$D$23,3,0)*Table1[[#This Row],[Estimação (horas)]]</f>
        <v>0.1</v>
      </c>
      <c r="X1416" s="127"/>
    </row>
    <row r="1417" spans="2:24" ht="17.399999999999999" hidden="1" customHeight="1">
      <c r="B1417" s="40" t="s">
        <v>28</v>
      </c>
      <c r="C1417" s="40" t="s">
        <v>28</v>
      </c>
      <c r="D1417" s="121" t="s">
        <v>387</v>
      </c>
      <c r="E1417" s="120" t="s">
        <v>38</v>
      </c>
      <c r="F1417" s="122" t="s">
        <v>356</v>
      </c>
      <c r="G1417" s="121" t="s">
        <v>421</v>
      </c>
      <c r="H1417" s="123" t="str">
        <f>Table1[[#This Row],[Tabela]]&amp;Table1[[#This Row],[Campo]]</f>
        <v>lt004_protectionprtctn_id</v>
      </c>
      <c r="I1417" s="3" t="s">
        <v>479</v>
      </c>
      <c r="J1417" s="124">
        <f>VLOOKUP(Table1[[#This Row],[Status]],Auxiliar!$B$16:$C$23,2,0)</f>
        <v>4</v>
      </c>
      <c r="K1417" s="125" t="s">
        <v>1143</v>
      </c>
      <c r="L1417" s="48" t="s">
        <v>1144</v>
      </c>
      <c r="M1417" s="22" t="s">
        <v>1145</v>
      </c>
      <c r="N1417" s="126">
        <v>45510</v>
      </c>
      <c r="O1417" s="130">
        <v>0.1</v>
      </c>
      <c r="P1417" s="122"/>
      <c r="Q1417" s="127"/>
      <c r="R1417" s="173"/>
      <c r="S1417" s="173"/>
      <c r="T1417" s="173"/>
      <c r="U1417" s="173"/>
      <c r="V1417" s="173"/>
      <c r="W1417" s="3">
        <f>VLOOKUP(Table1[[#This Row],[Status]],Auxiliar!$B$16:$D$23,3,0)*Table1[[#This Row],[Estimação (horas)]]</f>
        <v>2.5000000000000001E-2</v>
      </c>
      <c r="X1417" s="127"/>
    </row>
    <row r="1418" spans="2:24" ht="17.399999999999999" hidden="1" customHeight="1">
      <c r="B1418" s="40" t="s">
        <v>28</v>
      </c>
      <c r="C1418" s="40" t="s">
        <v>28</v>
      </c>
      <c r="D1418" s="121" t="s">
        <v>387</v>
      </c>
      <c r="E1418" s="120" t="s">
        <v>38</v>
      </c>
      <c r="F1418" s="122" t="s">
        <v>356</v>
      </c>
      <c r="G1418" s="121" t="s">
        <v>422</v>
      </c>
      <c r="H1418" s="123" t="str">
        <f>Table1[[#This Row],[Tabela]]&amp;Table1[[#This Row],[Campo]]</f>
        <v>lt004_protectionrl_estt_clltrl_lctn</v>
      </c>
      <c r="I1418" s="3" t="s">
        <v>479</v>
      </c>
      <c r="J1418" s="124">
        <f>VLOOKUP(Table1[[#This Row],[Status]],Auxiliar!$B$16:$C$23,2,0)</f>
        <v>4</v>
      </c>
      <c r="K1418" s="125" t="s">
        <v>1143</v>
      </c>
      <c r="L1418" s="48" t="s">
        <v>1144</v>
      </c>
      <c r="M1418" s="22" t="s">
        <v>1145</v>
      </c>
      <c r="N1418" s="126">
        <v>45506</v>
      </c>
      <c r="O1418" s="130">
        <v>0.1</v>
      </c>
      <c r="P1418" s="122"/>
      <c r="Q1418" s="127"/>
      <c r="R1418" s="173"/>
      <c r="S1418" s="173"/>
      <c r="T1418" s="173"/>
      <c r="U1418" s="173"/>
      <c r="V1418" s="173"/>
      <c r="W1418" s="3">
        <f>VLOOKUP(Table1[[#This Row],[Status]],Auxiliar!$B$16:$D$23,3,0)*Table1[[#This Row],[Estimação (horas)]]</f>
        <v>2.5000000000000001E-2</v>
      </c>
      <c r="X1418" s="127"/>
    </row>
    <row r="1419" spans="2:24" ht="17.399999999999999" hidden="1" customHeight="1">
      <c r="B1419" s="40" t="s">
        <v>28</v>
      </c>
      <c r="C1419" s="40" t="s">
        <v>28</v>
      </c>
      <c r="D1419" s="121" t="s">
        <v>387</v>
      </c>
      <c r="E1419" s="120" t="s">
        <v>38</v>
      </c>
      <c r="F1419" s="122" t="s">
        <v>356</v>
      </c>
      <c r="G1419" s="121" t="s">
        <v>423</v>
      </c>
      <c r="H1419" s="123" t="str">
        <f>Table1[[#This Row],[Tabela]]&amp;Table1[[#This Row],[Campo]]</f>
        <v>lt004_protectionrl_estt_pst_cd</v>
      </c>
      <c r="I1419" s="3" t="s">
        <v>479</v>
      </c>
      <c r="J1419" s="124">
        <f>VLOOKUP(Table1[[#This Row],[Status]],Auxiliar!$B$16:$C$23,2,0)</f>
        <v>4</v>
      </c>
      <c r="K1419" s="125" t="s">
        <v>1143</v>
      </c>
      <c r="L1419" s="48" t="s">
        <v>1144</v>
      </c>
      <c r="M1419" s="22" t="s">
        <v>1145</v>
      </c>
      <c r="N1419" s="126">
        <v>45506</v>
      </c>
      <c r="O1419" s="130">
        <v>0.1</v>
      </c>
      <c r="P1419" s="122"/>
      <c r="Q1419" s="127"/>
      <c r="R1419" s="173"/>
      <c r="S1419" s="173"/>
      <c r="T1419" s="173"/>
      <c r="U1419" s="173"/>
      <c r="V1419" s="173"/>
      <c r="W1419" s="3">
        <f>VLOOKUP(Table1[[#This Row],[Status]],Auxiliar!$B$16:$D$23,3,0)*Table1[[#This Row],[Estimação (horas)]]</f>
        <v>2.5000000000000001E-2</v>
      </c>
      <c r="X1419" s="127"/>
    </row>
    <row r="1420" spans="2:24" ht="17.399999999999999" hidden="1" customHeight="1">
      <c r="B1420" s="40" t="s">
        <v>28</v>
      </c>
      <c r="C1420" s="40" t="s">
        <v>28</v>
      </c>
      <c r="D1420" s="121" t="s">
        <v>387</v>
      </c>
      <c r="E1420" s="120" t="s">
        <v>38</v>
      </c>
      <c r="F1420" s="122" t="s">
        <v>356</v>
      </c>
      <c r="G1420" s="121" t="s">
        <v>424</v>
      </c>
      <c r="H1420" s="123" t="str">
        <f>Table1[[#This Row],[Tabela]]&amp;Table1[[#This Row],[Campo]]</f>
        <v>lt004_protectiontyp_prtctn</v>
      </c>
      <c r="I1420" s="3" t="s">
        <v>479</v>
      </c>
      <c r="J1420" s="124">
        <f>VLOOKUP(Table1[[#This Row],[Status]],Auxiliar!$B$16:$C$23,2,0)</f>
        <v>4</v>
      </c>
      <c r="K1420" s="125" t="s">
        <v>1143</v>
      </c>
      <c r="L1420" s="48" t="s">
        <v>1144</v>
      </c>
      <c r="M1420" s="22" t="s">
        <v>1145</v>
      </c>
      <c r="N1420" s="126">
        <v>45506</v>
      </c>
      <c r="O1420" s="130">
        <v>0.1</v>
      </c>
      <c r="P1420" s="122"/>
      <c r="Q1420" s="127"/>
      <c r="R1420" s="173"/>
      <c r="S1420" s="173"/>
      <c r="T1420" s="173"/>
      <c r="U1420" s="173"/>
      <c r="V1420" s="173"/>
      <c r="W1420" s="3">
        <f>VLOOKUP(Table1[[#This Row],[Status]],Auxiliar!$B$16:$D$23,3,0)*Table1[[#This Row],[Estimação (horas)]]</f>
        <v>2.5000000000000001E-2</v>
      </c>
      <c r="X1420" s="127"/>
    </row>
    <row r="1421" spans="2:24" ht="17.399999999999999" hidden="1" customHeight="1">
      <c r="B1421" s="40" t="s">
        <v>28</v>
      </c>
      <c r="C1421" s="40" t="s">
        <v>28</v>
      </c>
      <c r="D1421" s="121" t="s">
        <v>387</v>
      </c>
      <c r="E1421" s="120" t="s">
        <v>38</v>
      </c>
      <c r="F1421" s="122" t="s">
        <v>356</v>
      </c>
      <c r="G1421" s="121" t="s">
        <v>425</v>
      </c>
      <c r="H1421" s="123" t="str">
        <f>Table1[[#This Row],[Tabela]]&amp;Table1[[#This Row],[Campo]]</f>
        <v>lt004_protectionorgnl_prtctn_vl</v>
      </c>
      <c r="I1421" s="3" t="s">
        <v>479</v>
      </c>
      <c r="J1421" s="124">
        <f>VLOOKUP(Table1[[#This Row],[Status]],Auxiliar!$B$16:$C$23,2,0)</f>
        <v>4</v>
      </c>
      <c r="K1421" s="125" t="s">
        <v>1143</v>
      </c>
      <c r="L1421" s="48" t="s">
        <v>1144</v>
      </c>
      <c r="M1421" s="22" t="s">
        <v>1145</v>
      </c>
      <c r="N1421" s="126">
        <v>45509</v>
      </c>
      <c r="O1421" s="130">
        <v>0.1</v>
      </c>
      <c r="P1421" s="122"/>
      <c r="Q1421" s="127"/>
      <c r="R1421" s="173"/>
      <c r="S1421" s="173"/>
      <c r="T1421" s="173"/>
      <c r="U1421" s="173"/>
      <c r="V1421" s="173"/>
      <c r="W1421" s="3">
        <f>VLOOKUP(Table1[[#This Row],[Status]],Auxiliar!$B$16:$D$23,3,0)*Table1[[#This Row],[Estimação (horas)]]</f>
        <v>2.5000000000000001E-2</v>
      </c>
      <c r="X1421" s="127"/>
    </row>
    <row r="1422" spans="2:24" ht="17.399999999999999" hidden="1" customHeight="1">
      <c r="B1422" s="40" t="s">
        <v>28</v>
      </c>
      <c r="C1422" s="40" t="s">
        <v>28</v>
      </c>
      <c r="D1422" s="121" t="s">
        <v>387</v>
      </c>
      <c r="E1422" s="120" t="s">
        <v>38</v>
      </c>
      <c r="F1422" s="122" t="s">
        <v>356</v>
      </c>
      <c r="G1422" s="121" t="s">
        <v>426</v>
      </c>
      <c r="H1422" s="123" t="str">
        <f>Table1[[#This Row],[Tabela]]&amp;Table1[[#This Row],[Campo]]</f>
        <v>lt004_protectionprtctn_vl</v>
      </c>
      <c r="I1422" s="3" t="s">
        <v>479</v>
      </c>
      <c r="J1422" s="124">
        <f>VLOOKUP(Table1[[#This Row],[Status]],Auxiliar!$B$16:$C$23,2,0)</f>
        <v>4</v>
      </c>
      <c r="K1422" s="125" t="s">
        <v>1143</v>
      </c>
      <c r="L1422" s="48" t="s">
        <v>1144</v>
      </c>
      <c r="M1422" s="22" t="s">
        <v>1145</v>
      </c>
      <c r="N1422" s="126">
        <v>45509</v>
      </c>
      <c r="O1422" s="130">
        <v>0.1</v>
      </c>
      <c r="P1422" s="122"/>
      <c r="Q1422" s="127"/>
      <c r="R1422" s="173"/>
      <c r="S1422" s="173"/>
      <c r="T1422" s="173"/>
      <c r="U1422" s="173"/>
      <c r="V1422" s="173"/>
      <c r="W1422" s="3">
        <f>VLOOKUP(Table1[[#This Row],[Status]],Auxiliar!$B$16:$D$23,3,0)*Table1[[#This Row],[Estimação (horas)]]</f>
        <v>2.5000000000000001E-2</v>
      </c>
      <c r="X1422" s="127"/>
    </row>
    <row r="1423" spans="2:24" ht="17.399999999999999" hidden="1" customHeight="1">
      <c r="B1423" s="40" t="s">
        <v>28</v>
      </c>
      <c r="C1423" s="40" t="s">
        <v>28</v>
      </c>
      <c r="D1423" s="128" t="s">
        <v>387</v>
      </c>
      <c r="E1423" s="120" t="s">
        <v>38</v>
      </c>
      <c r="F1423" s="129" t="s">
        <v>356</v>
      </c>
      <c r="G1423" t="s">
        <v>404</v>
      </c>
      <c r="H1423" s="123" t="str">
        <f>Table1[[#This Row],[Tabela]]&amp;Table1[[#This Row],[Campo]]</f>
        <v>lt004_protectioncod_soc</v>
      </c>
      <c r="I1423" s="3" t="s">
        <v>479</v>
      </c>
      <c r="J1423" s="124">
        <f>VLOOKUP(Table1[[#This Row],[Status]],Auxiliar!$B$16:$C$23,2,0)</f>
        <v>4</v>
      </c>
      <c r="K1423" s="125" t="s">
        <v>1143</v>
      </c>
      <c r="L1423" s="48" t="s">
        <v>1144</v>
      </c>
      <c r="M1423" s="22" t="s">
        <v>1145</v>
      </c>
      <c r="N1423" s="126">
        <v>45509</v>
      </c>
      <c r="O1423" s="130">
        <v>0.1</v>
      </c>
      <c r="P1423" s="129"/>
      <c r="Q1423" s="127"/>
      <c r="R1423" s="173"/>
      <c r="S1423" s="173"/>
      <c r="T1423" s="173"/>
      <c r="U1423" s="173"/>
      <c r="V1423" s="173"/>
      <c r="W1423" s="3">
        <f>VLOOKUP(Table1[[#This Row],[Status]],Auxiliar!$B$16:$D$23,3,0)*Table1[[#This Row],[Estimação (horas)]]</f>
        <v>2.5000000000000001E-2</v>
      </c>
      <c r="X1423" s="127"/>
    </row>
    <row r="1424" spans="2:24" ht="17.399999999999999" hidden="1" customHeight="1">
      <c r="B1424" s="40" t="s">
        <v>28</v>
      </c>
      <c r="C1424" s="40" t="s">
        <v>28</v>
      </c>
      <c r="D1424" s="128" t="s">
        <v>387</v>
      </c>
      <c r="E1424" s="120" t="s">
        <v>38</v>
      </c>
      <c r="F1424" s="122" t="s">
        <v>427</v>
      </c>
      <c r="G1424" s="121" t="s">
        <v>386</v>
      </c>
      <c r="H1424" s="123" t="str">
        <f>Table1[[#This Row],[Tabela]]&amp;Table1[[#This Row],[Campo]]</f>
        <v>lt005_instr_entdt_rfrnc</v>
      </c>
      <c r="I1424" s="3" t="s">
        <v>477</v>
      </c>
      <c r="J1424" s="124">
        <f>VLOOKUP(Table1[[#This Row],[Status]],Auxiliar!$B$16:$C$23,2,0)</f>
        <v>1</v>
      </c>
      <c r="K1424" s="125" t="s">
        <v>1143</v>
      </c>
      <c r="L1424" s="48" t="s">
        <v>1144</v>
      </c>
      <c r="M1424" s="22" t="s">
        <v>1145</v>
      </c>
      <c r="N1424" s="126">
        <v>45510</v>
      </c>
      <c r="O1424" s="130">
        <v>0.1</v>
      </c>
      <c r="P1424" s="122"/>
      <c r="Q1424" s="127"/>
      <c r="R1424" s="173"/>
      <c r="S1424" s="173"/>
      <c r="T1424" s="173"/>
      <c r="U1424" s="173"/>
      <c r="V1424" s="173"/>
      <c r="W1424" s="3">
        <f>VLOOKUP(Table1[[#This Row],[Status]],Auxiliar!$B$16:$D$23,3,0)*Table1[[#This Row],[Estimação (horas)]]</f>
        <v>0.1</v>
      </c>
      <c r="X1424" s="127"/>
    </row>
    <row r="1425" spans="2:24" ht="17.399999999999999" hidden="1" customHeight="1">
      <c r="B1425" s="40" t="s">
        <v>28</v>
      </c>
      <c r="C1425" s="40" t="s">
        <v>28</v>
      </c>
      <c r="D1425" s="128" t="s">
        <v>387</v>
      </c>
      <c r="E1425" s="120" t="s">
        <v>38</v>
      </c>
      <c r="F1425" s="122" t="s">
        <v>427</v>
      </c>
      <c r="G1425" s="121" t="s">
        <v>413</v>
      </c>
      <c r="H1425" s="123" t="str">
        <f>Table1[[#This Row],[Tabela]]&amp;Table1[[#This Row],[Campo]]</f>
        <v>lt005_instr_ententty_id</v>
      </c>
      <c r="I1425" s="3" t="s">
        <v>477</v>
      </c>
      <c r="J1425" s="124">
        <f>VLOOKUP(Table1[[#This Row],[Status]],Auxiliar!$B$16:$C$23,2,0)</f>
        <v>1</v>
      </c>
      <c r="K1425" s="125" t="s">
        <v>1143</v>
      </c>
      <c r="L1425" s="48" t="s">
        <v>1144</v>
      </c>
      <c r="M1425" s="22" t="s">
        <v>1145</v>
      </c>
      <c r="N1425" s="126">
        <v>45510</v>
      </c>
      <c r="O1425" s="130">
        <v>0.1</v>
      </c>
      <c r="P1425" s="122"/>
      <c r="Q1425" s="127"/>
      <c r="R1425" s="173"/>
      <c r="S1425" s="173"/>
      <c r="T1425" s="173"/>
      <c r="U1425" s="173"/>
      <c r="V1425" s="173"/>
      <c r="W1425" s="3">
        <f>VLOOKUP(Table1[[#This Row],[Status]],Auxiliar!$B$16:$D$23,3,0)*Table1[[#This Row],[Estimação (horas)]]</f>
        <v>0.1</v>
      </c>
      <c r="X1425" s="127"/>
    </row>
    <row r="1426" spans="2:24" ht="17.399999999999999" hidden="1" customHeight="1">
      <c r="B1426" s="40" t="s">
        <v>28</v>
      </c>
      <c r="C1426" s="40" t="s">
        <v>28</v>
      </c>
      <c r="D1426" s="128" t="s">
        <v>387</v>
      </c>
      <c r="E1426" s="120" t="s">
        <v>38</v>
      </c>
      <c r="F1426" s="122" t="s">
        <v>427</v>
      </c>
      <c r="G1426" s="121" t="s">
        <v>388</v>
      </c>
      <c r="H1426" s="123" t="str">
        <f>Table1[[#This Row],[Tabela]]&amp;Table1[[#This Row],[Campo]]</f>
        <v>lt005_instr_entinstrmnt_id</v>
      </c>
      <c r="I1426" s="3" t="s">
        <v>477</v>
      </c>
      <c r="J1426" s="124">
        <f>VLOOKUP(Table1[[#This Row],[Status]],Auxiliar!$B$16:$C$23,2,0)</f>
        <v>1</v>
      </c>
      <c r="K1426" s="125" t="s">
        <v>1143</v>
      </c>
      <c r="L1426" s="48" t="s">
        <v>1144</v>
      </c>
      <c r="M1426" s="22" t="s">
        <v>1145</v>
      </c>
      <c r="N1426" s="126">
        <v>45510</v>
      </c>
      <c r="O1426" s="130">
        <v>0.1</v>
      </c>
      <c r="P1426" s="122"/>
      <c r="Q1426" s="127"/>
      <c r="R1426" s="173"/>
      <c r="S1426" s="173"/>
      <c r="T1426" s="173"/>
      <c r="U1426" s="173"/>
      <c r="V1426" s="173"/>
      <c r="W1426" s="3">
        <f>VLOOKUP(Table1[[#This Row],[Status]],Auxiliar!$B$16:$D$23,3,0)*Table1[[#This Row],[Estimação (horas)]]</f>
        <v>0.1</v>
      </c>
      <c r="X1426" s="127"/>
    </row>
    <row r="1427" spans="2:24" ht="17.399999999999999" hidden="1" customHeight="1">
      <c r="B1427" s="40" t="s">
        <v>28</v>
      </c>
      <c r="C1427" s="40" t="s">
        <v>28</v>
      </c>
      <c r="D1427" s="128" t="s">
        <v>387</v>
      </c>
      <c r="E1427" s="120" t="s">
        <v>38</v>
      </c>
      <c r="F1427" s="122" t="s">
        <v>427</v>
      </c>
      <c r="G1427" s="121" t="s">
        <v>404</v>
      </c>
      <c r="H1427" s="123" t="str">
        <f>Table1[[#This Row],[Tabela]]&amp;Table1[[#This Row],[Campo]]</f>
        <v>lt005_instr_entcod_soc</v>
      </c>
      <c r="I1427" s="3" t="s">
        <v>477</v>
      </c>
      <c r="J1427" s="124">
        <f>VLOOKUP(Table1[[#This Row],[Status]],Auxiliar!$B$16:$C$23,2,0)</f>
        <v>1</v>
      </c>
      <c r="K1427" s="125" t="s">
        <v>1143</v>
      </c>
      <c r="L1427" s="48" t="s">
        <v>1144</v>
      </c>
      <c r="M1427" s="22" t="s">
        <v>1145</v>
      </c>
      <c r="N1427" s="126">
        <v>45510</v>
      </c>
      <c r="O1427" s="130">
        <v>0.1</v>
      </c>
      <c r="P1427" s="122"/>
      <c r="Q1427" s="127"/>
      <c r="R1427" s="173"/>
      <c r="S1427" s="173"/>
      <c r="T1427" s="173"/>
      <c r="U1427" s="173"/>
      <c r="V1427" s="173"/>
      <c r="W1427" s="3">
        <f>VLOOKUP(Table1[[#This Row],[Status]],Auxiliar!$B$16:$D$23,3,0)*Table1[[#This Row],[Estimação (horas)]]</f>
        <v>0.1</v>
      </c>
      <c r="X1427" s="127"/>
    </row>
    <row r="1428" spans="2:24" ht="17.399999999999999" hidden="1" customHeight="1">
      <c r="B1428" s="40" t="s">
        <v>28</v>
      </c>
      <c r="C1428" s="40" t="s">
        <v>28</v>
      </c>
      <c r="D1428" s="128" t="s">
        <v>387</v>
      </c>
      <c r="E1428" s="120" t="s">
        <v>38</v>
      </c>
      <c r="F1428" s="122" t="s">
        <v>427</v>
      </c>
      <c r="G1428" s="121" t="s">
        <v>428</v>
      </c>
      <c r="H1428" s="123" t="str">
        <f>Table1[[#This Row],[Tabela]]&amp;Table1[[#This Row],[Campo]]</f>
        <v>lt005_instr_entmn_entty_id</v>
      </c>
      <c r="I1428" s="3" t="s">
        <v>477</v>
      </c>
      <c r="J1428" s="124">
        <f>VLOOKUP(Table1[[#This Row],[Status]],Auxiliar!$B$16:$C$23,2,0)</f>
        <v>1</v>
      </c>
      <c r="K1428" s="125" t="s">
        <v>1143</v>
      </c>
      <c r="L1428" s="48" t="s">
        <v>1144</v>
      </c>
      <c r="M1428" s="22" t="s">
        <v>1145</v>
      </c>
      <c r="N1428" s="126">
        <v>45510</v>
      </c>
      <c r="O1428" s="130">
        <v>0.1</v>
      </c>
      <c r="P1428" s="122"/>
      <c r="Q1428" s="127"/>
      <c r="R1428" s="173"/>
      <c r="S1428" s="173"/>
      <c r="T1428" s="173"/>
      <c r="U1428" s="173"/>
      <c r="V1428" s="173"/>
      <c r="W1428" s="3">
        <f>VLOOKUP(Table1[[#This Row],[Status]],Auxiliar!$B$16:$D$23,3,0)*Table1[[#This Row],[Estimação (horas)]]</f>
        <v>0.1</v>
      </c>
      <c r="X1428" s="127"/>
    </row>
    <row r="1429" spans="2:24" ht="17.399999999999999" hidden="1" customHeight="1">
      <c r="B1429" s="40" t="s">
        <v>28</v>
      </c>
      <c r="C1429" s="40" t="s">
        <v>28</v>
      </c>
      <c r="D1429" s="128" t="s">
        <v>387</v>
      </c>
      <c r="E1429" s="120" t="s">
        <v>38</v>
      </c>
      <c r="F1429" s="122" t="s">
        <v>429</v>
      </c>
      <c r="G1429" s="121" t="s">
        <v>386</v>
      </c>
      <c r="H1429" s="123" t="str">
        <f>Table1[[#This Row],[Tabela]]&amp;Table1[[#This Row],[Campo]]</f>
        <v>lt006_instr_protdt_rfrnc</v>
      </c>
      <c r="I1429" s="3" t="s">
        <v>477</v>
      </c>
      <c r="J1429" s="124">
        <f>VLOOKUP(Table1[[#This Row],[Status]],Auxiliar!$B$16:$C$23,2,0)</f>
        <v>1</v>
      </c>
      <c r="K1429" s="125" t="s">
        <v>1143</v>
      </c>
      <c r="L1429" s="48" t="s">
        <v>1144</v>
      </c>
      <c r="M1429" s="22" t="s">
        <v>1145</v>
      </c>
      <c r="N1429" s="126">
        <v>45509</v>
      </c>
      <c r="O1429" s="130">
        <v>0.1</v>
      </c>
      <c r="P1429" s="122"/>
      <c r="Q1429" s="127"/>
      <c r="R1429" s="173"/>
      <c r="S1429" s="173"/>
      <c r="T1429" s="173"/>
      <c r="U1429" s="173"/>
      <c r="V1429" s="173"/>
      <c r="W1429" s="3">
        <f>VLOOKUP(Table1[[#This Row],[Status]],Auxiliar!$B$16:$D$23,3,0)*Table1[[#This Row],[Estimação (horas)]]</f>
        <v>0.1</v>
      </c>
      <c r="X1429" s="127"/>
    </row>
    <row r="1430" spans="2:24" ht="17.399999999999999" hidden="1" customHeight="1">
      <c r="B1430" s="40" t="s">
        <v>28</v>
      </c>
      <c r="C1430" s="40" t="s">
        <v>28</v>
      </c>
      <c r="D1430" s="128" t="s">
        <v>387</v>
      </c>
      <c r="E1430" s="120" t="s">
        <v>38</v>
      </c>
      <c r="F1430" s="122" t="s">
        <v>429</v>
      </c>
      <c r="G1430" s="121" t="s">
        <v>388</v>
      </c>
      <c r="H1430" s="123" t="str">
        <f>Table1[[#This Row],[Tabela]]&amp;Table1[[#This Row],[Campo]]</f>
        <v>lt006_instr_protinstrmnt_id</v>
      </c>
      <c r="I1430" s="3" t="s">
        <v>477</v>
      </c>
      <c r="J1430" s="124">
        <f>VLOOKUP(Table1[[#This Row],[Status]],Auxiliar!$B$16:$C$23,2,0)</f>
        <v>1</v>
      </c>
      <c r="K1430" s="125" t="s">
        <v>1143</v>
      </c>
      <c r="L1430" s="48" t="s">
        <v>1144</v>
      </c>
      <c r="M1430" s="22" t="s">
        <v>1145</v>
      </c>
      <c r="N1430" s="126">
        <v>45509</v>
      </c>
      <c r="O1430" s="130">
        <v>0.1</v>
      </c>
      <c r="P1430" s="122"/>
      <c r="Q1430" s="127"/>
      <c r="R1430" s="173"/>
      <c r="S1430" s="173"/>
      <c r="T1430" s="173"/>
      <c r="U1430" s="173"/>
      <c r="V1430" s="173"/>
      <c r="W1430" s="3">
        <f>VLOOKUP(Table1[[#This Row],[Status]],Auxiliar!$B$16:$D$23,3,0)*Table1[[#This Row],[Estimação (horas)]]</f>
        <v>0.1</v>
      </c>
      <c r="X1430" s="127"/>
    </row>
    <row r="1431" spans="2:24" ht="17.399999999999999" hidden="1" customHeight="1">
      <c r="B1431" s="40" t="s">
        <v>28</v>
      </c>
      <c r="C1431" s="40" t="s">
        <v>28</v>
      </c>
      <c r="D1431" s="128" t="s">
        <v>387</v>
      </c>
      <c r="E1431" s="120" t="s">
        <v>38</v>
      </c>
      <c r="F1431" s="122" t="s">
        <v>429</v>
      </c>
      <c r="G1431" s="121" t="s">
        <v>421</v>
      </c>
      <c r="H1431" s="123" t="str">
        <f>Table1[[#This Row],[Tabela]]&amp;Table1[[#This Row],[Campo]]</f>
        <v>lt006_instr_protprtctn_id</v>
      </c>
      <c r="I1431" s="3" t="s">
        <v>477</v>
      </c>
      <c r="J1431" s="124">
        <f>VLOOKUP(Table1[[#This Row],[Status]],Auxiliar!$B$16:$C$23,2,0)</f>
        <v>1</v>
      </c>
      <c r="K1431" s="125" t="s">
        <v>1143</v>
      </c>
      <c r="L1431" s="48" t="s">
        <v>1144</v>
      </c>
      <c r="M1431" s="22" t="s">
        <v>1145</v>
      </c>
      <c r="N1431" s="126">
        <v>45509</v>
      </c>
      <c r="O1431" s="130">
        <v>0.1</v>
      </c>
      <c r="P1431" s="122"/>
      <c r="Q1431" s="127"/>
      <c r="R1431" s="173"/>
      <c r="S1431" s="173"/>
      <c r="T1431" s="173"/>
      <c r="U1431" s="173"/>
      <c r="V1431" s="173"/>
      <c r="W1431" s="3">
        <f>VLOOKUP(Table1[[#This Row],[Status]],Auxiliar!$B$16:$D$23,3,0)*Table1[[#This Row],[Estimação (horas)]]</f>
        <v>0.1</v>
      </c>
      <c r="X1431" s="127"/>
    </row>
    <row r="1432" spans="2:24" ht="17.399999999999999" hidden="1" customHeight="1">
      <c r="B1432" s="40" t="s">
        <v>28</v>
      </c>
      <c r="C1432" s="40" t="s">
        <v>28</v>
      </c>
      <c r="D1432" s="128" t="s">
        <v>387</v>
      </c>
      <c r="E1432" s="120" t="s">
        <v>38</v>
      </c>
      <c r="F1432" s="122" t="s">
        <v>429</v>
      </c>
      <c r="G1432" s="121" t="s">
        <v>430</v>
      </c>
      <c r="H1432" s="123" t="str">
        <f>Table1[[#This Row],[Tabela]]&amp;Table1[[#This Row],[Campo]]</f>
        <v>lt006_instr_protprtctn_allctd_vl</v>
      </c>
      <c r="I1432" s="3" t="s">
        <v>477</v>
      </c>
      <c r="J1432" s="124">
        <f>VLOOKUP(Table1[[#This Row],[Status]],Auxiliar!$B$16:$C$23,2,0)</f>
        <v>1</v>
      </c>
      <c r="K1432" s="125" t="s">
        <v>1143</v>
      </c>
      <c r="L1432" s="48" t="s">
        <v>1144</v>
      </c>
      <c r="M1432" s="22" t="s">
        <v>1145</v>
      </c>
      <c r="N1432" s="126">
        <v>45509</v>
      </c>
      <c r="O1432" s="130">
        <v>0.1</v>
      </c>
      <c r="P1432" s="122"/>
      <c r="Q1432" s="127"/>
      <c r="R1432" s="173"/>
      <c r="S1432" s="173"/>
      <c r="T1432" s="173"/>
      <c r="U1432" s="173"/>
      <c r="V1432" s="173"/>
      <c r="W1432" s="3">
        <f>VLOOKUP(Table1[[#This Row],[Status]],Auxiliar!$B$16:$D$23,3,0)*Table1[[#This Row],[Estimação (horas)]]</f>
        <v>0.1</v>
      </c>
      <c r="X1432" s="127"/>
    </row>
    <row r="1433" spans="2:24" ht="17.399999999999999" hidden="1" customHeight="1">
      <c r="B1433" s="40" t="s">
        <v>28</v>
      </c>
      <c r="C1433" s="40" t="s">
        <v>28</v>
      </c>
      <c r="D1433" s="128" t="s">
        <v>387</v>
      </c>
      <c r="E1433" s="120" t="s">
        <v>38</v>
      </c>
      <c r="F1433" s="129" t="s">
        <v>429</v>
      </c>
      <c r="G1433" s="128" t="s">
        <v>404</v>
      </c>
      <c r="H1433" s="123" t="str">
        <f>Table1[[#This Row],[Tabela]]&amp;Table1[[#This Row],[Campo]]</f>
        <v>lt006_instr_protcod_soc</v>
      </c>
      <c r="I1433" s="3" t="s">
        <v>477</v>
      </c>
      <c r="J1433" s="124">
        <f>VLOOKUP(Table1[[#This Row],[Status]],Auxiliar!$B$16:$C$23,2,0)</f>
        <v>1</v>
      </c>
      <c r="K1433" s="125" t="s">
        <v>1143</v>
      </c>
      <c r="L1433" s="48" t="s">
        <v>1144</v>
      </c>
      <c r="M1433" s="22" t="s">
        <v>1145</v>
      </c>
      <c r="N1433" s="126">
        <v>45509</v>
      </c>
      <c r="O1433" s="130">
        <v>0.1</v>
      </c>
      <c r="P1433" s="129"/>
      <c r="Q1433" s="127"/>
      <c r="R1433" s="173"/>
      <c r="S1433" s="173"/>
      <c r="T1433" s="173"/>
      <c r="U1433" s="173"/>
      <c r="V1433" s="173"/>
      <c r="W1433" s="3">
        <f>VLOOKUP(Table1[[#This Row],[Status]],Auxiliar!$B$16:$D$23,3,0)*Table1[[#This Row],[Estimação (horas)]]</f>
        <v>0.1</v>
      </c>
      <c r="X1433" s="127"/>
    </row>
    <row r="1434" spans="2:24" ht="17.399999999999999" hidden="1" customHeight="1">
      <c r="B1434" s="121" t="s">
        <v>28</v>
      </c>
      <c r="C1434" s="121" t="s">
        <v>178</v>
      </c>
      <c r="D1434" s="14" t="s">
        <v>1198</v>
      </c>
      <c r="E1434" s="3" t="s">
        <v>38</v>
      </c>
      <c r="F1434" s="122" t="s">
        <v>211</v>
      </c>
      <c r="G1434" s="14" t="s">
        <v>213</v>
      </c>
      <c r="H1434" s="123" t="str">
        <f>Table1[[#This Row],[Tabela]]&amp;Table1[[#This Row],[Campo]]</f>
        <v>modesg_inp_emss_nacenome_regiao</v>
      </c>
      <c r="I1434" s="122" t="s">
        <v>476</v>
      </c>
      <c r="J1434" s="124">
        <f>VLOOKUP(Table1[[#This Row],[Status]],Auxiliar!$B$16:$C$23,2,0)</f>
        <v>0</v>
      </c>
      <c r="K1434" s="125" t="s">
        <v>1164</v>
      </c>
      <c r="L1434" s="125" t="s">
        <v>1171</v>
      </c>
      <c r="M1434" s="22" t="s">
        <v>1145</v>
      </c>
      <c r="N1434" s="126">
        <v>45501</v>
      </c>
      <c r="O1434" s="22">
        <f>INDEX(Auxiliar!$D$5:$F$13,MATCH(Table1[[#This Row],[Tipologia_Testes]],Auxiliar!$B$5:$B$13,0),MATCH(Table1[[#This Row],[Complexidade]],Auxiliar!$D$4:$F$4,0))</f>
        <v>0.5</v>
      </c>
      <c r="P1434" s="122"/>
      <c r="Q1434" s="127"/>
      <c r="R1434" s="173"/>
      <c r="S1434" s="173"/>
      <c r="T1434" s="173"/>
      <c r="U1434" s="173"/>
      <c r="V1434" s="173"/>
      <c r="W1434" s="3">
        <f>VLOOKUP(Table1[[#This Row],[Status]],Auxiliar!$B$16:$D$23,3,0)*Table1[[#This Row],[Estimação (horas)]]</f>
        <v>0</v>
      </c>
      <c r="X1434" s="127"/>
    </row>
    <row r="1435" spans="2:24" ht="17.399999999999999" hidden="1" customHeight="1">
      <c r="B1435" s="121" t="s">
        <v>28</v>
      </c>
      <c r="C1435" s="121" t="s">
        <v>178</v>
      </c>
      <c r="D1435" s="14" t="s">
        <v>1198</v>
      </c>
      <c r="E1435" s="3" t="s">
        <v>38</v>
      </c>
      <c r="F1435" s="122" t="s">
        <v>211</v>
      </c>
      <c r="G1435" s="121" t="s">
        <v>506</v>
      </c>
      <c r="H1435" s="123" t="str">
        <f>Table1[[#This Row],[Tabela]]&amp;Table1[[#This Row],[Campo]]</f>
        <v>modesg_inp_emss_nacearea_atividade</v>
      </c>
      <c r="I1435" s="122" t="s">
        <v>476</v>
      </c>
      <c r="J1435" s="124">
        <f>VLOOKUP(Table1[[#This Row],[Status]],Auxiliar!$B$16:$C$23,2,0)</f>
        <v>0</v>
      </c>
      <c r="K1435" s="125" t="s">
        <v>1164</v>
      </c>
      <c r="L1435" s="125" t="s">
        <v>1171</v>
      </c>
      <c r="M1435" s="22" t="s">
        <v>1145</v>
      </c>
      <c r="N1435" s="126">
        <v>45501</v>
      </c>
      <c r="O1435" s="22">
        <f>INDEX(Auxiliar!$D$5:$F$13,MATCH(Table1[[#This Row],[Tipologia_Testes]],Auxiliar!$B$5:$B$13,0),MATCH(Table1[[#This Row],[Complexidade]],Auxiliar!$D$4:$F$4,0))</f>
        <v>0.5</v>
      </c>
      <c r="P1435" s="122"/>
      <c r="Q1435" s="127"/>
      <c r="R1435" s="173"/>
      <c r="S1435" s="173"/>
      <c r="T1435" s="173"/>
      <c r="U1435" s="173"/>
      <c r="V1435" s="173"/>
      <c r="W1435" s="3">
        <f>VLOOKUP(Table1[[#This Row],[Status]],Auxiliar!$B$16:$D$23,3,0)*Table1[[#This Row],[Estimação (horas)]]</f>
        <v>0</v>
      </c>
      <c r="X1435" s="127"/>
    </row>
    <row r="1436" spans="2:24" ht="17.399999999999999" hidden="1" customHeight="1">
      <c r="B1436" s="121" t="s">
        <v>28</v>
      </c>
      <c r="C1436" s="121" t="s">
        <v>178</v>
      </c>
      <c r="D1436" s="14" t="s">
        <v>1198</v>
      </c>
      <c r="E1436" s="3" t="s">
        <v>38</v>
      </c>
      <c r="F1436" s="122" t="s">
        <v>211</v>
      </c>
      <c r="G1436" s="121" t="s">
        <v>507</v>
      </c>
      <c r="H1436" s="123" t="str">
        <f>Table1[[#This Row],[Tabela]]&amp;Table1[[#This Row],[Campo]]</f>
        <v>modesg_inp_emss_nacetipo_atividade</v>
      </c>
      <c r="I1436" s="122" t="s">
        <v>476</v>
      </c>
      <c r="J1436" s="124">
        <f>VLOOKUP(Table1[[#This Row],[Status]],Auxiliar!$B$16:$C$23,2,0)</f>
        <v>0</v>
      </c>
      <c r="K1436" s="125" t="s">
        <v>1164</v>
      </c>
      <c r="L1436" s="125" t="s">
        <v>1171</v>
      </c>
      <c r="M1436" s="22" t="s">
        <v>1145</v>
      </c>
      <c r="N1436" s="126">
        <v>45501</v>
      </c>
      <c r="O1436" s="22">
        <f>INDEX(Auxiliar!$D$5:$F$13,MATCH(Table1[[#This Row],[Tipologia_Testes]],Auxiliar!$B$5:$B$13,0),MATCH(Table1[[#This Row],[Complexidade]],Auxiliar!$D$4:$F$4,0))</f>
        <v>0.5</v>
      </c>
      <c r="P1436" s="122"/>
      <c r="Q1436" s="127"/>
      <c r="R1436" s="173"/>
      <c r="S1436" s="173"/>
      <c r="T1436" s="173"/>
      <c r="U1436" s="173"/>
      <c r="V1436" s="173"/>
      <c r="W1436" s="3">
        <f>VLOOKUP(Table1[[#This Row],[Status]],Auxiliar!$B$16:$D$23,3,0)*Table1[[#This Row],[Estimação (horas)]]</f>
        <v>0</v>
      </c>
      <c r="X1436" s="127"/>
    </row>
    <row r="1437" spans="2:24" ht="17.399999999999999" hidden="1" customHeight="1">
      <c r="B1437" s="121" t="s">
        <v>28</v>
      </c>
      <c r="C1437" s="121" t="s">
        <v>178</v>
      </c>
      <c r="D1437" s="14" t="s">
        <v>1198</v>
      </c>
      <c r="E1437" s="3" t="s">
        <v>38</v>
      </c>
      <c r="F1437" s="122" t="s">
        <v>211</v>
      </c>
      <c r="G1437" s="121" t="s">
        <v>508</v>
      </c>
      <c r="H1437" s="123" t="str">
        <f>Table1[[#This Row],[Tabela]]&amp;Table1[[#This Row],[Campo]]</f>
        <v>modesg_inp_emss_nacesub_tipo_atividade_1</v>
      </c>
      <c r="I1437" s="122" t="s">
        <v>476</v>
      </c>
      <c r="J1437" s="124">
        <f>VLOOKUP(Table1[[#This Row],[Status]],Auxiliar!$B$16:$C$23,2,0)</f>
        <v>0</v>
      </c>
      <c r="K1437" s="125" t="s">
        <v>1164</v>
      </c>
      <c r="L1437" s="125" t="s">
        <v>1171</v>
      </c>
      <c r="M1437" s="22" t="s">
        <v>1145</v>
      </c>
      <c r="N1437" s="126">
        <v>45501</v>
      </c>
      <c r="O1437" s="22">
        <f>INDEX(Auxiliar!$D$5:$F$13,MATCH(Table1[[#This Row],[Tipologia_Testes]],Auxiliar!$B$5:$B$13,0),MATCH(Table1[[#This Row],[Complexidade]],Auxiliar!$D$4:$F$4,0))</f>
        <v>0.5</v>
      </c>
      <c r="P1437" s="122"/>
      <c r="Q1437" s="127"/>
      <c r="R1437" s="173"/>
      <c r="S1437" s="173"/>
      <c r="T1437" s="173"/>
      <c r="U1437" s="173"/>
      <c r="V1437" s="173"/>
      <c r="W1437" s="3">
        <f>VLOOKUP(Table1[[#This Row],[Status]],Auxiliar!$B$16:$D$23,3,0)*Table1[[#This Row],[Estimação (horas)]]</f>
        <v>0</v>
      </c>
      <c r="X1437" s="127"/>
    </row>
    <row r="1438" spans="2:24" ht="17.399999999999999" hidden="1" customHeight="1">
      <c r="B1438" s="121" t="s">
        <v>28</v>
      </c>
      <c r="C1438" s="121" t="s">
        <v>178</v>
      </c>
      <c r="D1438" s="14" t="s">
        <v>1198</v>
      </c>
      <c r="E1438" s="3" t="s">
        <v>38</v>
      </c>
      <c r="F1438" s="122" t="s">
        <v>211</v>
      </c>
      <c r="G1438" s="121" t="s">
        <v>509</v>
      </c>
      <c r="H1438" s="123" t="str">
        <f>Table1[[#This Row],[Tabela]]&amp;Table1[[#This Row],[Campo]]</f>
        <v>modesg_inp_emss_nacesub_tipo_atividade_2</v>
      </c>
      <c r="I1438" s="122" t="s">
        <v>476</v>
      </c>
      <c r="J1438" s="124">
        <f>VLOOKUP(Table1[[#This Row],[Status]],Auxiliar!$B$16:$C$23,2,0)</f>
        <v>0</v>
      </c>
      <c r="K1438" s="125" t="s">
        <v>1164</v>
      </c>
      <c r="L1438" s="125" t="s">
        <v>1171</v>
      </c>
      <c r="M1438" s="22" t="s">
        <v>1145</v>
      </c>
      <c r="N1438" s="126">
        <v>45501</v>
      </c>
      <c r="O1438" s="22">
        <f>INDEX(Auxiliar!$D$5:$F$13,MATCH(Table1[[#This Row],[Tipologia_Testes]],Auxiliar!$B$5:$B$13,0),MATCH(Table1[[#This Row],[Complexidade]],Auxiliar!$D$4:$F$4,0))</f>
        <v>0.5</v>
      </c>
      <c r="P1438" s="122"/>
      <c r="Q1438" s="127"/>
      <c r="R1438" s="173"/>
      <c r="S1438" s="173"/>
      <c r="T1438" s="173"/>
      <c r="U1438" s="173"/>
      <c r="V1438" s="173"/>
      <c r="W1438" s="3">
        <f>VLOOKUP(Table1[[#This Row],[Status]],Auxiliar!$B$16:$D$23,3,0)*Table1[[#This Row],[Estimação (horas)]]</f>
        <v>0</v>
      </c>
      <c r="X1438" s="127"/>
    </row>
    <row r="1439" spans="2:24" ht="17.399999999999999" hidden="1" customHeight="1">
      <c r="B1439" s="121" t="s">
        <v>28</v>
      </c>
      <c r="C1439" s="121" t="s">
        <v>178</v>
      </c>
      <c r="D1439" s="14" t="s">
        <v>1198</v>
      </c>
      <c r="E1439" s="3" t="s">
        <v>38</v>
      </c>
      <c r="F1439" s="122" t="s">
        <v>211</v>
      </c>
      <c r="G1439" s="121" t="s">
        <v>510</v>
      </c>
      <c r="H1439" s="123" t="str">
        <f>Table1[[#This Row],[Tabela]]&amp;Table1[[#This Row],[Campo]]</f>
        <v>modesg_inp_emss_naceunidades_unidade_funcional</v>
      </c>
      <c r="I1439" s="122" t="s">
        <v>476</v>
      </c>
      <c r="J1439" s="124">
        <f>VLOOKUP(Table1[[#This Row],[Status]],Auxiliar!$B$16:$C$23,2,0)</f>
        <v>0</v>
      </c>
      <c r="K1439" s="125" t="s">
        <v>1164</v>
      </c>
      <c r="L1439" s="125" t="s">
        <v>1171</v>
      </c>
      <c r="M1439" s="22" t="s">
        <v>1145</v>
      </c>
      <c r="N1439" s="126">
        <v>45501</v>
      </c>
      <c r="O1439" s="22">
        <f>INDEX(Auxiliar!$D$5:$F$13,MATCH(Table1[[#This Row],[Tipologia_Testes]],Auxiliar!$B$5:$B$13,0),MATCH(Table1[[#This Row],[Complexidade]],Auxiliar!$D$4:$F$4,0))</f>
        <v>0.5</v>
      </c>
      <c r="P1439" s="122"/>
      <c r="Q1439" s="127"/>
      <c r="R1439" s="173"/>
      <c r="S1439" s="173"/>
      <c r="T1439" s="173"/>
      <c r="U1439" s="173"/>
      <c r="V1439" s="173"/>
      <c r="W1439" s="3">
        <f>VLOOKUP(Table1[[#This Row],[Status]],Auxiliar!$B$16:$D$23,3,0)*Table1[[#This Row],[Estimação (horas)]]</f>
        <v>0</v>
      </c>
      <c r="X1439" s="127"/>
    </row>
    <row r="1440" spans="2:24" ht="17.399999999999999" hidden="1" customHeight="1">
      <c r="B1440" s="121" t="s">
        <v>28</v>
      </c>
      <c r="C1440" s="121" t="s">
        <v>178</v>
      </c>
      <c r="D1440" s="14" t="s">
        <v>1198</v>
      </c>
      <c r="E1440" s="3" t="s">
        <v>38</v>
      </c>
      <c r="F1440" s="122" t="s">
        <v>211</v>
      </c>
      <c r="G1440" s="121" t="s">
        <v>511</v>
      </c>
      <c r="H1440" s="123" t="str">
        <f>Table1[[#This Row],[Tabela]]&amp;Table1[[#This Row],[Campo]]</f>
        <v>modesg_inp_emss_nacefator_emissao</v>
      </c>
      <c r="I1440" s="122" t="s">
        <v>476</v>
      </c>
      <c r="J1440" s="124">
        <f>VLOOKUP(Table1[[#This Row],[Status]],Auxiliar!$B$16:$C$23,2,0)</f>
        <v>0</v>
      </c>
      <c r="K1440" s="125" t="s">
        <v>1164</v>
      </c>
      <c r="L1440" s="125" t="s">
        <v>1171</v>
      </c>
      <c r="M1440" s="22" t="s">
        <v>1145</v>
      </c>
      <c r="N1440" s="126">
        <v>45501</v>
      </c>
      <c r="O1440" s="22">
        <f>INDEX(Auxiliar!$D$5:$F$13,MATCH(Table1[[#This Row],[Tipologia_Testes]],Auxiliar!$B$5:$B$13,0),MATCH(Table1[[#This Row],[Complexidade]],Auxiliar!$D$4:$F$4,0))</f>
        <v>0.5</v>
      </c>
      <c r="P1440" s="122"/>
      <c r="Q1440" s="127"/>
      <c r="R1440" s="173"/>
      <c r="S1440" s="173"/>
      <c r="T1440" s="173"/>
      <c r="U1440" s="173"/>
      <c r="V1440" s="173"/>
      <c r="W1440" s="3">
        <f>VLOOKUP(Table1[[#This Row],[Status]],Auxiliar!$B$16:$D$23,3,0)*Table1[[#This Row],[Estimação (horas)]]</f>
        <v>0</v>
      </c>
      <c r="X1440" s="127"/>
    </row>
    <row r="1441" spans="2:24" ht="17.399999999999999" hidden="1" customHeight="1">
      <c r="B1441" s="121" t="s">
        <v>28</v>
      </c>
      <c r="C1441" s="121" t="s">
        <v>178</v>
      </c>
      <c r="D1441" s="14" t="s">
        <v>1198</v>
      </c>
      <c r="E1441" s="3" t="s">
        <v>38</v>
      </c>
      <c r="F1441" s="122" t="s">
        <v>206</v>
      </c>
      <c r="G1441" s="121" t="s">
        <v>512</v>
      </c>
      <c r="H1441" s="123" t="str">
        <f>Table1[[#This Row],[Tabela]]&amp;Table1[[#This Row],[Campo]]</f>
        <v>modesg_inp_km_medios_emss_vclsmedia_scp1_emss</v>
      </c>
      <c r="I1441" s="122" t="s">
        <v>476</v>
      </c>
      <c r="J1441" s="124">
        <f>VLOOKUP(Table1[[#This Row],[Status]],Auxiliar!$B$16:$C$23,2,0)</f>
        <v>0</v>
      </c>
      <c r="K1441" s="22" t="s">
        <v>1164</v>
      </c>
      <c r="L1441" s="125" t="s">
        <v>1171</v>
      </c>
      <c r="M1441" s="22" t="s">
        <v>1145</v>
      </c>
      <c r="N1441" s="126">
        <v>45491</v>
      </c>
      <c r="O1441" s="22">
        <f>INDEX(Auxiliar!$D$5:$F$13,MATCH(Table1[[#This Row],[Tipologia_Testes]],Auxiliar!$B$5:$B$13,0),MATCH(Table1[[#This Row],[Complexidade]],Auxiliar!$D$4:$F$4,0))</f>
        <v>0.5</v>
      </c>
      <c r="P1441" s="122"/>
      <c r="Q1441" s="127"/>
      <c r="R1441" s="173"/>
      <c r="S1441" s="173"/>
      <c r="T1441" s="173"/>
      <c r="U1441" s="173"/>
      <c r="V1441" s="173"/>
      <c r="W1441" s="3">
        <f>VLOOKUP(Table1[[#This Row],[Status]],Auxiliar!$B$16:$D$23,3,0)*Table1[[#This Row],[Estimação (horas)]]</f>
        <v>0</v>
      </c>
      <c r="X1441" s="127"/>
    </row>
    <row r="1442" spans="2:24" ht="17.399999999999999" hidden="1" customHeight="1">
      <c r="B1442" s="121" t="s">
        <v>28</v>
      </c>
      <c r="C1442" s="121" t="s">
        <v>178</v>
      </c>
      <c r="D1442" s="14" t="s">
        <v>1198</v>
      </c>
      <c r="E1442" s="3" t="s">
        <v>38</v>
      </c>
      <c r="F1442" s="122" t="s">
        <v>206</v>
      </c>
      <c r="G1442" s="121" t="s">
        <v>513</v>
      </c>
      <c r="H1442" s="123" t="str">
        <f>Table1[[#This Row],[Tabela]]&amp;Table1[[#This Row],[Campo]]</f>
        <v>modesg_inp_km_medios_emss_vclsmedia_scp2_emss</v>
      </c>
      <c r="I1442" s="122" t="s">
        <v>476</v>
      </c>
      <c r="J1442" s="124">
        <f>VLOOKUP(Table1[[#This Row],[Status]],Auxiliar!$B$16:$C$23,2,0)</f>
        <v>0</v>
      </c>
      <c r="K1442" s="22" t="s">
        <v>1164</v>
      </c>
      <c r="L1442" s="125" t="s">
        <v>1171</v>
      </c>
      <c r="M1442" s="22" t="s">
        <v>1145</v>
      </c>
      <c r="N1442" s="126">
        <v>45491</v>
      </c>
      <c r="O1442" s="22">
        <f>INDEX(Auxiliar!$D$5:$F$13,MATCH(Table1[[#This Row],[Tipologia_Testes]],Auxiliar!$B$5:$B$13,0),MATCH(Table1[[#This Row],[Complexidade]],Auxiliar!$D$4:$F$4,0))</f>
        <v>0.5</v>
      </c>
      <c r="P1442" s="122"/>
      <c r="Q1442" s="127"/>
      <c r="R1442" s="173"/>
      <c r="S1442" s="173"/>
      <c r="T1442" s="173"/>
      <c r="U1442" s="173"/>
      <c r="V1442" s="173"/>
      <c r="W1442" s="3">
        <f>VLOOKUP(Table1[[#This Row],[Status]],Auxiliar!$B$16:$D$23,3,0)*Table1[[#This Row],[Estimação (horas)]]</f>
        <v>0</v>
      </c>
      <c r="X1442" s="127"/>
    </row>
    <row r="1443" spans="2:24" ht="17.399999999999999" hidden="1" customHeight="1">
      <c r="B1443" s="128" t="s">
        <v>28</v>
      </c>
      <c r="C1443" s="128" t="s">
        <v>178</v>
      </c>
      <c r="D1443" s="14" t="s">
        <v>1198</v>
      </c>
      <c r="E1443" s="3" t="s">
        <v>38</v>
      </c>
      <c r="F1443" s="129" t="s">
        <v>206</v>
      </c>
      <c r="G1443" s="128" t="s">
        <v>514</v>
      </c>
      <c r="H1443" s="123" t="str">
        <f>Table1[[#This Row],[Tabela]]&amp;Table1[[#This Row],[Campo]]</f>
        <v>modesg_inp_km_medios_emss_vclsmedia_scp3_emss</v>
      </c>
      <c r="I1443" s="122" t="s">
        <v>476</v>
      </c>
      <c r="J1443" s="124">
        <f>VLOOKUP(Table1[[#This Row],[Status]],Auxiliar!$B$16:$C$23,2,0)</f>
        <v>0</v>
      </c>
      <c r="K1443" s="22" t="s">
        <v>1164</v>
      </c>
      <c r="L1443" s="125" t="s">
        <v>1171</v>
      </c>
      <c r="M1443" s="22" t="s">
        <v>1145</v>
      </c>
      <c r="N1443" s="126">
        <v>45491</v>
      </c>
      <c r="O1443" s="22">
        <f>INDEX(Auxiliar!$D$5:$F$13,MATCH(Table1[[#This Row],[Tipologia_Testes]],Auxiliar!$B$5:$B$13,0),MATCH(Table1[[#This Row],[Complexidade]],Auxiliar!$D$4:$F$4,0))</f>
        <v>0.5</v>
      </c>
      <c r="P1443" s="3" t="s">
        <v>1177</v>
      </c>
      <c r="Q1443" s="127"/>
      <c r="R1443" s="173"/>
      <c r="S1443" s="173"/>
      <c r="T1443" s="173"/>
      <c r="U1443" s="173"/>
      <c r="V1443" s="173"/>
      <c r="W1443" s="3">
        <f>VLOOKUP(Table1[[#This Row],[Status]],Auxiliar!$B$16:$D$23,3,0)*Table1[[#This Row],[Estimação (horas)]]</f>
        <v>0</v>
      </c>
      <c r="X1443" s="127"/>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49" operator="containsText" id="{CDBFF415-66C3-4C81-AE0D-62F0FE18A75A}">
            <xm:f>NOT(ISERROR(SEARCH(Auxiliar!$B$20,I9)))</xm:f>
            <xm:f>Auxiliar!$B$20</xm:f>
            <x14:dxf>
              <font>
                <b/>
                <i val="0"/>
                <color rgb="FFFFC000"/>
              </font>
              <fill>
                <patternFill>
                  <bgColor theme="9" tint="0.59996337778862885"/>
                </patternFill>
              </fill>
            </x14:dxf>
          </x14:cfRule>
          <x14:cfRule type="cellIs" priority="50" operator="equal" id="{9DFBB48E-57C7-4E83-9459-3E3F476A8E18}">
            <xm:f>Auxiliar!$B$23</xm:f>
            <x14:dxf>
              <font>
                <b/>
                <i val="0"/>
                <color theme="1"/>
              </font>
              <fill>
                <patternFill patternType="darkUp">
                  <bgColor theme="0"/>
                </patternFill>
              </fill>
            </x14:dxf>
          </x14:cfRule>
          <x14:cfRule type="cellIs" priority="51" operator="equal" id="{7DBEBE11-BDC5-4E18-9857-EF682335B350}">
            <xm:f>Auxiliar!$B$18</xm:f>
            <x14:dxf>
              <font>
                <b/>
                <i val="0"/>
                <color theme="0" tint="-0.499984740745262"/>
              </font>
              <fill>
                <patternFill>
                  <bgColor theme="0" tint="-4.9989318521683403E-2"/>
                </patternFill>
              </fill>
            </x14:dxf>
          </x14:cfRule>
          <x14:cfRule type="containsText" priority="52" operator="containsText" id="{1515365E-FD08-4EC0-B5E6-160E31658B73}">
            <xm:f>NOT(ISERROR(SEARCH(Auxiliar!$B$21,I9)))</xm:f>
            <xm:f>Auxiliar!$B$21</xm:f>
            <x14:dxf>
              <font>
                <b/>
                <i val="0"/>
                <color rgb="FFC00000"/>
              </font>
              <fill>
                <patternFill>
                  <bgColor theme="4" tint="0.79998168889431442"/>
                </patternFill>
              </fill>
            </x14:dxf>
          </x14:cfRule>
          <x14:cfRule type="containsText" priority="53" operator="containsText" id="{01B53DC7-000F-4FEB-95C3-F6D65585413E}">
            <xm:f>NOT(ISERROR(SEARCH(Auxiliar!$B$19,I9)))</xm:f>
            <xm:f>Auxiliar!$B$19</xm:f>
            <x14:dxf>
              <font>
                <b/>
                <i val="0"/>
                <color theme="9" tint="-0.499984740745262"/>
              </font>
              <fill>
                <patternFill>
                  <bgColor theme="9" tint="0.79998168889431442"/>
                </patternFill>
              </fill>
            </x14:dxf>
          </x14:cfRule>
          <x14:cfRule type="containsText" priority="54" operator="containsText" id="{36FFF4CE-EF49-4B0D-82AD-50871D9535D2}">
            <xm:f>NOT(ISERROR(SEARCH(Auxiliar!$B$16,I9)))</xm:f>
            <xm:f>Auxiliar!$B$16</xm:f>
            <x14:dxf>
              <font>
                <b/>
                <i val="0"/>
                <color theme="7"/>
              </font>
              <fill>
                <patternFill>
                  <bgColor theme="7" tint="0.79998168889431442"/>
                </patternFill>
              </fill>
            </x14:dxf>
          </x14:cfRule>
          <xm:sqref>J464 I9:J463</xm:sqref>
        </x14:conditionalFormatting>
        <x14:conditionalFormatting xmlns:xm="http://schemas.microsoft.com/office/excel/2006/main">
          <x14:cfRule type="containsText" priority="61" operator="containsText" id="{A0E353A4-BC40-460B-BB47-B57EC0BDDA87}">
            <xm:f>NOT(ISERROR(SEARCH(Auxiliar!$B$20,I485)))</xm:f>
            <xm:f>Auxiliar!$B$20</xm:f>
            <x14:dxf>
              <font>
                <b/>
                <i val="0"/>
                <color rgb="FFFFC000"/>
              </font>
              <fill>
                <patternFill>
                  <bgColor theme="9" tint="0.59996337778862885"/>
                </patternFill>
              </fill>
            </x14:dxf>
          </x14:cfRule>
          <x14:cfRule type="cellIs" priority="62" operator="equal" id="{461BEC2A-3AB6-4974-9160-0CC657CD83C0}">
            <xm:f>Auxiliar!$B$23</xm:f>
            <x14:dxf>
              <font>
                <b/>
                <i val="0"/>
                <color theme="1"/>
              </font>
              <fill>
                <patternFill patternType="darkUp">
                  <bgColor theme="0"/>
                </patternFill>
              </fill>
            </x14:dxf>
          </x14:cfRule>
          <x14:cfRule type="cellIs" priority="529" operator="equal" id="{5CC18A3F-CC0C-4983-A19C-E91C49A3DB8A}">
            <xm:f>Auxiliar!$B$18</xm:f>
            <x14:dxf>
              <font>
                <b/>
                <i val="0"/>
                <color theme="0" tint="-0.499984740745262"/>
              </font>
              <fill>
                <patternFill>
                  <bgColor theme="0" tint="-4.9989318521683403E-2"/>
                </patternFill>
              </fill>
            </x14:dxf>
          </x14:cfRule>
          <x14:cfRule type="containsText" priority="530" operator="containsText" id="{660301DE-C76B-41C9-A83A-298D08A1276D}">
            <xm:f>NOT(ISERROR(SEARCH(Auxiliar!$B$21,I485)))</xm:f>
            <xm:f>Auxiliar!$B$21</xm:f>
            <x14:dxf>
              <font>
                <b/>
                <i val="0"/>
                <color rgb="FFC00000"/>
              </font>
              <fill>
                <patternFill>
                  <bgColor theme="4" tint="0.79998168889431442"/>
                </patternFill>
              </fill>
            </x14:dxf>
          </x14:cfRule>
          <x14:cfRule type="containsText" priority="531" operator="containsText" id="{E48215E9-5888-4D3F-A01B-A05864457930}">
            <xm:f>NOT(ISERROR(SEARCH(Auxiliar!$B$19,I485)))</xm:f>
            <xm:f>Auxiliar!$B$19</xm:f>
            <x14:dxf>
              <font>
                <b/>
                <i val="0"/>
                <color theme="9" tint="-0.499984740745262"/>
              </font>
              <fill>
                <patternFill>
                  <bgColor theme="9" tint="0.79998168889431442"/>
                </patternFill>
              </fill>
            </x14:dxf>
          </x14:cfRule>
          <x14:cfRule type="containsText" priority="532" operator="containsText" id="{E24FE097-F3CC-4A48-80A2-F7619DECA0EF}">
            <xm:f>NOT(ISERROR(SEARCH(Auxiliar!$B$16,I485)))</xm:f>
            <xm:f>Auxiliar!$B$16</xm:f>
            <x14:dxf>
              <font>
                <b/>
                <i val="0"/>
                <color theme="7"/>
              </font>
              <fill>
                <patternFill>
                  <bgColor theme="7" tint="0.79998168889431442"/>
                </patternFill>
              </fill>
            </x14:dxf>
          </x14:cfRule>
          <xm:sqref>I485:J1443</xm:sqref>
        </x14:conditionalFormatting>
        <x14:conditionalFormatting xmlns:xm="http://schemas.microsoft.com/office/excel/2006/main">
          <x14:cfRule type="containsText" priority="13" operator="containsText" id="{576165AC-18FE-49D8-90D0-249BF5B7AAD2}">
            <xm:f>NOT(ISERROR(SEARCH(Auxiliar!$B$20,J465)))</xm:f>
            <xm:f>Auxiliar!$B$20</xm:f>
            <x14:dxf>
              <font>
                <b/>
                <i val="0"/>
                <color rgb="FFFFC000"/>
              </font>
              <fill>
                <patternFill>
                  <bgColor theme="9" tint="0.59996337778862885"/>
                </patternFill>
              </fill>
            </x14:dxf>
          </x14:cfRule>
          <x14:cfRule type="cellIs" priority="14" operator="equal" id="{2BEF1854-999B-428C-B198-117A6D75B6CF}">
            <xm:f>Auxiliar!$B$23</xm:f>
            <x14:dxf>
              <font>
                <b/>
                <i val="0"/>
                <color theme="1"/>
              </font>
              <fill>
                <patternFill patternType="darkUp">
                  <bgColor theme="0"/>
                </patternFill>
              </fill>
            </x14:dxf>
          </x14:cfRule>
          <x14:cfRule type="cellIs" priority="15" operator="equal" id="{82150E9C-7DB3-4C92-B25A-09099C09088C}">
            <xm:f>Auxiliar!$B$18</xm:f>
            <x14:dxf>
              <font>
                <b/>
                <i val="0"/>
                <color theme="0" tint="-0.499984740745262"/>
              </font>
              <fill>
                <patternFill>
                  <bgColor theme="0" tint="-4.9989318521683403E-2"/>
                </patternFill>
              </fill>
            </x14:dxf>
          </x14:cfRule>
          <x14:cfRule type="containsText" priority="16" operator="containsText" id="{B6614CF9-BAF8-414B-8194-64317ED6140C}">
            <xm:f>NOT(ISERROR(SEARCH(Auxiliar!$B$21,J465)))</xm:f>
            <xm:f>Auxiliar!$B$21</xm:f>
            <x14:dxf>
              <font>
                <b/>
                <i val="0"/>
                <color rgb="FFC00000"/>
              </font>
              <fill>
                <patternFill>
                  <bgColor theme="4" tint="0.79998168889431442"/>
                </patternFill>
              </fill>
            </x14:dxf>
          </x14:cfRule>
          <x14:cfRule type="containsText" priority="17" operator="containsText" id="{D57989C6-1FAD-4B98-B11A-B1BF75802D76}">
            <xm:f>NOT(ISERROR(SEARCH(Auxiliar!$B$19,J465)))</xm:f>
            <xm:f>Auxiliar!$B$19</xm:f>
            <x14:dxf>
              <font>
                <b/>
                <i val="0"/>
                <color theme="9" tint="-0.499984740745262"/>
              </font>
              <fill>
                <patternFill>
                  <bgColor theme="9" tint="0.79998168889431442"/>
                </patternFill>
              </fill>
            </x14:dxf>
          </x14:cfRule>
          <x14:cfRule type="containsText" priority="18" operator="containsText" id="{9385C25B-E63C-416B-A9A9-CB4E3502313C}">
            <xm:f>NOT(ISERROR(SEARCH(Auxiliar!$B$16,J465)))</xm:f>
            <xm:f>Auxiliar!$B$16</xm:f>
            <x14:dxf>
              <font>
                <b/>
                <i val="0"/>
                <color theme="7"/>
              </font>
              <fill>
                <patternFill>
                  <bgColor theme="7" tint="0.79998168889431442"/>
                </patternFill>
              </fill>
            </x14:dxf>
          </x14:cfRule>
          <xm:sqref>J465:J484</xm:sqref>
        </x14:conditionalFormatting>
        <x14:conditionalFormatting xmlns:xm="http://schemas.microsoft.com/office/excel/2006/main">
          <x14:cfRule type="containsText" priority="1" operator="containsText" id="{FE7F90C9-5428-4F37-99B4-49F35DED47CB}">
            <xm:f>NOT(ISERROR(SEARCH(Auxiliar!$B$20,I464)))</xm:f>
            <xm:f>Auxiliar!$B$20</xm:f>
            <x14:dxf>
              <font>
                <b/>
                <i val="0"/>
                <color rgb="FFFFC000"/>
              </font>
              <fill>
                <patternFill>
                  <bgColor theme="9" tint="0.59996337778862885"/>
                </patternFill>
              </fill>
            </x14:dxf>
          </x14:cfRule>
          <x14:cfRule type="cellIs" priority="2" operator="equal" id="{242CBF72-8D3F-44A2-A9FE-DDAF10F3447F}">
            <xm:f>Auxiliar!$B$23</xm:f>
            <x14:dxf>
              <font>
                <b/>
                <i val="0"/>
                <color theme="1"/>
              </font>
              <fill>
                <patternFill patternType="darkUp">
                  <bgColor theme="0"/>
                </patternFill>
              </fill>
            </x14:dxf>
          </x14:cfRule>
          <x14:cfRule type="cellIs" priority="3" operator="equal" id="{037FACA4-D182-40BD-AF19-F3F735343A6F}">
            <xm:f>Auxiliar!$B$18</xm:f>
            <x14:dxf>
              <font>
                <b/>
                <i val="0"/>
                <color theme="0" tint="-0.499984740745262"/>
              </font>
              <fill>
                <patternFill>
                  <bgColor theme="0" tint="-4.9989318521683403E-2"/>
                </patternFill>
              </fill>
            </x14:dxf>
          </x14:cfRule>
          <x14:cfRule type="containsText" priority="4" operator="containsText" id="{6659E188-0A7E-4EE9-9FE5-97730961DBE6}">
            <xm:f>NOT(ISERROR(SEARCH(Auxiliar!$B$21,I464)))</xm:f>
            <xm:f>Auxiliar!$B$21</xm:f>
            <x14:dxf>
              <font>
                <b/>
                <i val="0"/>
                <color rgb="FFC00000"/>
              </font>
              <fill>
                <patternFill>
                  <bgColor theme="4" tint="0.79998168889431442"/>
                </patternFill>
              </fill>
            </x14:dxf>
          </x14:cfRule>
          <x14:cfRule type="containsText" priority="5" operator="containsText" id="{E60FB7DA-81DD-4EF3-A05F-82C824BEB237}">
            <xm:f>NOT(ISERROR(SEARCH(Auxiliar!$B$19,I464)))</xm:f>
            <xm:f>Auxiliar!$B$19</xm:f>
            <x14:dxf>
              <font>
                <b/>
                <i val="0"/>
                <color theme="9" tint="-0.499984740745262"/>
              </font>
              <fill>
                <patternFill>
                  <bgColor theme="9" tint="0.79998168889431442"/>
                </patternFill>
              </fill>
            </x14:dxf>
          </x14:cfRule>
          <x14:cfRule type="containsText" priority="6" operator="containsText" id="{A8657430-99A2-4591-8CDA-FB18D0976C56}">
            <xm:f>NOT(ISERROR(SEARCH(Auxiliar!$B$16,I464)))</xm:f>
            <xm:f>Auxiliar!$B$16</xm:f>
            <x14:dxf>
              <font>
                <b/>
                <i val="0"/>
                <color theme="7"/>
              </font>
              <fill>
                <patternFill>
                  <bgColor theme="7" tint="0.79998168889431442"/>
                </patternFill>
              </fill>
            </x14:dxf>
          </x14:cfRule>
          <xm:sqref>I464:I484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M9:M1443</xm:sqref>
        </x14:dataValidation>
        <x14:dataValidation type="list" allowBlank="1" showInputMessage="1" showErrorMessage="1">
          <x14:formula1>
            <xm:f>Auxiliar!$B$5:$B$13</xm:f>
          </x14:formula1>
          <xm:sqref>K9:K1443</xm:sqref>
        </x14:dataValidation>
        <x14:dataValidation type="list" allowBlank="1" showInputMessage="1" showErrorMessage="1">
          <x14:formula1>
            <xm:f>Auxiliar!$B$16:$B$23</xm:f>
          </x14:formula1>
          <xm:sqref>I9:I1443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5" customWidth="1"/>
    <col min="2" max="4" width="8.69921875" style="15"/>
    <col min="5" max="5" width="43.59765625" style="15" customWidth="1"/>
    <col min="6" max="16384" width="8.69921875" style="15"/>
  </cols>
  <sheetData>
    <row r="1" spans="1:11" ht="15.6">
      <c r="A1" s="16" t="s">
        <v>1249</v>
      </c>
      <c r="B1" s="15" t="s">
        <v>1250</v>
      </c>
      <c r="C1" s="15" t="s">
        <v>1251</v>
      </c>
      <c r="D1" s="15" t="s">
        <v>1252</v>
      </c>
      <c r="E1" s="15" t="s">
        <v>1253</v>
      </c>
      <c r="F1" s="15" t="s">
        <v>1254</v>
      </c>
      <c r="G1" s="15" t="s">
        <v>1255</v>
      </c>
      <c r="H1" s="15" t="s">
        <v>1256</v>
      </c>
      <c r="I1" s="15" t="s">
        <v>1257</v>
      </c>
      <c r="J1" s="15" t="s">
        <v>1258</v>
      </c>
      <c r="K1" s="15" t="s">
        <v>1259</v>
      </c>
    </row>
    <row r="2" spans="1:11">
      <c r="A2" s="17" t="str">
        <f>VLOOKUP(E2,Table1[[#All],[Campo]],1,0)</f>
        <v>cod_soc</v>
      </c>
      <c r="B2" s="15" t="s">
        <v>1260</v>
      </c>
      <c r="C2" s="15" t="s">
        <v>1261</v>
      </c>
      <c r="D2" s="15" t="s">
        <v>1262</v>
      </c>
      <c r="E2" s="15" t="s">
        <v>1263</v>
      </c>
      <c r="F2" s="15" t="s">
        <v>1264</v>
      </c>
      <c r="G2" s="15" t="s">
        <v>1265</v>
      </c>
      <c r="H2" s="15" t="s">
        <v>485</v>
      </c>
      <c r="I2" s="15">
        <v>1096295</v>
      </c>
      <c r="J2" s="15">
        <v>0</v>
      </c>
      <c r="K2" s="15">
        <v>0</v>
      </c>
    </row>
    <row r="3" spans="1:11">
      <c r="A3" s="17" t="str">
        <f>VLOOKUP(E3,Table1[[#All],[Campo]],1,0)</f>
        <v>dt_rfrnc</v>
      </c>
      <c r="B3" s="15" t="s">
        <v>1266</v>
      </c>
      <c r="C3" s="15" t="s">
        <v>1267</v>
      </c>
      <c r="D3" s="15" t="s">
        <v>1262</v>
      </c>
      <c r="E3" s="15" t="s">
        <v>1268</v>
      </c>
      <c r="F3" s="15" t="s">
        <v>1269</v>
      </c>
      <c r="G3" s="15" t="s">
        <v>1265</v>
      </c>
      <c r="H3" s="15" t="s">
        <v>485</v>
      </c>
      <c r="I3" s="15">
        <v>1096295</v>
      </c>
      <c r="J3" s="15">
        <v>0</v>
      </c>
      <c r="K3" s="15">
        <v>0</v>
      </c>
    </row>
    <row r="4" spans="1:11">
      <c r="A4" s="17" t="str">
        <f>VLOOKUP(E4,Table1[[#All],[Campo]],1,0)</f>
        <v>cod_soc</v>
      </c>
      <c r="B4" s="15" t="s">
        <v>1270</v>
      </c>
      <c r="C4" s="15" t="s">
        <v>1261</v>
      </c>
      <c r="D4" s="15" t="s">
        <v>1271</v>
      </c>
      <c r="E4" s="15" t="s">
        <v>1263</v>
      </c>
      <c r="F4" s="15" t="s">
        <v>1264</v>
      </c>
      <c r="G4" s="15" t="s">
        <v>1272</v>
      </c>
      <c r="H4" s="15" t="s">
        <v>485</v>
      </c>
      <c r="I4" s="15">
        <v>2490665</v>
      </c>
      <c r="J4" s="15">
        <v>0</v>
      </c>
      <c r="K4" s="15">
        <v>0</v>
      </c>
    </row>
    <row r="5" spans="1:11">
      <c r="A5" s="17" t="str">
        <f>VLOOKUP(E5,Table1[[#All],[Campo]],1,0)</f>
        <v>dt_rfrnc</v>
      </c>
      <c r="B5" s="15" t="s">
        <v>1273</v>
      </c>
      <c r="C5" s="15" t="s">
        <v>1274</v>
      </c>
      <c r="D5" s="15" t="s">
        <v>1271</v>
      </c>
      <c r="E5" s="15" t="s">
        <v>1268</v>
      </c>
      <c r="F5" s="15" t="s">
        <v>1269</v>
      </c>
      <c r="G5" s="15" t="s">
        <v>1272</v>
      </c>
      <c r="H5" s="15" t="s">
        <v>485</v>
      </c>
      <c r="I5" s="15">
        <v>2490665</v>
      </c>
      <c r="J5" s="15">
        <v>0</v>
      </c>
      <c r="K5" s="15">
        <v>0</v>
      </c>
    </row>
    <row r="6" spans="1:11">
      <c r="A6" s="17" t="str">
        <f>VLOOKUP(E6,Table1[[#All],[Campo]],1,0)</f>
        <v>instrmnt_id</v>
      </c>
      <c r="B6" s="15" t="s">
        <v>1275</v>
      </c>
      <c r="C6" s="15" t="s">
        <v>1276</v>
      </c>
      <c r="D6" s="15" t="s">
        <v>1271</v>
      </c>
      <c r="E6" s="15" t="s">
        <v>1277</v>
      </c>
      <c r="F6" s="15" t="s">
        <v>1264</v>
      </c>
      <c r="G6" s="15" t="s">
        <v>1272</v>
      </c>
      <c r="H6" s="15" t="s">
        <v>485</v>
      </c>
      <c r="I6" s="15">
        <v>2490665</v>
      </c>
      <c r="J6" s="15">
        <v>0</v>
      </c>
      <c r="K6" s="15">
        <v>0</v>
      </c>
    </row>
    <row r="7" spans="1:11">
      <c r="A7" s="17" t="str">
        <f>VLOOKUP(E7,Table1[[#All],[Campo]],1,0)</f>
        <v>cod_soc</v>
      </c>
      <c r="B7" s="15" t="s">
        <v>1278</v>
      </c>
      <c r="C7" s="15" t="s">
        <v>1261</v>
      </c>
      <c r="D7" s="15" t="s">
        <v>1279</v>
      </c>
      <c r="E7" s="15" t="s">
        <v>1263</v>
      </c>
      <c r="F7" s="15" t="s">
        <v>1264</v>
      </c>
      <c r="G7" s="15" t="s">
        <v>1280</v>
      </c>
      <c r="H7" s="15" t="s">
        <v>485</v>
      </c>
      <c r="I7" s="15">
        <v>2002411</v>
      </c>
      <c r="J7" s="15">
        <v>0</v>
      </c>
      <c r="K7" s="15">
        <v>0</v>
      </c>
    </row>
    <row r="8" spans="1:11">
      <c r="A8" s="17" t="str">
        <f>VLOOKUP(E8,Table1[[#All],[Campo]],1,0)</f>
        <v>dt_rfrnc</v>
      </c>
      <c r="B8" s="15" t="s">
        <v>1281</v>
      </c>
      <c r="C8" s="15" t="s">
        <v>1274</v>
      </c>
      <c r="D8" s="15" t="s">
        <v>1279</v>
      </c>
      <c r="E8" s="15" t="s">
        <v>1268</v>
      </c>
      <c r="F8" s="15" t="s">
        <v>1269</v>
      </c>
      <c r="G8" s="15" t="s">
        <v>1280</v>
      </c>
      <c r="H8" s="15" t="s">
        <v>485</v>
      </c>
      <c r="I8" s="15">
        <v>2002411</v>
      </c>
      <c r="J8" s="15">
        <v>0</v>
      </c>
      <c r="K8" s="15">
        <v>0</v>
      </c>
    </row>
    <row r="9" spans="1:11">
      <c r="A9" s="17" t="str">
        <f>VLOOKUP(E9,Table1[[#All],[Campo]],1,0)</f>
        <v>instrmnt_id</v>
      </c>
      <c r="B9" s="15" t="s">
        <v>1282</v>
      </c>
      <c r="C9" s="15" t="s">
        <v>1276</v>
      </c>
      <c r="D9" s="15" t="s">
        <v>1279</v>
      </c>
      <c r="E9" s="15" t="s">
        <v>1277</v>
      </c>
      <c r="F9" s="15" t="s">
        <v>1264</v>
      </c>
      <c r="G9" s="15" t="s">
        <v>1280</v>
      </c>
      <c r="H9" s="15" t="s">
        <v>485</v>
      </c>
      <c r="I9" s="15">
        <v>2002411</v>
      </c>
      <c r="J9" s="15">
        <v>0</v>
      </c>
      <c r="K9" s="15">
        <v>0</v>
      </c>
    </row>
    <row r="10" spans="1:11">
      <c r="A10" s="17" t="str">
        <f>VLOOKUP(E10,Table1[[#All],[Campo]],1,0)</f>
        <v>dflt_stts_instrmnt</v>
      </c>
      <c r="B10" s="15" t="s">
        <v>1283</v>
      </c>
      <c r="C10" s="15" t="s">
        <v>1284</v>
      </c>
      <c r="D10" s="15" t="s">
        <v>1285</v>
      </c>
      <c r="E10" s="15" t="s">
        <v>1286</v>
      </c>
      <c r="F10" s="15" t="s">
        <v>1287</v>
      </c>
      <c r="G10" s="15" t="s">
        <v>1280</v>
      </c>
      <c r="H10" s="15" t="s">
        <v>1288</v>
      </c>
      <c r="I10" s="15">
        <v>2002411</v>
      </c>
      <c r="J10" s="15">
        <v>96182</v>
      </c>
      <c r="K10" s="15">
        <v>4.8033000000000001</v>
      </c>
    </row>
    <row r="11" spans="1:11">
      <c r="A11" s="17" t="str">
        <f>VLOOKUP(E11,Table1[[#All],[Campo]],1,0)</f>
        <v>prfrmng_stts</v>
      </c>
      <c r="B11" s="15" t="s">
        <v>1289</v>
      </c>
      <c r="C11" s="15" t="s">
        <v>1290</v>
      </c>
      <c r="D11" s="15" t="s">
        <v>1285</v>
      </c>
      <c r="E11" s="15" t="s">
        <v>1291</v>
      </c>
      <c r="F11" s="15" t="s">
        <v>1287</v>
      </c>
      <c r="G11" s="15" t="s">
        <v>1280</v>
      </c>
      <c r="H11" s="15" t="s">
        <v>485</v>
      </c>
      <c r="I11" s="15">
        <v>2002411</v>
      </c>
      <c r="J11" s="15">
        <v>0</v>
      </c>
      <c r="K11" s="15">
        <v>0</v>
      </c>
    </row>
    <row r="12" spans="1:11">
      <c r="A12" s="17" t="str">
        <f>VLOOKUP(E12,Table1[[#All],[Campo]],1,0)</f>
        <v>lcl_instmrnt_id</v>
      </c>
      <c r="B12" s="15" t="s">
        <v>1292</v>
      </c>
      <c r="C12" s="15" t="s">
        <v>1293</v>
      </c>
      <c r="D12" s="15" t="s">
        <v>1279</v>
      </c>
      <c r="E12" s="15" t="s">
        <v>1294</v>
      </c>
      <c r="F12" s="15" t="s">
        <v>1264</v>
      </c>
      <c r="G12" s="15" t="s">
        <v>1280</v>
      </c>
      <c r="H12" s="15" t="s">
        <v>1288</v>
      </c>
      <c r="I12" s="15">
        <v>2002411</v>
      </c>
      <c r="J12" s="15">
        <v>2002411</v>
      </c>
      <c r="K12" s="15">
        <v>100</v>
      </c>
    </row>
    <row r="13" spans="1:11">
      <c r="A13" s="17" t="str">
        <f>VLOOKUP(E13,Table1[[#All],[Campo]],1,0)</f>
        <v>sstnbl_indctr</v>
      </c>
      <c r="B13" s="15" t="s">
        <v>1295</v>
      </c>
      <c r="C13" s="15" t="s">
        <v>1296</v>
      </c>
      <c r="D13" s="15" t="s">
        <v>1285</v>
      </c>
      <c r="E13" s="15" t="s">
        <v>1297</v>
      </c>
      <c r="F13" s="15" t="s">
        <v>1298</v>
      </c>
      <c r="G13" s="15" t="s">
        <v>1280</v>
      </c>
      <c r="H13" s="15" t="s">
        <v>1288</v>
      </c>
      <c r="I13" s="15">
        <v>2002318</v>
      </c>
      <c r="J13" s="15">
        <v>2002318</v>
      </c>
      <c r="K13" s="15">
        <v>100</v>
      </c>
    </row>
    <row r="14" spans="1:11">
      <c r="A14" s="17" t="str">
        <f>VLOOKUP(E14,Table1[[#All],[Campo]],1,0)</f>
        <v>sstnbl_ctgry</v>
      </c>
      <c r="B14" s="15" t="s">
        <v>1299</v>
      </c>
      <c r="C14" s="15" t="s">
        <v>1300</v>
      </c>
      <c r="D14" s="15" t="s">
        <v>1285</v>
      </c>
      <c r="E14" s="15" t="s">
        <v>1301</v>
      </c>
      <c r="F14" s="15" t="s">
        <v>1298</v>
      </c>
      <c r="G14" s="15" t="s">
        <v>1280</v>
      </c>
      <c r="H14" s="15" t="s">
        <v>1288</v>
      </c>
      <c r="I14" s="15">
        <v>2002318</v>
      </c>
      <c r="J14" s="15">
        <v>2002318</v>
      </c>
      <c r="K14" s="15">
        <v>100</v>
      </c>
    </row>
    <row r="15" spans="1:11">
      <c r="A15" s="17" t="str">
        <f>VLOOKUP(E15,Table1[[#All],[Campo]],1,0)</f>
        <v>nw_bsnss</v>
      </c>
      <c r="B15" s="15" t="s">
        <v>1302</v>
      </c>
      <c r="C15" s="15" t="s">
        <v>1303</v>
      </c>
      <c r="D15" s="15" t="s">
        <v>1285</v>
      </c>
      <c r="E15" s="15" t="s">
        <v>1304</v>
      </c>
      <c r="F15" s="15" t="s">
        <v>1298</v>
      </c>
      <c r="G15" s="15" t="s">
        <v>1280</v>
      </c>
      <c r="H15" s="15" t="s">
        <v>1288</v>
      </c>
      <c r="I15" s="15">
        <v>2002411</v>
      </c>
      <c r="J15" s="15">
        <v>2002411</v>
      </c>
      <c r="K15" s="15">
        <v>100</v>
      </c>
    </row>
    <row r="16" spans="1:11">
      <c r="A16" s="17" t="str">
        <f>VLOOKUP(E16,Table1[[#All],[Campo]],1,0)</f>
        <v>bsnss_area</v>
      </c>
      <c r="B16" s="15" t="s">
        <v>1305</v>
      </c>
      <c r="C16" s="15" t="s">
        <v>1306</v>
      </c>
      <c r="D16" s="15" t="s">
        <v>1285</v>
      </c>
      <c r="E16" s="15" t="s">
        <v>1307</v>
      </c>
      <c r="F16" s="15" t="s">
        <v>1298</v>
      </c>
      <c r="G16" s="15" t="s">
        <v>1280</v>
      </c>
      <c r="H16" s="15" t="s">
        <v>1288</v>
      </c>
      <c r="I16" s="15">
        <v>2002411</v>
      </c>
      <c r="J16" s="15">
        <v>2002411</v>
      </c>
      <c r="K16" s="15">
        <v>100</v>
      </c>
    </row>
    <row r="17" spans="1:11">
      <c r="A17" s="17" t="str">
        <f>VLOOKUP(E17,Table1[[#All],[Campo]],1,0)</f>
        <v>flg_intrbsnss</v>
      </c>
      <c r="B17" s="15" t="s">
        <v>1308</v>
      </c>
      <c r="C17" s="15" t="s">
        <v>1309</v>
      </c>
      <c r="D17" s="15" t="s">
        <v>1285</v>
      </c>
      <c r="E17" s="15" t="s">
        <v>1310</v>
      </c>
      <c r="F17" s="15" t="s">
        <v>1298</v>
      </c>
      <c r="G17" s="15" t="s">
        <v>1280</v>
      </c>
      <c r="H17" s="15" t="s">
        <v>1288</v>
      </c>
      <c r="I17" s="15">
        <v>2002411</v>
      </c>
      <c r="J17" s="15">
        <v>2002411</v>
      </c>
      <c r="K17" s="15">
        <v>100</v>
      </c>
    </row>
    <row r="18" spans="1:11">
      <c r="A18" s="17" t="str">
        <f>VLOOKUP(E18,Table1[[#All],[Campo]],1,0)</f>
        <v>bsnss_area_ccrr</v>
      </c>
      <c r="B18" s="15" t="s">
        <v>1311</v>
      </c>
      <c r="C18" s="15" t="s">
        <v>1312</v>
      </c>
      <c r="D18" s="15" t="s">
        <v>1285</v>
      </c>
      <c r="E18" s="15" t="s">
        <v>1313</v>
      </c>
      <c r="F18" s="15" t="s">
        <v>1298</v>
      </c>
      <c r="G18" s="15" t="s">
        <v>1280</v>
      </c>
      <c r="H18" s="15" t="s">
        <v>1288</v>
      </c>
      <c r="I18" s="15">
        <v>2002411</v>
      </c>
      <c r="J18" s="15">
        <v>2002411</v>
      </c>
      <c r="K18" s="15">
        <v>100</v>
      </c>
    </row>
    <row r="19" spans="1:11">
      <c r="A19" s="17" t="s">
        <v>1314</v>
      </c>
      <c r="B19" s="15" t="s">
        <v>1315</v>
      </c>
      <c r="C19" s="15" t="s">
        <v>1316</v>
      </c>
      <c r="D19" s="15" t="s">
        <v>1285</v>
      </c>
      <c r="E19" s="15" t="s">
        <v>1317</v>
      </c>
      <c r="F19" s="15" t="s">
        <v>1298</v>
      </c>
      <c r="G19" s="15" t="s">
        <v>1280</v>
      </c>
      <c r="H19" s="15" t="s">
        <v>1288</v>
      </c>
      <c r="I19" s="15">
        <v>2002411</v>
      </c>
      <c r="J19" s="15">
        <v>2002411</v>
      </c>
      <c r="K19" s="15">
        <v>100</v>
      </c>
    </row>
    <row r="20" spans="1:11">
      <c r="A20" s="17" t="str">
        <f>VLOOKUP(E20,Table1[[#All],[Campo]],1,0)</f>
        <v>idcmb</v>
      </c>
      <c r="B20" s="15" t="s">
        <v>1318</v>
      </c>
      <c r="C20" s="15" t="s">
        <v>1319</v>
      </c>
      <c r="D20" s="15" t="s">
        <v>1279</v>
      </c>
      <c r="E20" s="15" t="s">
        <v>1320</v>
      </c>
      <c r="F20" s="15" t="s">
        <v>1264</v>
      </c>
      <c r="G20" s="15" t="s">
        <v>1280</v>
      </c>
      <c r="H20" s="15" t="s">
        <v>1288</v>
      </c>
      <c r="I20" s="15">
        <v>2002411</v>
      </c>
      <c r="J20" s="15">
        <v>1</v>
      </c>
      <c r="K20" s="15">
        <v>0</v>
      </c>
    </row>
    <row r="21" spans="1:11">
      <c r="A21" s="17" t="str">
        <f>VLOOKUP(E21,Table1[[#All],[Campo]],1,0)</f>
        <v>cod_soc</v>
      </c>
      <c r="B21" s="15" t="s">
        <v>1321</v>
      </c>
      <c r="C21" s="15" t="s">
        <v>1261</v>
      </c>
      <c r="D21" s="15" t="s">
        <v>1322</v>
      </c>
      <c r="E21" s="15" t="s">
        <v>1263</v>
      </c>
      <c r="F21" s="15" t="s">
        <v>1264</v>
      </c>
      <c r="G21" s="15" t="s">
        <v>1323</v>
      </c>
      <c r="H21" s="15" t="s">
        <v>485</v>
      </c>
      <c r="I21" s="15">
        <v>731165</v>
      </c>
      <c r="J21" s="15">
        <v>0</v>
      </c>
      <c r="K21" s="15">
        <v>0</v>
      </c>
    </row>
    <row r="22" spans="1:11">
      <c r="A22" s="17" t="str">
        <f>VLOOKUP(E22,Table1[[#All],[Campo]],1,0)</f>
        <v>dt_rfrnc</v>
      </c>
      <c r="B22" s="15" t="s">
        <v>1324</v>
      </c>
      <c r="C22" s="15" t="s">
        <v>1274</v>
      </c>
      <c r="D22" s="15" t="s">
        <v>1322</v>
      </c>
      <c r="E22" s="15" t="s">
        <v>1268</v>
      </c>
      <c r="F22" s="15" t="s">
        <v>1269</v>
      </c>
      <c r="G22" s="15" t="s">
        <v>1323</v>
      </c>
      <c r="H22" s="15" t="s">
        <v>485</v>
      </c>
      <c r="I22" s="15">
        <v>731165</v>
      </c>
      <c r="J22" s="15">
        <v>0</v>
      </c>
      <c r="K22" s="15">
        <v>0</v>
      </c>
    </row>
    <row r="23" spans="1:11">
      <c r="A23" s="17" t="str">
        <f>VLOOKUP(E23,Table1[[#All],[Campo]],1,0)</f>
        <v>instrmnt_id</v>
      </c>
      <c r="B23" s="15" t="s">
        <v>1325</v>
      </c>
      <c r="C23" s="15" t="s">
        <v>1276</v>
      </c>
      <c r="D23" s="15" t="s">
        <v>1322</v>
      </c>
      <c r="E23" s="15" t="s">
        <v>1277</v>
      </c>
      <c r="F23" s="15" t="s">
        <v>1264</v>
      </c>
      <c r="G23" s="15" t="s">
        <v>1323</v>
      </c>
      <c r="H23" s="15" t="s">
        <v>485</v>
      </c>
      <c r="I23" s="15">
        <v>731165</v>
      </c>
      <c r="J23" s="15">
        <v>0</v>
      </c>
      <c r="K23" s="15">
        <v>0</v>
      </c>
    </row>
    <row r="24" spans="1:11">
      <c r="A24" s="17" t="str">
        <f>VLOOKUP(E24,Table1[[#All],[Campo]],1,0)</f>
        <v>cod_soc</v>
      </c>
      <c r="B24" s="15" t="s">
        <v>1326</v>
      </c>
      <c r="C24" s="15" t="s">
        <v>1261</v>
      </c>
      <c r="D24" s="15" t="s">
        <v>1327</v>
      </c>
      <c r="E24" s="15" t="s">
        <v>1263</v>
      </c>
      <c r="F24" s="15" t="s">
        <v>1264</v>
      </c>
      <c r="G24" s="15" t="s">
        <v>1328</v>
      </c>
      <c r="H24" s="15" t="s">
        <v>485</v>
      </c>
      <c r="I24" s="15">
        <v>456960</v>
      </c>
      <c r="J24" s="15">
        <v>0</v>
      </c>
      <c r="K24" s="15">
        <v>0</v>
      </c>
    </row>
    <row r="25" spans="1:11">
      <c r="A25" s="17" t="str">
        <f>VLOOKUP(E25,Table1[[#All],[Campo]],1,0)</f>
        <v>dt_rfrnc</v>
      </c>
      <c r="B25" s="15" t="s">
        <v>1329</v>
      </c>
      <c r="C25" s="15" t="s">
        <v>1274</v>
      </c>
      <c r="D25" s="15" t="s">
        <v>1327</v>
      </c>
      <c r="E25" s="15" t="s">
        <v>1268</v>
      </c>
      <c r="F25" s="15" t="s">
        <v>1269</v>
      </c>
      <c r="G25" s="15" t="s">
        <v>1328</v>
      </c>
      <c r="H25" s="15" t="s">
        <v>485</v>
      </c>
      <c r="I25" s="15">
        <v>456960</v>
      </c>
      <c r="J25" s="15">
        <v>0</v>
      </c>
      <c r="K25" s="15">
        <v>0</v>
      </c>
    </row>
    <row r="26" spans="1:11">
      <c r="A26" s="17" t="str">
        <f>VLOOKUP(E26,Table1[[#All],[Campo]],1,0)</f>
        <v>instrmnt_id</v>
      </c>
      <c r="B26" s="15" t="s">
        <v>1330</v>
      </c>
      <c r="C26" s="15" t="s">
        <v>1331</v>
      </c>
      <c r="D26" s="15" t="s">
        <v>1285</v>
      </c>
      <c r="E26" s="15" t="s">
        <v>1277</v>
      </c>
      <c r="F26" s="15" t="s">
        <v>1332</v>
      </c>
      <c r="G26" s="15" t="s">
        <v>1333</v>
      </c>
      <c r="H26" s="15" t="s">
        <v>485</v>
      </c>
      <c r="I26" s="15">
        <v>2003033</v>
      </c>
      <c r="J26" s="15">
        <v>0</v>
      </c>
      <c r="K26" s="15">
        <v>0</v>
      </c>
    </row>
    <row r="27" spans="1:11">
      <c r="A27" s="17" t="str">
        <f>VLOOKUP(E27,Table1[[#All],[Campo]],1,0)</f>
        <v>instrmnt_id</v>
      </c>
      <c r="B27" s="15" t="s">
        <v>1334</v>
      </c>
      <c r="C27" s="15" t="s">
        <v>1335</v>
      </c>
      <c r="D27" s="15" t="s">
        <v>1336</v>
      </c>
      <c r="E27" s="15" t="s">
        <v>1277</v>
      </c>
      <c r="F27" s="15" t="s">
        <v>1332</v>
      </c>
      <c r="G27" s="15" t="s">
        <v>1333</v>
      </c>
      <c r="H27" s="15" t="s">
        <v>485</v>
      </c>
      <c r="I27" s="15">
        <v>731165</v>
      </c>
      <c r="J27" s="15">
        <v>0</v>
      </c>
      <c r="K27" s="15">
        <v>0</v>
      </c>
    </row>
    <row r="28" spans="1:11">
      <c r="A28" s="17" t="str">
        <f>VLOOKUP(E28,Table1[[#All],[Campo]],1,0)</f>
        <v>cod_soc</v>
      </c>
      <c r="B28" s="15" t="s">
        <v>1337</v>
      </c>
      <c r="C28" s="15" t="s">
        <v>1338</v>
      </c>
      <c r="D28" s="15" t="s">
        <v>1339</v>
      </c>
      <c r="E28" s="15" t="s">
        <v>1263</v>
      </c>
      <c r="F28" s="15" t="s">
        <v>1340</v>
      </c>
      <c r="G28" s="15" t="s">
        <v>1341</v>
      </c>
      <c r="H28" s="15" t="s">
        <v>485</v>
      </c>
      <c r="I28" s="15">
        <v>1096295</v>
      </c>
      <c r="J28" s="15">
        <v>0</v>
      </c>
      <c r="K28" s="15">
        <v>0</v>
      </c>
    </row>
    <row r="29" spans="1:11">
      <c r="A29" s="17" t="str">
        <f>VLOOKUP(E29,Table1[[#All],[Campo]],1,0)</f>
        <v>dt_rfrnc</v>
      </c>
      <c r="B29" s="15" t="s">
        <v>1342</v>
      </c>
      <c r="C29" s="15" t="s">
        <v>1343</v>
      </c>
      <c r="D29" s="15" t="s">
        <v>1339</v>
      </c>
      <c r="E29" s="15" t="s">
        <v>1268</v>
      </c>
      <c r="F29" s="15" t="s">
        <v>1344</v>
      </c>
      <c r="G29" s="15" t="s">
        <v>1341</v>
      </c>
      <c r="H29" s="15" t="s">
        <v>485</v>
      </c>
      <c r="I29" s="15">
        <v>1096295</v>
      </c>
      <c r="J29" s="15">
        <v>0</v>
      </c>
      <c r="K29" s="15">
        <v>0</v>
      </c>
    </row>
    <row r="30" spans="1:11">
      <c r="A30" s="17" t="str">
        <f>VLOOKUP(E30,Table1[[#All],[Campo]],1,0)</f>
        <v>cod_soc</v>
      </c>
      <c r="B30" s="15" t="s">
        <v>1345</v>
      </c>
      <c r="C30" s="15" t="s">
        <v>1338</v>
      </c>
      <c r="D30" s="15" t="s">
        <v>1346</v>
      </c>
      <c r="E30" s="15" t="s">
        <v>1263</v>
      </c>
      <c r="F30" s="15" t="s">
        <v>1340</v>
      </c>
      <c r="G30" s="15" t="s">
        <v>1347</v>
      </c>
      <c r="H30" s="15" t="s">
        <v>485</v>
      </c>
      <c r="I30" s="15">
        <v>2490665</v>
      </c>
      <c r="J30" s="15">
        <v>0</v>
      </c>
      <c r="K30" s="15">
        <v>0</v>
      </c>
    </row>
    <row r="31" spans="1:11">
      <c r="A31" s="17" t="str">
        <f>VLOOKUP(E31,Table1[[#All],[Campo]],1,0)</f>
        <v>dt_rfrnc</v>
      </c>
      <c r="B31" s="15" t="s">
        <v>1348</v>
      </c>
      <c r="C31" s="15" t="s">
        <v>1349</v>
      </c>
      <c r="D31" s="15" t="s">
        <v>1346</v>
      </c>
      <c r="E31" s="15" t="s">
        <v>1268</v>
      </c>
      <c r="F31" s="15" t="s">
        <v>1344</v>
      </c>
      <c r="G31" s="15" t="s">
        <v>1347</v>
      </c>
      <c r="H31" s="15" t="s">
        <v>485</v>
      </c>
      <c r="I31" s="15">
        <v>2490665</v>
      </c>
      <c r="J31" s="15">
        <v>0</v>
      </c>
      <c r="K31" s="15">
        <v>0</v>
      </c>
    </row>
    <row r="32" spans="1:11">
      <c r="A32" s="17" t="str">
        <f>VLOOKUP(E32,Table1[[#All],[Campo]],1,0)</f>
        <v>instrmnt_id</v>
      </c>
      <c r="B32" s="15" t="s">
        <v>1350</v>
      </c>
      <c r="C32" s="15" t="s">
        <v>1351</v>
      </c>
      <c r="D32" s="15" t="s">
        <v>1346</v>
      </c>
      <c r="E32" s="15" t="s">
        <v>1277</v>
      </c>
      <c r="F32" s="15" t="s">
        <v>1352</v>
      </c>
      <c r="G32" s="15" t="s">
        <v>1347</v>
      </c>
      <c r="H32" s="15" t="s">
        <v>485</v>
      </c>
      <c r="I32" s="15">
        <v>2490665</v>
      </c>
      <c r="J32" s="15">
        <v>0</v>
      </c>
      <c r="K32" s="15">
        <v>0</v>
      </c>
    </row>
    <row r="33" spans="1:11">
      <c r="A33" s="17" t="str">
        <f>VLOOKUP(E33,Table1[[#All],[Campo]],1,0)</f>
        <v>cod_soc</v>
      </c>
      <c r="B33" s="15" t="s">
        <v>1353</v>
      </c>
      <c r="C33" s="15" t="s">
        <v>1338</v>
      </c>
      <c r="D33" s="15" t="s">
        <v>1285</v>
      </c>
      <c r="E33" s="15" t="s">
        <v>1263</v>
      </c>
      <c r="F33" s="15" t="s">
        <v>1340</v>
      </c>
      <c r="G33" s="15" t="s">
        <v>1354</v>
      </c>
      <c r="H33" s="15" t="s">
        <v>485</v>
      </c>
      <c r="I33" s="15">
        <v>2003033</v>
      </c>
      <c r="J33" s="15">
        <v>0</v>
      </c>
      <c r="K33" s="15">
        <v>0</v>
      </c>
    </row>
    <row r="34" spans="1:11">
      <c r="A34" s="17" t="str">
        <f>VLOOKUP(E34,Table1[[#All],[Campo]],1,0)</f>
        <v>subportfolio_id</v>
      </c>
      <c r="B34" s="15" t="s">
        <v>1355</v>
      </c>
      <c r="C34" s="15" t="s">
        <v>1356</v>
      </c>
      <c r="D34" s="15" t="s">
        <v>1285</v>
      </c>
      <c r="E34" s="15" t="s">
        <v>1357</v>
      </c>
      <c r="F34" s="15" t="s">
        <v>1340</v>
      </c>
      <c r="G34" s="15" t="s">
        <v>1354</v>
      </c>
      <c r="H34" s="15" t="s">
        <v>485</v>
      </c>
      <c r="I34" s="15">
        <v>2003033</v>
      </c>
      <c r="J34" s="15">
        <v>0</v>
      </c>
      <c r="K34" s="15">
        <v>0</v>
      </c>
    </row>
    <row r="35" spans="1:11">
      <c r="A35" s="17" t="str">
        <f>VLOOKUP(E35,Table1[[#All],[Campo]],1,0)</f>
        <v>dt_rfrnc</v>
      </c>
      <c r="B35" s="15" t="s">
        <v>1358</v>
      </c>
      <c r="C35" s="15" t="s">
        <v>1349</v>
      </c>
      <c r="D35" s="15" t="s">
        <v>1285</v>
      </c>
      <c r="E35" s="15" t="s">
        <v>1268</v>
      </c>
      <c r="F35" s="15" t="s">
        <v>1344</v>
      </c>
      <c r="G35" s="15" t="s">
        <v>1354</v>
      </c>
      <c r="H35" s="15" t="s">
        <v>485</v>
      </c>
      <c r="I35" s="15">
        <v>2003033</v>
      </c>
      <c r="J35" s="15">
        <v>0</v>
      </c>
      <c r="K35" s="15">
        <v>0</v>
      </c>
    </row>
    <row r="36" spans="1:11">
      <c r="A36" s="17" t="str">
        <f>VLOOKUP(E36,Table1[[#All],[Campo]],1,0)</f>
        <v>instrmnt_id</v>
      </c>
      <c r="B36" s="15" t="s">
        <v>1359</v>
      </c>
      <c r="C36" s="15" t="s">
        <v>1351</v>
      </c>
      <c r="D36" s="15" t="s">
        <v>1285</v>
      </c>
      <c r="E36" s="15" t="s">
        <v>1277</v>
      </c>
      <c r="F36" s="15" t="s">
        <v>1352</v>
      </c>
      <c r="G36" s="15" t="s">
        <v>1354</v>
      </c>
      <c r="H36" s="15" t="s">
        <v>485</v>
      </c>
      <c r="I36" s="15">
        <v>2003033</v>
      </c>
      <c r="J36" s="15">
        <v>0</v>
      </c>
      <c r="K36" s="15">
        <v>0</v>
      </c>
    </row>
    <row r="37" spans="1:11">
      <c r="A37" s="17" t="str">
        <f>VLOOKUP(E37,Table1[[#All],[Campo]],1,0)</f>
        <v>dflt_stts_instrmnt</v>
      </c>
      <c r="B37" s="15" t="s">
        <v>1360</v>
      </c>
      <c r="C37" s="15" t="s">
        <v>1361</v>
      </c>
      <c r="D37" s="15" t="s">
        <v>1285</v>
      </c>
      <c r="E37" s="15" t="s">
        <v>1286</v>
      </c>
      <c r="F37" s="15" t="s">
        <v>1340</v>
      </c>
      <c r="G37" s="15" t="s">
        <v>1354</v>
      </c>
      <c r="H37" s="15" t="s">
        <v>485</v>
      </c>
      <c r="I37" s="15">
        <v>2003033</v>
      </c>
      <c r="J37" s="15">
        <v>0</v>
      </c>
      <c r="K37" s="15">
        <v>0</v>
      </c>
    </row>
    <row r="38" spans="1:11">
      <c r="A38" s="17" t="str">
        <f>VLOOKUP(E38,Table1[[#All],[Campo]],1,0)</f>
        <v>imprmnt_stts</v>
      </c>
      <c r="B38" s="15" t="s">
        <v>1362</v>
      </c>
      <c r="C38" s="15" t="s">
        <v>1363</v>
      </c>
      <c r="D38" s="15" t="s">
        <v>1285</v>
      </c>
      <c r="E38" s="15" t="s">
        <v>1364</v>
      </c>
      <c r="F38" s="15" t="s">
        <v>1340</v>
      </c>
      <c r="G38" s="15" t="s">
        <v>1354</v>
      </c>
      <c r="H38" s="15" t="s">
        <v>485</v>
      </c>
      <c r="I38" s="15">
        <v>2003033</v>
      </c>
      <c r="J38" s="15">
        <v>0</v>
      </c>
      <c r="K38" s="15">
        <v>0</v>
      </c>
    </row>
    <row r="39" spans="1:11">
      <c r="A39" s="17" t="str">
        <f>VLOOKUP(E39,Table1[[#All],[Campo]],1,0)</f>
        <v>prfrmng_stts</v>
      </c>
      <c r="B39" s="15" t="s">
        <v>1365</v>
      </c>
      <c r="C39" s="15" t="s">
        <v>1366</v>
      </c>
      <c r="D39" s="15" t="s">
        <v>1285</v>
      </c>
      <c r="E39" s="15" t="s">
        <v>1291</v>
      </c>
      <c r="F39" s="15" t="s">
        <v>1340</v>
      </c>
      <c r="G39" s="15" t="s">
        <v>1354</v>
      </c>
      <c r="H39" s="15" t="s">
        <v>485</v>
      </c>
      <c r="I39" s="15">
        <v>2003033</v>
      </c>
      <c r="J39" s="15">
        <v>0</v>
      </c>
      <c r="K39" s="15">
        <v>0</v>
      </c>
    </row>
    <row r="40" spans="1:11">
      <c r="A40" s="17" t="str">
        <f>VLOOKUP(E40,Table1[[#All],[Campo]],1,0)</f>
        <v>typ_instrmnt</v>
      </c>
      <c r="B40" s="15" t="s">
        <v>1367</v>
      </c>
      <c r="C40" s="15" t="s">
        <v>1368</v>
      </c>
      <c r="D40" s="15" t="s">
        <v>1285</v>
      </c>
      <c r="E40" s="15" t="s">
        <v>1369</v>
      </c>
      <c r="F40" s="15" t="s">
        <v>1340</v>
      </c>
      <c r="G40" s="15" t="s">
        <v>1354</v>
      </c>
      <c r="H40" s="15" t="s">
        <v>485</v>
      </c>
      <c r="I40" s="15">
        <v>2003033</v>
      </c>
      <c r="J40" s="15">
        <v>0</v>
      </c>
      <c r="K40" s="15">
        <v>0</v>
      </c>
    </row>
    <row r="41" spans="1:11">
      <c r="A41" s="17" t="str">
        <f>VLOOKUP(E41,Table1[[#All],[Campo]],1,0)</f>
        <v>grss_crryng_amnt_instrmnt</v>
      </c>
      <c r="B41" s="15" t="s">
        <v>1370</v>
      </c>
      <c r="C41" s="15" t="s">
        <v>1371</v>
      </c>
      <c r="D41" s="15" t="s">
        <v>1285</v>
      </c>
      <c r="E41" s="15" t="s">
        <v>1372</v>
      </c>
      <c r="F41" s="15" t="s">
        <v>1373</v>
      </c>
      <c r="G41" s="15" t="s">
        <v>1354</v>
      </c>
      <c r="H41" s="15" t="s">
        <v>485</v>
      </c>
      <c r="I41" s="15">
        <v>2003033</v>
      </c>
      <c r="J41" s="15">
        <v>0</v>
      </c>
      <c r="K41" s="15">
        <v>0</v>
      </c>
    </row>
    <row r="42" spans="1:11">
      <c r="A42" s="17" t="str">
        <f>VLOOKUP(E42,Table1[[#All],[Campo]],1,0)</f>
        <v>accmltd_chngs_fv_cr_instrmnt</v>
      </c>
      <c r="B42" s="15" t="s">
        <v>1374</v>
      </c>
      <c r="C42" s="15" t="s">
        <v>1375</v>
      </c>
      <c r="D42" s="15" t="s">
        <v>1285</v>
      </c>
      <c r="E42" s="15" t="s">
        <v>1376</v>
      </c>
      <c r="F42" s="15" t="s">
        <v>1373</v>
      </c>
      <c r="G42" s="15" t="s">
        <v>1354</v>
      </c>
      <c r="H42" s="15" t="s">
        <v>485</v>
      </c>
      <c r="I42" s="15">
        <v>2003033</v>
      </c>
      <c r="J42" s="15">
        <v>0</v>
      </c>
      <c r="K42" s="15">
        <v>0</v>
      </c>
    </row>
    <row r="43" spans="1:11">
      <c r="A43" s="17" t="str">
        <f>VLOOKUP(E43,Table1[[#All],[Campo]],1,0)</f>
        <v>accntng_clssfctn</v>
      </c>
      <c r="B43" s="15" t="s">
        <v>1377</v>
      </c>
      <c r="C43" s="15" t="s">
        <v>1378</v>
      </c>
      <c r="D43" s="15" t="s">
        <v>1285</v>
      </c>
      <c r="E43" s="15" t="s">
        <v>1379</v>
      </c>
      <c r="F43" s="15" t="s">
        <v>1340</v>
      </c>
      <c r="G43" s="15" t="s">
        <v>1354</v>
      </c>
      <c r="H43" s="15" t="s">
        <v>485</v>
      </c>
      <c r="I43" s="15">
        <v>2003033</v>
      </c>
      <c r="J43" s="15">
        <v>0</v>
      </c>
      <c r="K43" s="15">
        <v>0</v>
      </c>
    </row>
    <row r="44" spans="1:11">
      <c r="A44" s="17" t="str">
        <f>VLOOKUP(E44,Table1[[#All],[Campo]],1,0)</f>
        <v>off_blnc_sht_amnt_instrmnt</v>
      </c>
      <c r="B44" s="15" t="s">
        <v>1380</v>
      </c>
      <c r="C44" s="15" t="s">
        <v>1381</v>
      </c>
      <c r="D44" s="15" t="s">
        <v>1285</v>
      </c>
      <c r="E44" s="15" t="s">
        <v>1382</v>
      </c>
      <c r="F44" s="15" t="s">
        <v>1373</v>
      </c>
      <c r="G44" s="15" t="s">
        <v>1354</v>
      </c>
      <c r="H44" s="15" t="s">
        <v>485</v>
      </c>
      <c r="I44" s="15">
        <v>2003033</v>
      </c>
      <c r="J44" s="15">
        <v>0</v>
      </c>
      <c r="K44" s="15">
        <v>0</v>
      </c>
    </row>
    <row r="45" spans="1:11">
      <c r="A45" s="17" t="str">
        <f>VLOOKUP(E45,Table1[[#All],[Campo]],1,0)</f>
        <v>prvsns_off_blnc_sht</v>
      </c>
      <c r="B45" s="15" t="s">
        <v>1383</v>
      </c>
      <c r="C45" s="15" t="s">
        <v>1384</v>
      </c>
      <c r="D45" s="15" t="s">
        <v>1285</v>
      </c>
      <c r="E45" s="15" t="s">
        <v>1385</v>
      </c>
      <c r="F45" s="15" t="s">
        <v>1373</v>
      </c>
      <c r="G45" s="15" t="s">
        <v>1354</v>
      </c>
      <c r="H45" s="15" t="s">
        <v>485</v>
      </c>
      <c r="I45" s="15">
        <v>2003033</v>
      </c>
      <c r="J45" s="15">
        <v>0</v>
      </c>
      <c r="K45" s="15">
        <v>0</v>
      </c>
    </row>
    <row r="46" spans="1:11">
      <c r="A46" s="17" t="str">
        <f>VLOOKUP(E46,Table1[[#All],[Campo]],1,0)</f>
        <v>rwa</v>
      </c>
      <c r="B46" s="15" t="s">
        <v>1386</v>
      </c>
      <c r="C46" s="15" t="s">
        <v>1387</v>
      </c>
      <c r="D46" s="15" t="s">
        <v>1285</v>
      </c>
      <c r="E46" s="15" t="s">
        <v>1388</v>
      </c>
      <c r="F46" s="15" t="s">
        <v>1373</v>
      </c>
      <c r="G46" s="15" t="s">
        <v>1354</v>
      </c>
      <c r="H46" s="15" t="s">
        <v>485</v>
      </c>
      <c r="I46" s="15">
        <v>2003033</v>
      </c>
      <c r="J46" s="15">
        <v>0</v>
      </c>
      <c r="K46" s="15">
        <v>0</v>
      </c>
    </row>
    <row r="47" spans="1:11">
      <c r="A47" s="17" t="str">
        <f>VLOOKUP(E47,Table1[[#All],[Campo]],1,0)</f>
        <v>accmltd_imprmnt_instrmnt</v>
      </c>
      <c r="B47" s="15" t="s">
        <v>1389</v>
      </c>
      <c r="C47" s="15" t="s">
        <v>1390</v>
      </c>
      <c r="D47" s="15" t="s">
        <v>1285</v>
      </c>
      <c r="E47" s="15" t="s">
        <v>1391</v>
      </c>
      <c r="F47" s="15" t="s">
        <v>1373</v>
      </c>
      <c r="G47" s="15" t="s">
        <v>1354</v>
      </c>
      <c r="H47" s="15" t="s">
        <v>485</v>
      </c>
      <c r="I47" s="15">
        <v>2003033</v>
      </c>
      <c r="J47" s="15">
        <v>0</v>
      </c>
      <c r="K47" s="15">
        <v>0</v>
      </c>
    </row>
    <row r="48" spans="1:11">
      <c r="A48" s="17" t="str">
        <f>VLOOKUP(E48,Table1[[#All],[Campo]],1,0)</f>
        <v>cod_soc_intrgrp</v>
      </c>
      <c r="B48" s="15" t="s">
        <v>1392</v>
      </c>
      <c r="C48" s="15" t="s">
        <v>1393</v>
      </c>
      <c r="D48" s="15" t="s">
        <v>1285</v>
      </c>
      <c r="E48" s="15" t="s">
        <v>1394</v>
      </c>
      <c r="F48" s="15" t="s">
        <v>1340</v>
      </c>
      <c r="G48" s="15" t="s">
        <v>1354</v>
      </c>
      <c r="H48" s="15" t="s">
        <v>1288</v>
      </c>
      <c r="I48" s="15">
        <v>2003033</v>
      </c>
      <c r="J48" s="15">
        <v>744</v>
      </c>
      <c r="K48" s="15">
        <v>3.7100000000000001E-2</v>
      </c>
    </row>
    <row r="49" spans="1:11">
      <c r="A49" s="17" t="str">
        <f>VLOOKUP(E49,Table1[[#All],[Campo]],1,0)</f>
        <v>lcl_instmrnt_id</v>
      </c>
      <c r="B49" s="15" t="s">
        <v>1395</v>
      </c>
      <c r="C49" s="15" t="s">
        <v>1396</v>
      </c>
      <c r="D49" s="15" t="s">
        <v>1285</v>
      </c>
      <c r="E49" s="15" t="s">
        <v>1294</v>
      </c>
      <c r="F49" s="15" t="s">
        <v>1352</v>
      </c>
      <c r="G49" s="15" t="s">
        <v>1354</v>
      </c>
      <c r="H49" s="15" t="s">
        <v>485</v>
      </c>
      <c r="I49" s="15">
        <v>2003033</v>
      </c>
      <c r="J49" s="15">
        <v>0</v>
      </c>
      <c r="K49" s="15">
        <v>0</v>
      </c>
    </row>
    <row r="50" spans="1:11">
      <c r="A50" s="17" t="str">
        <f>VLOOKUP(E50,Table1[[#All],[Campo]],1,0)</f>
        <v>sstnbl_indctr</v>
      </c>
      <c r="B50" s="15" t="s">
        <v>1397</v>
      </c>
      <c r="C50" s="15" t="s">
        <v>1398</v>
      </c>
      <c r="D50" s="15" t="s">
        <v>1285</v>
      </c>
      <c r="E50" s="15" t="s">
        <v>1297</v>
      </c>
      <c r="F50" s="15" t="s">
        <v>1340</v>
      </c>
      <c r="G50" s="15" t="s">
        <v>1354</v>
      </c>
      <c r="H50" s="15" t="s">
        <v>1288</v>
      </c>
      <c r="I50" s="15">
        <v>2003033</v>
      </c>
      <c r="J50" s="15">
        <v>2003033</v>
      </c>
      <c r="K50" s="15">
        <v>100</v>
      </c>
    </row>
    <row r="51" spans="1:11">
      <c r="A51" s="17" t="str">
        <f>VLOOKUP(E51,Table1[[#All],[Campo]],1,0)</f>
        <v>sstnbl_ctgry</v>
      </c>
      <c r="B51" s="15" t="s">
        <v>1399</v>
      </c>
      <c r="C51" s="15" t="s">
        <v>1400</v>
      </c>
      <c r="D51" s="15" t="s">
        <v>1285</v>
      </c>
      <c r="E51" s="15" t="s">
        <v>1301</v>
      </c>
      <c r="F51" s="15" t="s">
        <v>1340</v>
      </c>
      <c r="G51" s="15" t="s">
        <v>1354</v>
      </c>
      <c r="H51" s="15" t="s">
        <v>1288</v>
      </c>
      <c r="I51" s="15">
        <v>2003033</v>
      </c>
      <c r="J51" s="15">
        <v>2003033</v>
      </c>
      <c r="K51" s="15">
        <v>100</v>
      </c>
    </row>
    <row r="52" spans="1:11">
      <c r="A52" s="17" t="str">
        <f>VLOOKUP(E52,Table1[[#All],[Campo]],1,0)</f>
        <v>avrg_blnc</v>
      </c>
      <c r="B52" s="15" t="s">
        <v>1401</v>
      </c>
      <c r="C52" s="15" t="s">
        <v>1402</v>
      </c>
      <c r="D52" s="15" t="s">
        <v>1285</v>
      </c>
      <c r="E52" s="15" t="s">
        <v>1403</v>
      </c>
      <c r="F52" s="15" t="s">
        <v>1373</v>
      </c>
      <c r="G52" s="15" t="s">
        <v>1354</v>
      </c>
      <c r="H52" s="15" t="s">
        <v>485</v>
      </c>
      <c r="I52" s="15">
        <v>2003033</v>
      </c>
      <c r="J52" s="15">
        <v>0</v>
      </c>
      <c r="K52" s="15">
        <v>0</v>
      </c>
    </row>
    <row r="53" spans="1:11">
      <c r="A53" s="17" t="str">
        <f>VLOOKUP(E53,Table1[[#All],[Campo]],1,0)</f>
        <v>nw_bsnss</v>
      </c>
      <c r="B53" s="15" t="s">
        <v>1404</v>
      </c>
      <c r="C53" s="15" t="s">
        <v>1405</v>
      </c>
      <c r="D53" s="15" t="s">
        <v>1285</v>
      </c>
      <c r="E53" s="15" t="s">
        <v>1304</v>
      </c>
      <c r="F53" s="15" t="s">
        <v>1340</v>
      </c>
      <c r="G53" s="15" t="s">
        <v>1354</v>
      </c>
      <c r="H53" s="15" t="s">
        <v>1288</v>
      </c>
      <c r="I53" s="15">
        <v>2003033</v>
      </c>
      <c r="J53" s="15">
        <v>2003033</v>
      </c>
      <c r="K53" s="15">
        <v>100</v>
      </c>
    </row>
    <row r="54" spans="1:11">
      <c r="A54" s="17" t="str">
        <f>VLOOKUP(E54,Table1[[#All],[Campo]],1,0)</f>
        <v>grss_intrst_incm</v>
      </c>
      <c r="B54" s="15" t="s">
        <v>1406</v>
      </c>
      <c r="C54" s="15" t="s">
        <v>1407</v>
      </c>
      <c r="D54" s="15" t="s">
        <v>1285</v>
      </c>
      <c r="E54" s="15" t="s">
        <v>1408</v>
      </c>
      <c r="F54" s="15" t="s">
        <v>1373</v>
      </c>
      <c r="G54" s="15" t="s">
        <v>1354</v>
      </c>
      <c r="H54" s="15" t="s">
        <v>485</v>
      </c>
      <c r="I54" s="15">
        <v>2003033</v>
      </c>
      <c r="J54" s="15">
        <v>0</v>
      </c>
      <c r="K54" s="15">
        <v>0</v>
      </c>
    </row>
    <row r="55" spans="1:11">
      <c r="A55" s="17" t="s">
        <v>1409</v>
      </c>
      <c r="B55" s="15" t="s">
        <v>1410</v>
      </c>
      <c r="C55" s="15" t="s">
        <v>1411</v>
      </c>
      <c r="D55" s="15" t="s">
        <v>1285</v>
      </c>
      <c r="E55" s="15" t="s">
        <v>1412</v>
      </c>
      <c r="F55" s="15" t="s">
        <v>1373</v>
      </c>
      <c r="G55" s="15" t="s">
        <v>1354</v>
      </c>
      <c r="H55" s="15" t="s">
        <v>485</v>
      </c>
      <c r="I55" s="15">
        <v>2003033</v>
      </c>
      <c r="J55" s="15">
        <v>0</v>
      </c>
      <c r="K55" s="15">
        <v>0</v>
      </c>
    </row>
    <row r="56" spans="1:11">
      <c r="A56" s="17" t="str">
        <f>VLOOKUP(E56,Table1[[#All],[Campo]],1,0)</f>
        <v>intrnl_trnsfr_rt</v>
      </c>
      <c r="B56" s="15" t="s">
        <v>1413</v>
      </c>
      <c r="C56" s="15" t="s">
        <v>1414</v>
      </c>
      <c r="D56" s="15" t="s">
        <v>1285</v>
      </c>
      <c r="E56" s="15" t="s">
        <v>1415</v>
      </c>
      <c r="F56" s="15" t="s">
        <v>1373</v>
      </c>
      <c r="G56" s="15" t="s">
        <v>1354</v>
      </c>
      <c r="H56" s="15" t="s">
        <v>485</v>
      </c>
      <c r="I56" s="15">
        <v>2003033</v>
      </c>
      <c r="J56" s="15">
        <v>0</v>
      </c>
      <c r="K56" s="15">
        <v>0</v>
      </c>
    </row>
    <row r="57" spans="1:11">
      <c r="A57" s="17" t="str">
        <f>VLOOKUP(E57,Table1[[#All],[Campo]],1,0)</f>
        <v>nt_ln_lss_prvsn</v>
      </c>
      <c r="B57" s="15" t="s">
        <v>1416</v>
      </c>
      <c r="C57" s="15" t="s">
        <v>1417</v>
      </c>
      <c r="D57" s="15" t="s">
        <v>1285</v>
      </c>
      <c r="E57" s="15" t="s">
        <v>1418</v>
      </c>
      <c r="F57" s="15" t="s">
        <v>1373</v>
      </c>
      <c r="G57" s="15" t="s">
        <v>1354</v>
      </c>
      <c r="H57" s="15" t="s">
        <v>485</v>
      </c>
      <c r="I57" s="15">
        <v>2003033</v>
      </c>
      <c r="J57" s="15">
        <v>0</v>
      </c>
      <c r="K57" s="15">
        <v>0</v>
      </c>
    </row>
    <row r="58" spans="1:11">
      <c r="A58" s="17" t="str">
        <f>VLOOKUP(E58,Table1[[#All],[Campo]],1,0)</f>
        <v>bsnss_area</v>
      </c>
      <c r="B58" s="15" t="s">
        <v>1419</v>
      </c>
      <c r="C58" s="15" t="s">
        <v>1420</v>
      </c>
      <c r="D58" s="15" t="s">
        <v>1285</v>
      </c>
      <c r="E58" s="15" t="s">
        <v>1307</v>
      </c>
      <c r="F58" s="15" t="s">
        <v>1340</v>
      </c>
      <c r="G58" s="15" t="s">
        <v>1354</v>
      </c>
      <c r="H58" s="15" t="s">
        <v>1288</v>
      </c>
      <c r="I58" s="15">
        <v>2003033</v>
      </c>
      <c r="J58" s="15">
        <v>2003033</v>
      </c>
      <c r="K58" s="15">
        <v>100</v>
      </c>
    </row>
    <row r="59" spans="1:11">
      <c r="A59" s="17" t="str">
        <f>VLOOKUP(E59,Table1[[#All],[Campo]],1,0)</f>
        <v>mngmnt_prdct</v>
      </c>
      <c r="B59" s="15" t="s">
        <v>1421</v>
      </c>
      <c r="C59" s="15" t="s">
        <v>1422</v>
      </c>
      <c r="D59" s="15" t="s">
        <v>1285</v>
      </c>
      <c r="E59" s="15" t="s">
        <v>1423</v>
      </c>
      <c r="F59" s="15" t="s">
        <v>1340</v>
      </c>
      <c r="G59" s="15" t="s">
        <v>1354</v>
      </c>
      <c r="H59" s="15" t="s">
        <v>1288</v>
      </c>
      <c r="I59" s="15">
        <v>2003033</v>
      </c>
      <c r="J59" s="15">
        <v>2003033</v>
      </c>
      <c r="K59" s="15">
        <v>100</v>
      </c>
    </row>
    <row r="60" spans="1:11">
      <c r="A60" s="17" t="s">
        <v>1424</v>
      </c>
      <c r="B60" s="15" t="s">
        <v>1425</v>
      </c>
      <c r="C60" s="15" t="s">
        <v>1426</v>
      </c>
      <c r="D60" s="15" t="s">
        <v>1285</v>
      </c>
      <c r="E60" s="15" t="s">
        <v>1427</v>
      </c>
      <c r="F60" s="15" t="s">
        <v>1373</v>
      </c>
      <c r="G60" s="15" t="s">
        <v>1354</v>
      </c>
      <c r="H60" s="15" t="s">
        <v>485</v>
      </c>
      <c r="I60" s="15">
        <v>2003033</v>
      </c>
      <c r="J60" s="15">
        <v>0</v>
      </c>
      <c r="K60" s="15">
        <v>0</v>
      </c>
    </row>
    <row r="61" spans="1:11">
      <c r="A61" s="17" t="str">
        <f>VLOOKUP(E61,Table1[[#All],[Campo]],1,0)</f>
        <v>gns_fnncl_trnsctn_exchng_dffrncs</v>
      </c>
      <c r="B61" s="15" t="s">
        <v>1428</v>
      </c>
      <c r="C61" s="15" t="s">
        <v>1429</v>
      </c>
      <c r="D61" s="15" t="s">
        <v>1285</v>
      </c>
      <c r="E61" s="15" t="s">
        <v>1430</v>
      </c>
      <c r="F61" s="15" t="s">
        <v>1373</v>
      </c>
      <c r="G61" s="15" t="s">
        <v>1354</v>
      </c>
      <c r="H61" s="15" t="s">
        <v>485</v>
      </c>
      <c r="I61" s="15">
        <v>2003033</v>
      </c>
      <c r="J61" s="15">
        <v>0</v>
      </c>
      <c r="K61" s="15">
        <v>0</v>
      </c>
    </row>
    <row r="62" spans="1:11">
      <c r="A62" s="17" t="str">
        <f>VLOOKUP(E62,Table1[[#All],[Campo]],1,0)</f>
        <v>flg_intrbsnss</v>
      </c>
      <c r="B62" s="15" t="s">
        <v>1431</v>
      </c>
      <c r="C62" s="15" t="s">
        <v>1432</v>
      </c>
      <c r="D62" s="15" t="s">
        <v>1285</v>
      </c>
      <c r="E62" s="15" t="s">
        <v>1310</v>
      </c>
      <c r="F62" s="15" t="s">
        <v>1340</v>
      </c>
      <c r="G62" s="15" t="s">
        <v>1354</v>
      </c>
      <c r="H62" s="15" t="s">
        <v>1288</v>
      </c>
      <c r="I62" s="15">
        <v>2003033</v>
      </c>
      <c r="J62" s="15">
        <v>2003033</v>
      </c>
      <c r="K62" s="15">
        <v>100</v>
      </c>
    </row>
    <row r="63" spans="1:11">
      <c r="A63" s="17" t="str">
        <f>VLOOKUP(E63,Table1[[#All],[Campo]],1,0)</f>
        <v>intrbsnss_adj_cod</v>
      </c>
      <c r="B63" s="15" t="s">
        <v>1433</v>
      </c>
      <c r="C63" s="15" t="s">
        <v>1434</v>
      </c>
      <c r="D63" s="15" t="s">
        <v>1285</v>
      </c>
      <c r="E63" s="15" t="s">
        <v>1435</v>
      </c>
      <c r="F63" s="15" t="s">
        <v>1340</v>
      </c>
      <c r="G63" s="15" t="s">
        <v>1354</v>
      </c>
      <c r="H63" s="15" t="s">
        <v>1288</v>
      </c>
      <c r="I63" s="15">
        <v>2003033</v>
      </c>
      <c r="J63" s="15">
        <v>2003033</v>
      </c>
      <c r="K63" s="15">
        <v>100</v>
      </c>
    </row>
    <row r="64" spans="1:11">
      <c r="A64" s="17" t="str">
        <f>VLOOKUP(E64,Table1[[#All],[Campo]],1,0)</f>
        <v>cod_soc_dstntn</v>
      </c>
      <c r="B64" s="15" t="s">
        <v>1436</v>
      </c>
      <c r="C64" s="15" t="s">
        <v>1437</v>
      </c>
      <c r="D64" s="15" t="s">
        <v>1285</v>
      </c>
      <c r="E64" s="15" t="s">
        <v>1438</v>
      </c>
      <c r="F64" s="15" t="s">
        <v>1340</v>
      </c>
      <c r="G64" s="15" t="s">
        <v>1354</v>
      </c>
      <c r="H64" s="15" t="s">
        <v>1288</v>
      </c>
      <c r="I64" s="15">
        <v>2003033</v>
      </c>
      <c r="J64" s="15">
        <v>2003033</v>
      </c>
      <c r="K64" s="15">
        <v>100</v>
      </c>
    </row>
    <row r="65" spans="1:11">
      <c r="A65" s="17" t="str">
        <f>VLOOKUP(E65,Table1[[#All],[Campo]],1,0)</f>
        <v>bsnss_area_dstntn</v>
      </c>
      <c r="B65" s="15" t="s">
        <v>1439</v>
      </c>
      <c r="C65" s="15" t="s">
        <v>1440</v>
      </c>
      <c r="D65" s="15" t="s">
        <v>1285</v>
      </c>
      <c r="E65" s="15" t="s">
        <v>1441</v>
      </c>
      <c r="F65" s="15" t="s">
        <v>1340</v>
      </c>
      <c r="G65" s="15" t="s">
        <v>1354</v>
      </c>
      <c r="H65" s="15" t="s">
        <v>1288</v>
      </c>
      <c r="I65" s="15">
        <v>2003033</v>
      </c>
      <c r="J65" s="15">
        <v>2003033</v>
      </c>
      <c r="K65" s="15">
        <v>100</v>
      </c>
    </row>
    <row r="66" spans="1:11">
      <c r="A66" s="17" t="str">
        <f>VLOOKUP(E66,Table1[[#All],[Campo]],1,0)</f>
        <v>avrg_blnc_off_blnc</v>
      </c>
      <c r="B66" s="15" t="s">
        <v>1442</v>
      </c>
      <c r="C66" s="15" t="s">
        <v>1443</v>
      </c>
      <c r="D66" s="15" t="s">
        <v>1285</v>
      </c>
      <c r="E66" s="15" t="s">
        <v>1444</v>
      </c>
      <c r="F66" s="15" t="s">
        <v>1373</v>
      </c>
      <c r="G66" s="15" t="s">
        <v>1354</v>
      </c>
      <c r="H66" s="15" t="s">
        <v>485</v>
      </c>
      <c r="I66" s="15">
        <v>2003033</v>
      </c>
      <c r="J66" s="15">
        <v>0</v>
      </c>
      <c r="K66" s="15">
        <v>0</v>
      </c>
    </row>
    <row r="67" spans="1:11">
      <c r="A67" s="17" t="str">
        <f>VLOOKUP(E67,Table1[[#All],[Campo]],1,0)</f>
        <v>intrnl_trnsfr_rt_off_blnc</v>
      </c>
      <c r="B67" s="15" t="s">
        <v>1445</v>
      </c>
      <c r="C67" s="15" t="s">
        <v>1446</v>
      </c>
      <c r="D67" s="15" t="s">
        <v>1285</v>
      </c>
      <c r="E67" s="15" t="s">
        <v>1447</v>
      </c>
      <c r="F67" s="15" t="s">
        <v>1373</v>
      </c>
      <c r="G67" s="15" t="s">
        <v>1354</v>
      </c>
      <c r="H67" s="15" t="s">
        <v>485</v>
      </c>
      <c r="I67" s="15">
        <v>2003033</v>
      </c>
      <c r="J67" s="15">
        <v>0</v>
      </c>
      <c r="K67" s="15">
        <v>0</v>
      </c>
    </row>
    <row r="68" spans="1:11">
      <c r="A68" s="17" t="s">
        <v>1448</v>
      </c>
      <c r="B68" s="15" t="s">
        <v>1449</v>
      </c>
      <c r="C68" s="15" t="s">
        <v>1450</v>
      </c>
      <c r="D68" s="15" t="s">
        <v>1285</v>
      </c>
      <c r="E68" s="15" t="s">
        <v>1451</v>
      </c>
      <c r="F68" s="15" t="s">
        <v>1373</v>
      </c>
      <c r="G68" s="15" t="s">
        <v>1354</v>
      </c>
      <c r="H68" s="15" t="s">
        <v>485</v>
      </c>
      <c r="I68" s="15">
        <v>2003033</v>
      </c>
      <c r="J68" s="15">
        <v>0</v>
      </c>
      <c r="K68" s="15">
        <v>0</v>
      </c>
    </row>
    <row r="69" spans="1:11">
      <c r="A69" s="17" t="s">
        <v>1452</v>
      </c>
      <c r="B69" s="15" t="s">
        <v>1453</v>
      </c>
      <c r="C69" s="15" t="s">
        <v>1454</v>
      </c>
      <c r="D69" s="15" t="s">
        <v>1285</v>
      </c>
      <c r="E69" s="15" t="s">
        <v>1455</v>
      </c>
      <c r="F69" s="15" t="s">
        <v>1373</v>
      </c>
      <c r="G69" s="15" t="s">
        <v>1354</v>
      </c>
      <c r="H69" s="15" t="s">
        <v>485</v>
      </c>
      <c r="I69" s="15">
        <v>2003033</v>
      </c>
      <c r="J69" s="15">
        <v>0</v>
      </c>
      <c r="K69" s="15">
        <v>0</v>
      </c>
    </row>
    <row r="70" spans="1:11">
      <c r="A70" s="17" t="str">
        <f>VLOOKUP(E70,Table1[[#All],[Campo]],1,0)</f>
        <v>rwa_off_blnc</v>
      </c>
      <c r="B70" s="15" t="s">
        <v>1456</v>
      </c>
      <c r="C70" s="15" t="s">
        <v>1457</v>
      </c>
      <c r="D70" s="15" t="s">
        <v>1285</v>
      </c>
      <c r="E70" s="15" t="s">
        <v>1458</v>
      </c>
      <c r="F70" s="15" t="s">
        <v>1373</v>
      </c>
      <c r="G70" s="15" t="s">
        <v>1354</v>
      </c>
      <c r="H70" s="15" t="s">
        <v>485</v>
      </c>
      <c r="I70" s="15">
        <v>2003033</v>
      </c>
      <c r="J70" s="15">
        <v>0</v>
      </c>
      <c r="K70" s="15">
        <v>0</v>
      </c>
    </row>
    <row r="71" spans="1:11">
      <c r="A71" s="17" t="str">
        <f>VLOOKUP(E71,Table1[[#All],[Campo]],1,0)</f>
        <v>grss_intrst_expns</v>
      </c>
      <c r="B71" s="15" t="s">
        <v>1459</v>
      </c>
      <c r="C71" s="15" t="s">
        <v>1460</v>
      </c>
      <c r="D71" s="15" t="s">
        <v>1285</v>
      </c>
      <c r="E71" s="15" t="s">
        <v>1461</v>
      </c>
      <c r="F71" s="15" t="s">
        <v>1373</v>
      </c>
      <c r="G71" s="15" t="s">
        <v>1354</v>
      </c>
      <c r="H71" s="15" t="s">
        <v>485</v>
      </c>
      <c r="I71" s="15">
        <v>2003033</v>
      </c>
      <c r="J71" s="15">
        <v>0</v>
      </c>
      <c r="K71" s="15">
        <v>0</v>
      </c>
    </row>
    <row r="72" spans="1:11">
      <c r="A72" s="17" t="str">
        <f>VLOOKUP(E72,Table1[[#All],[Campo]],1,0)</f>
        <v>nt_ln_lss_prvsn_off_blnc</v>
      </c>
      <c r="B72" s="15" t="s">
        <v>1462</v>
      </c>
      <c r="C72" s="15" t="s">
        <v>1463</v>
      </c>
      <c r="D72" s="15" t="s">
        <v>1285</v>
      </c>
      <c r="E72" s="15" t="s">
        <v>1464</v>
      </c>
      <c r="F72" s="15" t="s">
        <v>1373</v>
      </c>
      <c r="G72" s="15" t="s">
        <v>1354</v>
      </c>
      <c r="H72" s="15" t="s">
        <v>485</v>
      </c>
      <c r="I72" s="15">
        <v>2003033</v>
      </c>
      <c r="J72" s="15">
        <v>0</v>
      </c>
      <c r="K72" s="15">
        <v>0</v>
      </c>
    </row>
    <row r="73" spans="1:11">
      <c r="A73" s="17" t="str">
        <f>VLOOKUP(E73,Table1[[#All],[Campo]],1,0)</f>
        <v>grss_intrst_incm_ccrr</v>
      </c>
      <c r="B73" s="15" t="s">
        <v>1465</v>
      </c>
      <c r="C73" s="15" t="s">
        <v>1466</v>
      </c>
      <c r="D73" s="15" t="s">
        <v>1285</v>
      </c>
      <c r="E73" s="15" t="s">
        <v>1467</v>
      </c>
      <c r="F73" s="15" t="s">
        <v>1373</v>
      </c>
      <c r="G73" s="15" t="s">
        <v>1354</v>
      </c>
      <c r="H73" s="15" t="s">
        <v>485</v>
      </c>
      <c r="I73" s="15">
        <v>2003033</v>
      </c>
      <c r="J73" s="15">
        <v>0</v>
      </c>
      <c r="K73" s="15">
        <v>0</v>
      </c>
    </row>
    <row r="74" spans="1:11">
      <c r="A74" s="17" t="str">
        <f>VLOOKUP(E74,Table1[[#All],[Campo]],1,0)</f>
        <v>grss_intrst_expns_ccrr</v>
      </c>
      <c r="B74" s="15" t="s">
        <v>1468</v>
      </c>
      <c r="C74" s="15" t="s">
        <v>1469</v>
      </c>
      <c r="D74" s="15" t="s">
        <v>1285</v>
      </c>
      <c r="E74" s="15" t="s">
        <v>1470</v>
      </c>
      <c r="F74" s="15" t="s">
        <v>1373</v>
      </c>
      <c r="G74" s="15" t="s">
        <v>1354</v>
      </c>
      <c r="H74" s="15" t="s">
        <v>485</v>
      </c>
      <c r="I74" s="15">
        <v>2003033</v>
      </c>
      <c r="J74" s="15">
        <v>0</v>
      </c>
      <c r="K74" s="15">
        <v>0</v>
      </c>
    </row>
    <row r="75" spans="1:11">
      <c r="A75" s="17" t="s">
        <v>1471</v>
      </c>
      <c r="B75" s="15" t="s">
        <v>1472</v>
      </c>
      <c r="C75" s="15" t="s">
        <v>1473</v>
      </c>
      <c r="D75" s="15" t="s">
        <v>1285</v>
      </c>
      <c r="E75" s="15" t="s">
        <v>1474</v>
      </c>
      <c r="F75" s="15" t="s">
        <v>1373</v>
      </c>
      <c r="G75" s="15" t="s">
        <v>1354</v>
      </c>
      <c r="H75" s="15" t="s">
        <v>485</v>
      </c>
      <c r="I75" s="15">
        <v>2003033</v>
      </c>
      <c r="J75" s="15">
        <v>0</v>
      </c>
      <c r="K75" s="15">
        <v>0</v>
      </c>
    </row>
    <row r="76" spans="1:11">
      <c r="A76" s="17" t="s">
        <v>1475</v>
      </c>
      <c r="B76" s="15" t="s">
        <v>1476</v>
      </c>
      <c r="C76" s="15" t="s">
        <v>1477</v>
      </c>
      <c r="D76" s="15" t="s">
        <v>1285</v>
      </c>
      <c r="E76" s="15" t="s">
        <v>1478</v>
      </c>
      <c r="F76" s="15" t="s">
        <v>1373</v>
      </c>
      <c r="G76" s="15" t="s">
        <v>1354</v>
      </c>
      <c r="H76" s="15" t="s">
        <v>485</v>
      </c>
      <c r="I76" s="15">
        <v>2003033</v>
      </c>
      <c r="J76" s="15">
        <v>0</v>
      </c>
      <c r="K76" s="15">
        <v>0</v>
      </c>
    </row>
    <row r="77" spans="1:11">
      <c r="A77" s="17" t="str">
        <f>VLOOKUP(E77,Table1[[#All],[Campo]],1,0)</f>
        <v>gns_fnncl_trnsctn_exchng_ccrr</v>
      </c>
      <c r="B77" s="15" t="s">
        <v>1479</v>
      </c>
      <c r="C77" s="15" t="s">
        <v>1480</v>
      </c>
      <c r="D77" s="15" t="s">
        <v>1285</v>
      </c>
      <c r="E77" s="15" t="s">
        <v>1481</v>
      </c>
      <c r="F77" s="15" t="s">
        <v>1373</v>
      </c>
      <c r="G77" s="15" t="s">
        <v>1354</v>
      </c>
      <c r="H77" s="15" t="s">
        <v>485</v>
      </c>
      <c r="I77" s="15">
        <v>2003033</v>
      </c>
      <c r="J77" s="15">
        <v>0</v>
      </c>
      <c r="K77" s="15">
        <v>0</v>
      </c>
    </row>
    <row r="78" spans="1:11">
      <c r="A78" s="17" t="str">
        <f>VLOOKUP(E78,Table1[[#All],[Campo]],1,0)</f>
        <v>bsnss_area_ccrr</v>
      </c>
      <c r="B78" s="15" t="s">
        <v>1482</v>
      </c>
      <c r="C78" s="15" t="s">
        <v>1483</v>
      </c>
      <c r="D78" s="15" t="s">
        <v>1285</v>
      </c>
      <c r="E78" s="15" t="s">
        <v>1313</v>
      </c>
      <c r="F78" s="15" t="s">
        <v>1340</v>
      </c>
      <c r="G78" s="15" t="s">
        <v>1354</v>
      </c>
      <c r="H78" s="15" t="s">
        <v>1288</v>
      </c>
      <c r="I78" s="15">
        <v>2003033</v>
      </c>
      <c r="J78" s="15">
        <v>2003033</v>
      </c>
      <c r="K78" s="15">
        <v>100</v>
      </c>
    </row>
    <row r="79" spans="1:11">
      <c r="A79" s="17" t="s">
        <v>1484</v>
      </c>
      <c r="B79" s="15" t="s">
        <v>1485</v>
      </c>
      <c r="C79" s="15" t="s">
        <v>1486</v>
      </c>
      <c r="D79" s="15" t="s">
        <v>1285</v>
      </c>
      <c r="E79" s="15" t="s">
        <v>1487</v>
      </c>
      <c r="F79" s="15" t="s">
        <v>1373</v>
      </c>
      <c r="G79" s="15" t="s">
        <v>1354</v>
      </c>
      <c r="H79" s="15" t="s">
        <v>485</v>
      </c>
      <c r="I79" s="15">
        <v>2003033</v>
      </c>
      <c r="J79" s="15">
        <v>0</v>
      </c>
      <c r="K79" s="15">
        <v>0</v>
      </c>
    </row>
    <row r="80" spans="1:11">
      <c r="A80" s="17" t="s">
        <v>1488</v>
      </c>
      <c r="B80" s="15" t="s">
        <v>1489</v>
      </c>
      <c r="C80" s="15" t="s">
        <v>1490</v>
      </c>
      <c r="D80" s="15" t="s">
        <v>1285</v>
      </c>
      <c r="E80" s="15" t="s">
        <v>1491</v>
      </c>
      <c r="F80" s="15" t="s">
        <v>1373</v>
      </c>
      <c r="G80" s="15" t="s">
        <v>1354</v>
      </c>
      <c r="H80" s="15" t="s">
        <v>485</v>
      </c>
      <c r="I80" s="15">
        <v>2003033</v>
      </c>
      <c r="J80" s="15">
        <v>0</v>
      </c>
      <c r="K80" s="15">
        <v>0</v>
      </c>
    </row>
    <row r="81" spans="1:11">
      <c r="A81" s="17" t="s">
        <v>1314</v>
      </c>
      <c r="B81" s="15" t="s">
        <v>1492</v>
      </c>
      <c r="C81" s="15" t="s">
        <v>1493</v>
      </c>
      <c r="D81" s="15" t="s">
        <v>1285</v>
      </c>
      <c r="E81" s="15" t="s">
        <v>1317</v>
      </c>
      <c r="F81" s="15" t="s">
        <v>1340</v>
      </c>
      <c r="G81" s="15" t="s">
        <v>1354</v>
      </c>
      <c r="H81" s="15" t="s">
        <v>1288</v>
      </c>
      <c r="I81" s="15">
        <v>2003033</v>
      </c>
      <c r="J81" s="15">
        <v>2003033</v>
      </c>
      <c r="K81" s="15">
        <v>100</v>
      </c>
    </row>
    <row r="82" spans="1:11">
      <c r="A82" s="17" t="str">
        <f>VLOOKUP(E82,Table1[[#All],[Campo]],1,0)</f>
        <v>idcmb</v>
      </c>
      <c r="B82" s="15" t="s">
        <v>1494</v>
      </c>
      <c r="C82" s="15" t="s">
        <v>1495</v>
      </c>
      <c r="D82" s="15" t="s">
        <v>1285</v>
      </c>
      <c r="E82" s="15" t="s">
        <v>1320</v>
      </c>
      <c r="F82" s="15" t="s">
        <v>1340</v>
      </c>
      <c r="G82" s="15" t="s">
        <v>1354</v>
      </c>
      <c r="H82" s="15" t="s">
        <v>1288</v>
      </c>
      <c r="I82" s="15">
        <v>2003033</v>
      </c>
      <c r="J82" s="15">
        <v>2003033</v>
      </c>
      <c r="K82" s="15">
        <v>100</v>
      </c>
    </row>
    <row r="83" spans="1:11">
      <c r="A83" s="17" t="str">
        <f>VLOOKUP(E83,Table1[[#All],[Campo]],1,0)</f>
        <v>cod_soc</v>
      </c>
      <c r="B83" s="15" t="s">
        <v>1496</v>
      </c>
      <c r="C83" s="15" t="s">
        <v>1338</v>
      </c>
      <c r="D83" s="15" t="s">
        <v>1336</v>
      </c>
      <c r="E83" s="15" t="s">
        <v>1263</v>
      </c>
      <c r="F83" s="15" t="s">
        <v>1340</v>
      </c>
      <c r="G83" s="15" t="s">
        <v>1497</v>
      </c>
      <c r="H83" s="15" t="s">
        <v>485</v>
      </c>
      <c r="I83" s="15">
        <v>731165</v>
      </c>
      <c r="J83" s="15">
        <v>0</v>
      </c>
      <c r="K83" s="15">
        <v>0</v>
      </c>
    </row>
    <row r="84" spans="1:11">
      <c r="A84" s="17" t="str">
        <f>VLOOKUP(E84,Table1[[#All],[Campo]],1,0)</f>
        <v>dt_rfrnc</v>
      </c>
      <c r="B84" s="15" t="s">
        <v>1498</v>
      </c>
      <c r="C84" s="15" t="s">
        <v>1349</v>
      </c>
      <c r="D84" s="15" t="s">
        <v>1336</v>
      </c>
      <c r="E84" s="15" t="s">
        <v>1268</v>
      </c>
      <c r="F84" s="15" t="s">
        <v>1344</v>
      </c>
      <c r="G84" s="15" t="s">
        <v>1497</v>
      </c>
      <c r="H84" s="15" t="s">
        <v>485</v>
      </c>
      <c r="I84" s="15">
        <v>731165</v>
      </c>
      <c r="J84" s="15">
        <v>0</v>
      </c>
      <c r="K84" s="15">
        <v>0</v>
      </c>
    </row>
    <row r="85" spans="1:11">
      <c r="A85" s="17" t="str">
        <f>VLOOKUP(E85,Table1[[#All],[Campo]],1,0)</f>
        <v>instrmnt_id</v>
      </c>
      <c r="B85" s="15" t="s">
        <v>1499</v>
      </c>
      <c r="C85" s="15" t="s">
        <v>1351</v>
      </c>
      <c r="D85" s="15" t="s">
        <v>1336</v>
      </c>
      <c r="E85" s="15" t="s">
        <v>1277</v>
      </c>
      <c r="F85" s="15" t="s">
        <v>1352</v>
      </c>
      <c r="G85" s="15" t="s">
        <v>1497</v>
      </c>
      <c r="H85" s="15" t="s">
        <v>485</v>
      </c>
      <c r="I85" s="15">
        <v>731165</v>
      </c>
      <c r="J85" s="15">
        <v>0</v>
      </c>
      <c r="K85" s="15">
        <v>0</v>
      </c>
    </row>
    <row r="86" spans="1:11">
      <c r="A86" s="17" t="str">
        <f>VLOOKUP(E86,Table1[[#All],[Campo]],1,0)</f>
        <v>cod_soc</v>
      </c>
      <c r="B86" s="15" t="s">
        <v>1500</v>
      </c>
      <c r="C86" s="15" t="s">
        <v>1338</v>
      </c>
      <c r="D86" s="15" t="s">
        <v>1501</v>
      </c>
      <c r="E86" s="15" t="s">
        <v>1263</v>
      </c>
      <c r="F86" s="15" t="s">
        <v>1340</v>
      </c>
      <c r="G86" s="15" t="s">
        <v>1502</v>
      </c>
      <c r="H86" s="15" t="s">
        <v>485</v>
      </c>
      <c r="I86" s="15">
        <v>456960</v>
      </c>
      <c r="J86" s="15">
        <v>0</v>
      </c>
      <c r="K86" s="15">
        <v>0</v>
      </c>
    </row>
    <row r="87" spans="1:11">
      <c r="A87" s="17" t="str">
        <f>VLOOKUP(E87,Table1[[#All],[Campo]],1,0)</f>
        <v>dt_rfrnc</v>
      </c>
      <c r="B87" s="15" t="s">
        <v>1503</v>
      </c>
      <c r="C87" s="15" t="s">
        <v>1349</v>
      </c>
      <c r="D87" s="15" t="s">
        <v>1501</v>
      </c>
      <c r="E87" s="15" t="s">
        <v>1268</v>
      </c>
      <c r="F87" s="15" t="s">
        <v>1344</v>
      </c>
      <c r="G87" s="15" t="s">
        <v>1502</v>
      </c>
      <c r="H87" s="15" t="s">
        <v>485</v>
      </c>
      <c r="I87" s="15">
        <v>456960</v>
      </c>
      <c r="J87" s="15">
        <v>0</v>
      </c>
      <c r="K87" s="15">
        <v>0</v>
      </c>
    </row>
    <row r="88" spans="1:11">
      <c r="A88" s="17" t="str">
        <f>VLOOKUP(E88,Table1[[#All],[Campo]],1,0)</f>
        <v>instrmnt_id</v>
      </c>
      <c r="B88" s="15" t="s">
        <v>1504</v>
      </c>
      <c r="C88" s="15" t="s">
        <v>1505</v>
      </c>
      <c r="D88" s="15" t="s">
        <v>1346</v>
      </c>
      <c r="E88" s="15" t="s">
        <v>1277</v>
      </c>
      <c r="F88" s="15" t="s">
        <v>1506</v>
      </c>
      <c r="G88" s="15" t="s">
        <v>1507</v>
      </c>
      <c r="H88" s="15" t="s">
        <v>485</v>
      </c>
      <c r="I88" s="15">
        <v>2490665</v>
      </c>
      <c r="J88" s="15">
        <v>0</v>
      </c>
      <c r="K88" s="15">
        <v>0</v>
      </c>
    </row>
    <row r="89" spans="1:11">
      <c r="A89" s="17" t="str">
        <f>VLOOKUP(E89,Table1[[#All],[Campo]],1,0)</f>
        <v>typ_instrmnt</v>
      </c>
      <c r="B89" s="15" t="s">
        <v>1508</v>
      </c>
      <c r="C89" s="15" t="s">
        <v>1509</v>
      </c>
      <c r="D89" s="15" t="s">
        <v>1285</v>
      </c>
      <c r="E89" s="15" t="s">
        <v>1369</v>
      </c>
      <c r="F89" s="15" t="s">
        <v>1506</v>
      </c>
      <c r="G89" s="15" t="s">
        <v>1507</v>
      </c>
      <c r="H89" s="15" t="s">
        <v>485</v>
      </c>
      <c r="I89" s="15">
        <v>2001306</v>
      </c>
      <c r="J89" s="15">
        <v>0</v>
      </c>
      <c r="K89" s="15">
        <v>0</v>
      </c>
    </row>
    <row r="90" spans="1:11">
      <c r="A90" s="17" t="str">
        <f>VLOOKUP(E90,Table1[[#All],[Campo]],1,0)</f>
        <v>instrmnt_id</v>
      </c>
      <c r="B90" s="15" t="s">
        <v>1510</v>
      </c>
      <c r="C90" s="15" t="s">
        <v>1511</v>
      </c>
      <c r="D90" s="15" t="s">
        <v>1336</v>
      </c>
      <c r="E90" s="15" t="s">
        <v>1277</v>
      </c>
      <c r="F90" s="15" t="s">
        <v>1506</v>
      </c>
      <c r="G90" s="15" t="s">
        <v>1507</v>
      </c>
      <c r="H90" s="15" t="s">
        <v>485</v>
      </c>
      <c r="I90" s="15">
        <v>731165</v>
      </c>
      <c r="J90" s="15">
        <v>0</v>
      </c>
      <c r="K90" s="15">
        <v>0</v>
      </c>
    </row>
    <row r="91" spans="1:11">
      <c r="A91" s="17" t="str">
        <f>VLOOKUP(E91,Table1[[#All],[Campo]],1,0)</f>
        <v>dt_rfrnc</v>
      </c>
      <c r="B91" s="15" t="s">
        <v>1512</v>
      </c>
      <c r="C91" s="15" t="s">
        <v>1513</v>
      </c>
      <c r="D91" s="15" t="s">
        <v>1262</v>
      </c>
      <c r="E91" s="15" t="s">
        <v>1268</v>
      </c>
      <c r="F91" s="15" t="s">
        <v>1514</v>
      </c>
      <c r="G91" s="15" t="s">
        <v>1515</v>
      </c>
      <c r="H91" s="15" t="s">
        <v>485</v>
      </c>
      <c r="I91" s="15">
        <v>1096295</v>
      </c>
      <c r="J91" s="15">
        <v>0</v>
      </c>
      <c r="K91" s="15">
        <v>0</v>
      </c>
    </row>
    <row r="92" spans="1:11">
      <c r="A92" s="17" t="str">
        <f>VLOOKUP(E92,Table1[[#All],[Campo]],1,0)</f>
        <v>dt_rfrnc</v>
      </c>
      <c r="B92" s="15" t="s">
        <v>1516</v>
      </c>
      <c r="C92" s="15" t="s">
        <v>1517</v>
      </c>
      <c r="D92" s="15" t="s">
        <v>1271</v>
      </c>
      <c r="E92" s="15" t="s">
        <v>1268</v>
      </c>
      <c r="F92" s="15" t="s">
        <v>1514</v>
      </c>
      <c r="G92" s="15" t="s">
        <v>1518</v>
      </c>
      <c r="H92" s="15" t="s">
        <v>485</v>
      </c>
      <c r="I92" s="15">
        <v>2490665</v>
      </c>
      <c r="J92" s="15">
        <v>0</v>
      </c>
      <c r="K92" s="15">
        <v>0</v>
      </c>
    </row>
    <row r="93" spans="1:11">
      <c r="A93" s="17" t="str">
        <f>VLOOKUP(E93,Table1[[#All],[Campo]],1,0)</f>
        <v>dt_rfrnc</v>
      </c>
      <c r="B93" s="15" t="s">
        <v>1519</v>
      </c>
      <c r="C93" s="15" t="s">
        <v>1517</v>
      </c>
      <c r="D93" s="15" t="s">
        <v>1279</v>
      </c>
      <c r="E93" s="15" t="s">
        <v>1268</v>
      </c>
      <c r="F93" s="15" t="s">
        <v>1514</v>
      </c>
      <c r="G93" s="15" t="s">
        <v>1520</v>
      </c>
      <c r="H93" s="15" t="s">
        <v>485</v>
      </c>
      <c r="I93" s="15">
        <v>2002411</v>
      </c>
      <c r="J93" s="15">
        <v>0</v>
      </c>
      <c r="K93" s="15">
        <v>0</v>
      </c>
    </row>
    <row r="94" spans="1:11">
      <c r="A94" s="17" t="str">
        <f>VLOOKUP(E94,Table1[[#All],[Campo]],1,0)</f>
        <v>imprmnt_stts</v>
      </c>
      <c r="B94" s="15" t="s">
        <v>1521</v>
      </c>
      <c r="C94" s="15" t="s">
        <v>1522</v>
      </c>
      <c r="D94" s="15" t="s">
        <v>1279</v>
      </c>
      <c r="E94" s="15" t="s">
        <v>1364</v>
      </c>
      <c r="F94" s="15" t="s">
        <v>1340</v>
      </c>
      <c r="G94" s="15" t="s">
        <v>1520</v>
      </c>
      <c r="H94" s="15" t="s">
        <v>485</v>
      </c>
      <c r="I94" s="15">
        <v>2002411</v>
      </c>
      <c r="J94" s="15">
        <v>0</v>
      </c>
      <c r="K94" s="15">
        <v>0</v>
      </c>
    </row>
    <row r="95" spans="1:11">
      <c r="A95" s="17" t="str">
        <f>VLOOKUP(E95,Table1[[#All],[Campo]],1,0)</f>
        <v>rwa_off_blnc</v>
      </c>
      <c r="B95" s="15" t="s">
        <v>1523</v>
      </c>
      <c r="C95" s="15" t="s">
        <v>1524</v>
      </c>
      <c r="D95" s="15" t="s">
        <v>1279</v>
      </c>
      <c r="E95" s="15" t="s">
        <v>1458</v>
      </c>
      <c r="F95" s="15" t="s">
        <v>1340</v>
      </c>
      <c r="G95" s="15" t="s">
        <v>1520</v>
      </c>
      <c r="H95" s="15" t="s">
        <v>485</v>
      </c>
      <c r="I95" s="15">
        <v>2002411</v>
      </c>
      <c r="J95" s="15">
        <v>0</v>
      </c>
      <c r="K95" s="15">
        <v>0</v>
      </c>
    </row>
    <row r="96" spans="1:11">
      <c r="A96" s="17" t="str">
        <f>VLOOKUP(E96,Table1[[#All],[Campo]],1,0)</f>
        <v>dt_rfrnc</v>
      </c>
      <c r="B96" s="15" t="s">
        <v>1525</v>
      </c>
      <c r="C96" s="15" t="s">
        <v>1517</v>
      </c>
      <c r="D96" s="15" t="s">
        <v>1322</v>
      </c>
      <c r="E96" s="15" t="s">
        <v>1268</v>
      </c>
      <c r="F96" s="15" t="s">
        <v>1514</v>
      </c>
      <c r="G96" s="15" t="s">
        <v>1526</v>
      </c>
      <c r="H96" s="15" t="s">
        <v>485</v>
      </c>
      <c r="I96" s="15">
        <v>731165</v>
      </c>
      <c r="J96" s="15">
        <v>0</v>
      </c>
      <c r="K96" s="15">
        <v>0</v>
      </c>
    </row>
    <row r="97" spans="1:11">
      <c r="A97" s="17" t="str">
        <f>VLOOKUP(E97,Table1[[#All],[Campo]],1,0)</f>
        <v>dt_rfrnc</v>
      </c>
      <c r="B97" s="15" t="s">
        <v>1527</v>
      </c>
      <c r="C97" s="15" t="s">
        <v>1517</v>
      </c>
      <c r="D97" s="15" t="s">
        <v>1327</v>
      </c>
      <c r="E97" s="15" t="s">
        <v>1268</v>
      </c>
      <c r="F97" s="15" t="s">
        <v>1514</v>
      </c>
      <c r="G97" s="15" t="s">
        <v>1528</v>
      </c>
      <c r="H97" s="15" t="s">
        <v>485</v>
      </c>
      <c r="I97" s="15">
        <v>456960</v>
      </c>
      <c r="J97" s="15">
        <v>0</v>
      </c>
      <c r="K97" s="15">
        <v>0</v>
      </c>
    </row>
    <row r="98" spans="1:11">
      <c r="A98" s="17" t="str">
        <f>VLOOKUP(E98,Table1[[#All],[Campo]],1,0)</f>
        <v>dt_rfrnc</v>
      </c>
      <c r="B98" s="15" t="s">
        <v>1529</v>
      </c>
      <c r="C98" s="15" t="s">
        <v>1530</v>
      </c>
      <c r="D98" s="15" t="s">
        <v>1339</v>
      </c>
      <c r="E98" s="15" t="s">
        <v>1268</v>
      </c>
      <c r="F98" s="15" t="s">
        <v>1514</v>
      </c>
      <c r="G98" s="15" t="s">
        <v>1531</v>
      </c>
      <c r="H98" s="15" t="s">
        <v>485</v>
      </c>
      <c r="I98" s="15">
        <v>1096295</v>
      </c>
      <c r="J98" s="15">
        <v>0</v>
      </c>
      <c r="K98" s="15">
        <v>0</v>
      </c>
    </row>
    <row r="99" spans="1:11">
      <c r="A99" s="17" t="str">
        <f>VLOOKUP(E99,Table1[[#All],[Campo]],1,0)</f>
        <v>dt_rfrnc</v>
      </c>
      <c r="B99" s="15" t="s">
        <v>1532</v>
      </c>
      <c r="C99" s="15" t="s">
        <v>1530</v>
      </c>
      <c r="D99" s="15" t="s">
        <v>1346</v>
      </c>
      <c r="E99" s="15" t="s">
        <v>1268</v>
      </c>
      <c r="F99" s="15" t="s">
        <v>1514</v>
      </c>
      <c r="G99" s="15" t="s">
        <v>1533</v>
      </c>
      <c r="H99" s="15" t="s">
        <v>485</v>
      </c>
      <c r="I99" s="15">
        <v>2490665</v>
      </c>
      <c r="J99" s="15">
        <v>0</v>
      </c>
      <c r="K99" s="15">
        <v>0</v>
      </c>
    </row>
    <row r="100" spans="1:11">
      <c r="A100" s="17" t="str">
        <f>VLOOKUP(E100,Table1[[#All],[Campo]],1,0)</f>
        <v>dt_rfrnc</v>
      </c>
      <c r="B100" s="15" t="s">
        <v>1534</v>
      </c>
      <c r="C100" s="15" t="s">
        <v>1530</v>
      </c>
      <c r="D100" s="15" t="s">
        <v>1285</v>
      </c>
      <c r="E100" s="15" t="s">
        <v>1268</v>
      </c>
      <c r="F100" s="15" t="s">
        <v>1514</v>
      </c>
      <c r="G100" s="15" t="s">
        <v>1535</v>
      </c>
      <c r="H100" s="15" t="s">
        <v>485</v>
      </c>
      <c r="I100" s="15">
        <v>2002411</v>
      </c>
      <c r="J100" s="15">
        <v>0</v>
      </c>
      <c r="K100" s="15">
        <v>0</v>
      </c>
    </row>
    <row r="101" spans="1:11">
      <c r="A101" s="17" t="str">
        <f>VLOOKUP(E101,Table1[[#All],[Campo]],1,0)</f>
        <v>grss_crryng_amnt_instrmnt</v>
      </c>
      <c r="B101" s="15" t="s">
        <v>1536</v>
      </c>
      <c r="C101" s="15" t="s">
        <v>1537</v>
      </c>
      <c r="D101" s="15" t="s">
        <v>1285</v>
      </c>
      <c r="E101" s="15" t="s">
        <v>1372</v>
      </c>
      <c r="F101" s="15" t="s">
        <v>1538</v>
      </c>
      <c r="G101" s="15" t="s">
        <v>1535</v>
      </c>
      <c r="H101" s="15" t="s">
        <v>1288</v>
      </c>
      <c r="I101" s="15">
        <v>2002411</v>
      </c>
      <c r="J101" s="15">
        <v>31379</v>
      </c>
      <c r="K101" s="15">
        <v>1.5670999999999999</v>
      </c>
    </row>
    <row r="102" spans="1:11">
      <c r="A102" s="17" t="str">
        <f>VLOOKUP(E102,Table1[[#All],[Campo]],1,0)</f>
        <v>accmltd_chngs_fv_cr_instrmnt</v>
      </c>
      <c r="B102" s="15" t="s">
        <v>1539</v>
      </c>
      <c r="C102" s="15" t="s">
        <v>1540</v>
      </c>
      <c r="D102" s="15" t="s">
        <v>1285</v>
      </c>
      <c r="E102" s="15" t="s">
        <v>1376</v>
      </c>
      <c r="F102" s="15" t="s">
        <v>1538</v>
      </c>
      <c r="G102" s="15" t="s">
        <v>1535</v>
      </c>
      <c r="H102" s="15" t="s">
        <v>485</v>
      </c>
      <c r="I102" s="15">
        <v>2002411</v>
      </c>
      <c r="J102" s="15">
        <v>0</v>
      </c>
      <c r="K102" s="15">
        <v>0</v>
      </c>
    </row>
    <row r="103" spans="1:11">
      <c r="A103" s="17" t="str">
        <f>VLOOKUP(E103,Table1[[#All],[Campo]],1,0)</f>
        <v>off_blnc_sht_amnt_instrmnt</v>
      </c>
      <c r="B103" s="15" t="s">
        <v>1541</v>
      </c>
      <c r="C103" s="15" t="s">
        <v>1542</v>
      </c>
      <c r="D103" s="15" t="s">
        <v>1285</v>
      </c>
      <c r="E103" s="15" t="s">
        <v>1382</v>
      </c>
      <c r="F103" s="15" t="s">
        <v>1538</v>
      </c>
      <c r="G103" s="15" t="s">
        <v>1535</v>
      </c>
      <c r="H103" s="15" t="s">
        <v>485</v>
      </c>
      <c r="I103" s="15">
        <v>2002411</v>
      </c>
      <c r="J103" s="15">
        <v>0</v>
      </c>
      <c r="K103" s="15">
        <v>0</v>
      </c>
    </row>
    <row r="104" spans="1:11">
      <c r="A104" s="17" t="str">
        <f>VLOOKUP(E104,Table1[[#All],[Campo]],1,0)</f>
        <v>prvsns_off_blnc_sht</v>
      </c>
      <c r="B104" s="15" t="s">
        <v>1543</v>
      </c>
      <c r="C104" s="15" t="s">
        <v>1544</v>
      </c>
      <c r="D104" s="15" t="s">
        <v>1285</v>
      </c>
      <c r="E104" s="15" t="s">
        <v>1385</v>
      </c>
      <c r="F104" s="15" t="s">
        <v>1538</v>
      </c>
      <c r="G104" s="15" t="s">
        <v>1535</v>
      </c>
      <c r="H104" s="15" t="s">
        <v>485</v>
      </c>
      <c r="I104" s="15">
        <v>2002411</v>
      </c>
      <c r="J104" s="15">
        <v>0</v>
      </c>
      <c r="K104" s="15">
        <v>0</v>
      </c>
    </row>
    <row r="105" spans="1:11">
      <c r="A105" s="17" t="str">
        <f>VLOOKUP(E105,Table1[[#All],[Campo]],1,0)</f>
        <v>rwa</v>
      </c>
      <c r="B105" s="15" t="s">
        <v>1545</v>
      </c>
      <c r="C105" s="15" t="s">
        <v>1546</v>
      </c>
      <c r="D105" s="15" t="s">
        <v>1285</v>
      </c>
      <c r="E105" s="15" t="s">
        <v>1388</v>
      </c>
      <c r="F105" s="15" t="s">
        <v>1538</v>
      </c>
      <c r="G105" s="15" t="s">
        <v>1535</v>
      </c>
      <c r="H105" s="15" t="s">
        <v>485</v>
      </c>
      <c r="I105" s="15">
        <v>2002411</v>
      </c>
      <c r="J105" s="15">
        <v>0</v>
      </c>
      <c r="K105" s="15">
        <v>0</v>
      </c>
    </row>
    <row r="106" spans="1:11">
      <c r="A106" s="17" t="str">
        <f>VLOOKUP(E106,Table1[[#All],[Campo]],1,0)</f>
        <v>accmltd_imprmnt_instrmnt</v>
      </c>
      <c r="B106" s="15" t="s">
        <v>1547</v>
      </c>
      <c r="C106" s="15" t="s">
        <v>1548</v>
      </c>
      <c r="D106" s="15" t="s">
        <v>1285</v>
      </c>
      <c r="E106" s="15" t="s">
        <v>1391</v>
      </c>
      <c r="F106" s="15" t="s">
        <v>1538</v>
      </c>
      <c r="G106" s="15" t="s">
        <v>1535</v>
      </c>
      <c r="H106" s="15" t="s">
        <v>485</v>
      </c>
      <c r="I106" s="15">
        <v>2002411</v>
      </c>
      <c r="J106" s="15">
        <v>0</v>
      </c>
      <c r="K106" s="15">
        <v>0</v>
      </c>
    </row>
    <row r="107" spans="1:11">
      <c r="A107" s="17" t="str">
        <f>VLOOKUP(E107,Table1[[#All],[Campo]],1,0)</f>
        <v>avrg_blnc</v>
      </c>
      <c r="B107" s="15" t="s">
        <v>1549</v>
      </c>
      <c r="C107" s="15" t="s">
        <v>1550</v>
      </c>
      <c r="D107" s="15" t="s">
        <v>1285</v>
      </c>
      <c r="E107" s="15" t="s">
        <v>1403</v>
      </c>
      <c r="F107" s="15" t="s">
        <v>1538</v>
      </c>
      <c r="G107" s="15" t="s">
        <v>1535</v>
      </c>
      <c r="H107" s="15" t="s">
        <v>485</v>
      </c>
      <c r="I107" s="15">
        <v>2002411</v>
      </c>
      <c r="J107" s="15">
        <v>0</v>
      </c>
      <c r="K107" s="15">
        <v>0</v>
      </c>
    </row>
    <row r="108" spans="1:11">
      <c r="A108" s="17" t="str">
        <f>VLOOKUP(E108,Table1[[#All],[Campo]],1,0)</f>
        <v>grss_intrst_incm</v>
      </c>
      <c r="B108" s="15" t="s">
        <v>1551</v>
      </c>
      <c r="C108" s="15" t="s">
        <v>1552</v>
      </c>
      <c r="D108" s="15" t="s">
        <v>1285</v>
      </c>
      <c r="E108" s="15" t="s">
        <v>1408</v>
      </c>
      <c r="F108" s="15" t="s">
        <v>1538</v>
      </c>
      <c r="G108" s="15" t="s">
        <v>1535</v>
      </c>
      <c r="H108" s="15" t="s">
        <v>485</v>
      </c>
      <c r="I108" s="15">
        <v>2002411</v>
      </c>
      <c r="J108" s="15">
        <v>0</v>
      </c>
      <c r="K108" s="15">
        <v>0</v>
      </c>
    </row>
    <row r="109" spans="1:11">
      <c r="A109" s="17" t="s">
        <v>1409</v>
      </c>
      <c r="B109" s="15" t="s">
        <v>1553</v>
      </c>
      <c r="C109" s="15" t="s">
        <v>1554</v>
      </c>
      <c r="D109" s="15" t="s">
        <v>1285</v>
      </c>
      <c r="E109" s="15" t="s">
        <v>1412</v>
      </c>
      <c r="F109" s="15" t="s">
        <v>1538</v>
      </c>
      <c r="G109" s="15" t="s">
        <v>1535</v>
      </c>
      <c r="H109" s="15" t="s">
        <v>485</v>
      </c>
      <c r="I109" s="15">
        <v>2002411</v>
      </c>
      <c r="J109" s="15">
        <v>0</v>
      </c>
      <c r="K109" s="15">
        <v>0</v>
      </c>
    </row>
    <row r="110" spans="1:11">
      <c r="A110" s="17" t="str">
        <f>VLOOKUP(E110,Table1[[#All],[Campo]],1,0)</f>
        <v>intrnl_trnsfr_rt</v>
      </c>
      <c r="B110" s="15" t="s">
        <v>1555</v>
      </c>
      <c r="C110" s="15" t="s">
        <v>1556</v>
      </c>
      <c r="D110" s="15" t="s">
        <v>1285</v>
      </c>
      <c r="E110" s="15" t="s">
        <v>1415</v>
      </c>
      <c r="F110" s="15" t="s">
        <v>1538</v>
      </c>
      <c r="G110" s="15" t="s">
        <v>1535</v>
      </c>
      <c r="H110" s="15" t="s">
        <v>485</v>
      </c>
      <c r="I110" s="15">
        <v>2002411</v>
      </c>
      <c r="J110" s="15">
        <v>0</v>
      </c>
      <c r="K110" s="15">
        <v>0</v>
      </c>
    </row>
    <row r="111" spans="1:11">
      <c r="A111" s="17" t="str">
        <f>VLOOKUP(E111,Table1[[#All],[Campo]],1,0)</f>
        <v>nt_ln_lss_prvsn</v>
      </c>
      <c r="B111" s="15" t="s">
        <v>1557</v>
      </c>
      <c r="C111" s="15" t="s">
        <v>1558</v>
      </c>
      <c r="D111" s="15" t="s">
        <v>1285</v>
      </c>
      <c r="E111" s="15" t="s">
        <v>1418</v>
      </c>
      <c r="F111" s="15" t="s">
        <v>1538</v>
      </c>
      <c r="G111" s="15" t="s">
        <v>1535</v>
      </c>
      <c r="H111" s="15" t="s">
        <v>485</v>
      </c>
      <c r="I111" s="15">
        <v>2002411</v>
      </c>
      <c r="J111" s="15">
        <v>0</v>
      </c>
      <c r="K111" s="15">
        <v>0</v>
      </c>
    </row>
    <row r="112" spans="1:11">
      <c r="A112" s="17" t="s">
        <v>1424</v>
      </c>
      <c r="B112" s="15" t="s">
        <v>1559</v>
      </c>
      <c r="C112" s="15" t="s">
        <v>1560</v>
      </c>
      <c r="D112" s="15" t="s">
        <v>1285</v>
      </c>
      <c r="E112" s="15" t="s">
        <v>1427</v>
      </c>
      <c r="F112" s="15" t="s">
        <v>1538</v>
      </c>
      <c r="G112" s="15" t="s">
        <v>1535</v>
      </c>
      <c r="H112" s="15" t="s">
        <v>485</v>
      </c>
      <c r="I112" s="15">
        <v>2002411</v>
      </c>
      <c r="J112" s="15">
        <v>0</v>
      </c>
      <c r="K112" s="15">
        <v>0</v>
      </c>
    </row>
    <row r="113" spans="1:11">
      <c r="A113" s="17" t="str">
        <f>VLOOKUP(E113,Table1[[#All],[Campo]],1,0)</f>
        <v>gns_fnncl_trnsctn_exchng_dffrncs</v>
      </c>
      <c r="B113" s="15" t="s">
        <v>1561</v>
      </c>
      <c r="C113" s="15" t="s">
        <v>1562</v>
      </c>
      <c r="D113" s="15" t="s">
        <v>1285</v>
      </c>
      <c r="E113" s="15" t="s">
        <v>1430</v>
      </c>
      <c r="F113" s="15" t="s">
        <v>1538</v>
      </c>
      <c r="G113" s="15" t="s">
        <v>1535</v>
      </c>
      <c r="H113" s="15" t="s">
        <v>485</v>
      </c>
      <c r="I113" s="15">
        <v>2002411</v>
      </c>
      <c r="J113" s="15">
        <v>0</v>
      </c>
      <c r="K113" s="15">
        <v>0</v>
      </c>
    </row>
    <row r="114" spans="1:11">
      <c r="A114" s="17" t="str">
        <f>VLOOKUP(E114,Table1[[#All],[Campo]],1,0)</f>
        <v>avrg_blnc_off_blnc</v>
      </c>
      <c r="B114" s="15" t="s">
        <v>1563</v>
      </c>
      <c r="C114" s="15" t="s">
        <v>1564</v>
      </c>
      <c r="D114" s="15" t="s">
        <v>1285</v>
      </c>
      <c r="E114" s="15" t="s">
        <v>1444</v>
      </c>
      <c r="F114" s="15" t="s">
        <v>1538</v>
      </c>
      <c r="G114" s="15" t="s">
        <v>1535</v>
      </c>
      <c r="H114" s="15" t="s">
        <v>485</v>
      </c>
      <c r="I114" s="15">
        <v>2002411</v>
      </c>
      <c r="J114" s="15">
        <v>0</v>
      </c>
      <c r="K114" s="15">
        <v>0</v>
      </c>
    </row>
    <row r="115" spans="1:11">
      <c r="A115" s="17" t="str">
        <f>VLOOKUP(E115,Table1[[#All],[Campo]],1,0)</f>
        <v>intrnl_trnsfr_rt_off_blnc</v>
      </c>
      <c r="B115" s="15" t="s">
        <v>1565</v>
      </c>
      <c r="C115" s="15" t="s">
        <v>1566</v>
      </c>
      <c r="D115" s="15" t="s">
        <v>1285</v>
      </c>
      <c r="E115" s="15" t="s">
        <v>1447</v>
      </c>
      <c r="F115" s="15" t="s">
        <v>1538</v>
      </c>
      <c r="G115" s="15" t="s">
        <v>1535</v>
      </c>
      <c r="H115" s="15" t="s">
        <v>485</v>
      </c>
      <c r="I115" s="15">
        <v>2002411</v>
      </c>
      <c r="J115" s="15">
        <v>0</v>
      </c>
      <c r="K115" s="15">
        <v>0</v>
      </c>
    </row>
    <row r="116" spans="1:11">
      <c r="A116" s="17" t="s">
        <v>1448</v>
      </c>
      <c r="B116" s="15" t="s">
        <v>1567</v>
      </c>
      <c r="C116" s="15" t="s">
        <v>1568</v>
      </c>
      <c r="D116" s="15" t="s">
        <v>1285</v>
      </c>
      <c r="E116" s="15" t="s">
        <v>1451</v>
      </c>
      <c r="F116" s="15" t="s">
        <v>1538</v>
      </c>
      <c r="G116" s="15" t="s">
        <v>1535</v>
      </c>
      <c r="H116" s="15" t="s">
        <v>485</v>
      </c>
      <c r="I116" s="15">
        <v>2002411</v>
      </c>
      <c r="J116" s="15">
        <v>0</v>
      </c>
      <c r="K116" s="15">
        <v>0</v>
      </c>
    </row>
    <row r="117" spans="1:11">
      <c r="A117" s="17" t="s">
        <v>1452</v>
      </c>
      <c r="B117" s="15" t="s">
        <v>1569</v>
      </c>
      <c r="C117" s="15" t="s">
        <v>1570</v>
      </c>
      <c r="D117" s="15" t="s">
        <v>1285</v>
      </c>
      <c r="E117" s="15" t="s">
        <v>1455</v>
      </c>
      <c r="F117" s="15" t="s">
        <v>1538</v>
      </c>
      <c r="G117" s="15" t="s">
        <v>1535</v>
      </c>
      <c r="H117" s="15" t="s">
        <v>485</v>
      </c>
      <c r="I117" s="15">
        <v>2002411</v>
      </c>
      <c r="J117" s="15">
        <v>0</v>
      </c>
      <c r="K117" s="15">
        <v>0</v>
      </c>
    </row>
    <row r="118" spans="1:11">
      <c r="A118" s="17" t="str">
        <f>VLOOKUP(E118,Table1[[#All],[Campo]],1,0)</f>
        <v>grss_intrst_expns</v>
      </c>
      <c r="B118" s="15" t="s">
        <v>1571</v>
      </c>
      <c r="C118" s="15" t="s">
        <v>1572</v>
      </c>
      <c r="D118" s="15" t="s">
        <v>1285</v>
      </c>
      <c r="E118" s="15" t="s">
        <v>1461</v>
      </c>
      <c r="F118" s="15" t="s">
        <v>1538</v>
      </c>
      <c r="G118" s="15" t="s">
        <v>1535</v>
      </c>
      <c r="H118" s="15" t="s">
        <v>485</v>
      </c>
      <c r="I118" s="15">
        <v>2002411</v>
      </c>
      <c r="J118" s="15">
        <v>0</v>
      </c>
      <c r="K118" s="15">
        <v>0</v>
      </c>
    </row>
    <row r="119" spans="1:11">
      <c r="A119" s="17" t="str">
        <f>VLOOKUP(E119,Table1[[#All],[Campo]],1,0)</f>
        <v>grss_intrst_incm_ccrr</v>
      </c>
      <c r="B119" s="15" t="s">
        <v>1573</v>
      </c>
      <c r="C119" s="15" t="s">
        <v>1574</v>
      </c>
      <c r="D119" s="15" t="s">
        <v>1285</v>
      </c>
      <c r="E119" s="15" t="s">
        <v>1467</v>
      </c>
      <c r="F119" s="15" t="s">
        <v>1538</v>
      </c>
      <c r="G119" s="15" t="s">
        <v>1535</v>
      </c>
      <c r="H119" s="15" t="s">
        <v>485</v>
      </c>
      <c r="I119" s="15">
        <v>2002411</v>
      </c>
      <c r="J119" s="15">
        <v>0</v>
      </c>
      <c r="K119" s="15">
        <v>0</v>
      </c>
    </row>
    <row r="120" spans="1:11">
      <c r="A120" s="17" t="str">
        <f>VLOOKUP(E120,Table1[[#All],[Campo]],1,0)</f>
        <v>grss_intrst_expns_ccrr</v>
      </c>
      <c r="B120" s="15" t="s">
        <v>1575</v>
      </c>
      <c r="C120" s="15" t="s">
        <v>1576</v>
      </c>
      <c r="D120" s="15" t="s">
        <v>1285</v>
      </c>
      <c r="E120" s="15" t="s">
        <v>1470</v>
      </c>
      <c r="F120" s="15" t="s">
        <v>1538</v>
      </c>
      <c r="G120" s="15" t="s">
        <v>1535</v>
      </c>
      <c r="H120" s="15" t="s">
        <v>485</v>
      </c>
      <c r="I120" s="15">
        <v>2002411</v>
      </c>
      <c r="J120" s="15">
        <v>0</v>
      </c>
      <c r="K120" s="15">
        <v>0</v>
      </c>
    </row>
    <row r="121" spans="1:11">
      <c r="A121" s="17" t="s">
        <v>1471</v>
      </c>
      <c r="B121" s="15" t="s">
        <v>1577</v>
      </c>
      <c r="C121" s="15" t="s">
        <v>1578</v>
      </c>
      <c r="D121" s="15" t="s">
        <v>1285</v>
      </c>
      <c r="E121" s="15" t="s">
        <v>1474</v>
      </c>
      <c r="F121" s="15" t="s">
        <v>1538</v>
      </c>
      <c r="G121" s="15" t="s">
        <v>1535</v>
      </c>
      <c r="H121" s="15" t="s">
        <v>485</v>
      </c>
      <c r="I121" s="15">
        <v>2002411</v>
      </c>
      <c r="J121" s="15">
        <v>0</v>
      </c>
      <c r="K121" s="15">
        <v>0</v>
      </c>
    </row>
    <row r="122" spans="1:11">
      <c r="A122" s="17" t="s">
        <v>1475</v>
      </c>
      <c r="B122" s="15" t="s">
        <v>1579</v>
      </c>
      <c r="C122" s="15" t="s">
        <v>1580</v>
      </c>
      <c r="D122" s="15" t="s">
        <v>1285</v>
      </c>
      <c r="E122" s="15" t="s">
        <v>1478</v>
      </c>
      <c r="F122" s="15" t="s">
        <v>1538</v>
      </c>
      <c r="G122" s="15" t="s">
        <v>1535</v>
      </c>
      <c r="H122" s="15" t="s">
        <v>485</v>
      </c>
      <c r="I122" s="15">
        <v>2002411</v>
      </c>
      <c r="J122" s="15">
        <v>0</v>
      </c>
      <c r="K122" s="15">
        <v>0</v>
      </c>
    </row>
    <row r="123" spans="1:11">
      <c r="A123" s="17" t="str">
        <f>VLOOKUP(E123,Table1[[#All],[Campo]],1,0)</f>
        <v>gns_fnncl_trnsctn_exchng_ccrr</v>
      </c>
      <c r="B123" s="15" t="s">
        <v>1581</v>
      </c>
      <c r="C123" s="15" t="s">
        <v>1582</v>
      </c>
      <c r="D123" s="15" t="s">
        <v>1285</v>
      </c>
      <c r="E123" s="15" t="s">
        <v>1481</v>
      </c>
      <c r="F123" s="15" t="s">
        <v>1538</v>
      </c>
      <c r="G123" s="15" t="s">
        <v>1535</v>
      </c>
      <c r="H123" s="15" t="s">
        <v>485</v>
      </c>
      <c r="I123" s="15">
        <v>2002411</v>
      </c>
      <c r="J123" s="15">
        <v>0</v>
      </c>
      <c r="K123" s="15">
        <v>0</v>
      </c>
    </row>
    <row r="124" spans="1:11">
      <c r="A124" s="17" t="s">
        <v>1484</v>
      </c>
      <c r="B124" s="15" t="s">
        <v>1583</v>
      </c>
      <c r="C124" s="15" t="s">
        <v>1584</v>
      </c>
      <c r="D124" s="15" t="s">
        <v>1285</v>
      </c>
      <c r="E124" s="15" t="s">
        <v>1487</v>
      </c>
      <c r="F124" s="15" t="s">
        <v>1538</v>
      </c>
      <c r="G124" s="15" t="s">
        <v>1535</v>
      </c>
      <c r="H124" s="15" t="s">
        <v>485</v>
      </c>
      <c r="I124" s="15">
        <v>2002411</v>
      </c>
      <c r="J124" s="15">
        <v>0</v>
      </c>
      <c r="K124" s="15">
        <v>0</v>
      </c>
    </row>
    <row r="125" spans="1:11">
      <c r="A125" s="17" t="s">
        <v>1488</v>
      </c>
      <c r="B125" s="15" t="s">
        <v>1585</v>
      </c>
      <c r="C125" s="15" t="s">
        <v>1586</v>
      </c>
      <c r="D125" s="15" t="s">
        <v>1285</v>
      </c>
      <c r="E125" s="15" t="s">
        <v>1491</v>
      </c>
      <c r="F125" s="15" t="s">
        <v>1538</v>
      </c>
      <c r="G125" s="15" t="s">
        <v>1535</v>
      </c>
      <c r="H125" s="15" t="s">
        <v>485</v>
      </c>
      <c r="I125" s="15">
        <v>2002411</v>
      </c>
      <c r="J125" s="15">
        <v>0</v>
      </c>
      <c r="K125" s="15">
        <v>0</v>
      </c>
    </row>
    <row r="126" spans="1:11">
      <c r="A126" s="17" t="str">
        <f>VLOOKUP(E126,Table1[[#All],[Campo]],1,0)</f>
        <v>dt_rfrnc</v>
      </c>
      <c r="B126" s="15" t="s">
        <v>1587</v>
      </c>
      <c r="C126" s="15" t="s">
        <v>1530</v>
      </c>
      <c r="D126" s="15" t="s">
        <v>1336</v>
      </c>
      <c r="E126" s="15" t="s">
        <v>1268</v>
      </c>
      <c r="F126" s="15" t="s">
        <v>1514</v>
      </c>
      <c r="G126" s="15" t="s">
        <v>1588</v>
      </c>
      <c r="H126" s="15" t="s">
        <v>485</v>
      </c>
      <c r="I126" s="15">
        <v>731165</v>
      </c>
      <c r="J126" s="15">
        <v>0</v>
      </c>
      <c r="K126" s="15">
        <v>0</v>
      </c>
    </row>
    <row r="127" spans="1:11">
      <c r="A127" s="17" t="str">
        <f>VLOOKUP(E127,Table1[[#All],[Campo]],1,0)</f>
        <v>dt_rfrnc</v>
      </c>
      <c r="B127" s="15" t="s">
        <v>1589</v>
      </c>
      <c r="C127" s="15" t="s">
        <v>1530</v>
      </c>
      <c r="D127" s="15" t="s">
        <v>1501</v>
      </c>
      <c r="E127" s="15" t="s">
        <v>1268</v>
      </c>
      <c r="F127" s="15" t="s">
        <v>1514</v>
      </c>
      <c r="G127" s="15" t="s">
        <v>1590</v>
      </c>
      <c r="H127" s="15" t="s">
        <v>485</v>
      </c>
      <c r="I127" s="15">
        <v>456960</v>
      </c>
      <c r="J127" s="15">
        <v>0</v>
      </c>
      <c r="K127" s="15">
        <v>0</v>
      </c>
    </row>
    <row r="128" spans="1:11">
      <c r="A128" s="17" t="str">
        <f>VLOOKUP(E128,Table1[[#All],[Campo]],1,0)</f>
        <v>subportfolio_id</v>
      </c>
      <c r="B128" s="15" t="s">
        <v>1591</v>
      </c>
      <c r="C128" s="15" t="s">
        <v>1592</v>
      </c>
      <c r="D128" s="15" t="s">
        <v>1593</v>
      </c>
      <c r="E128" s="15" t="s">
        <v>1357</v>
      </c>
      <c r="F128" s="15" t="s">
        <v>1594</v>
      </c>
      <c r="G128" s="15" t="s">
        <v>1595</v>
      </c>
      <c r="H128" s="15" t="s">
        <v>485</v>
      </c>
      <c r="I128" s="15">
        <v>0</v>
      </c>
      <c r="J128" s="15">
        <v>0</v>
      </c>
      <c r="K128" s="15">
        <v>0</v>
      </c>
    </row>
    <row r="129" spans="1:11">
      <c r="A129" s="17" t="str">
        <f>VLOOKUP(E129,Table1[[#All],[Campo]],1,0)</f>
        <v>dflt_stts_instrmnt</v>
      </c>
      <c r="B129" s="15" t="s">
        <v>1596</v>
      </c>
      <c r="C129" s="15" t="s">
        <v>1597</v>
      </c>
      <c r="D129" s="15" t="s">
        <v>1598</v>
      </c>
      <c r="E129" s="15" t="s">
        <v>1286</v>
      </c>
      <c r="F129" s="15" t="s">
        <v>1594</v>
      </c>
      <c r="G129" s="15" t="s">
        <v>1595</v>
      </c>
      <c r="H129" s="15" t="s">
        <v>485</v>
      </c>
      <c r="I129" s="15">
        <v>0</v>
      </c>
      <c r="J129" s="15">
        <v>0</v>
      </c>
      <c r="K129" s="15">
        <v>0</v>
      </c>
    </row>
    <row r="130" spans="1:11">
      <c r="A130" s="17" t="str">
        <f>VLOOKUP(E130,Table1[[#All],[Campo]],1,0)</f>
        <v>dflt_stts_instrmnt</v>
      </c>
      <c r="B130" s="15" t="s">
        <v>1599</v>
      </c>
      <c r="C130" s="15" t="s">
        <v>1600</v>
      </c>
      <c r="D130" s="15" t="s">
        <v>1601</v>
      </c>
      <c r="E130" s="15" t="s">
        <v>1286</v>
      </c>
      <c r="F130" s="15" t="s">
        <v>1594</v>
      </c>
      <c r="G130" s="15" t="s">
        <v>1595</v>
      </c>
      <c r="H130" s="15" t="s">
        <v>485</v>
      </c>
      <c r="I130" s="15">
        <v>0</v>
      </c>
      <c r="J130" s="15">
        <v>0</v>
      </c>
      <c r="K130" s="15">
        <v>0</v>
      </c>
    </row>
    <row r="131" spans="1:11">
      <c r="A131" s="17" t="str">
        <f>VLOOKUP(E131,Table1[[#All],[Campo]],1,0)</f>
        <v>dflt_stts_instrmnt</v>
      </c>
      <c r="B131" s="15" t="s">
        <v>1602</v>
      </c>
      <c r="C131" s="15" t="s">
        <v>1603</v>
      </c>
      <c r="D131" s="15" t="s">
        <v>1593</v>
      </c>
      <c r="E131" s="15" t="s">
        <v>1286</v>
      </c>
      <c r="F131" s="15" t="s">
        <v>1594</v>
      </c>
      <c r="G131" s="15" t="s">
        <v>1595</v>
      </c>
      <c r="H131" s="15" t="s">
        <v>485</v>
      </c>
      <c r="I131" s="15">
        <v>0</v>
      </c>
      <c r="J131" s="15">
        <v>0</v>
      </c>
      <c r="K131" s="15">
        <v>0</v>
      </c>
    </row>
    <row r="132" spans="1:11">
      <c r="A132" s="17" t="str">
        <f>VLOOKUP(E132,Table1[[#All],[Campo]],1,0)</f>
        <v>imprmnt_stts</v>
      </c>
      <c r="B132" s="15" t="s">
        <v>1604</v>
      </c>
      <c r="C132" s="15" t="s">
        <v>1605</v>
      </c>
      <c r="D132" s="15" t="s">
        <v>1593</v>
      </c>
      <c r="E132" s="15" t="s">
        <v>1364</v>
      </c>
      <c r="F132" s="15" t="s">
        <v>1594</v>
      </c>
      <c r="G132" s="15" t="s">
        <v>1595</v>
      </c>
      <c r="H132" s="15" t="s">
        <v>1288</v>
      </c>
      <c r="I132" s="15">
        <v>9703</v>
      </c>
      <c r="J132" s="15">
        <v>1</v>
      </c>
      <c r="K132" s="15">
        <v>1.03E-2</v>
      </c>
    </row>
    <row r="133" spans="1:11">
      <c r="A133" s="17" t="str">
        <f>VLOOKUP(E133,Table1[[#All],[Campo]],1,0)</f>
        <v>imprmnt_stts</v>
      </c>
      <c r="B133" s="15" t="s">
        <v>1606</v>
      </c>
      <c r="C133" s="15" t="s">
        <v>1607</v>
      </c>
      <c r="D133" s="15" t="s">
        <v>1593</v>
      </c>
      <c r="E133" s="15" t="s">
        <v>1364</v>
      </c>
      <c r="F133" s="15" t="s">
        <v>1594</v>
      </c>
      <c r="G133" s="15" t="s">
        <v>1595</v>
      </c>
      <c r="H133" s="15" t="s">
        <v>1288</v>
      </c>
      <c r="I133" s="15">
        <v>92666</v>
      </c>
      <c r="J133" s="15">
        <v>3283</v>
      </c>
      <c r="K133" s="15">
        <v>3.5428000000000002</v>
      </c>
    </row>
    <row r="134" spans="1:11">
      <c r="A134" s="17" t="str">
        <f>VLOOKUP(E134,Table1[[#All],[Campo]],1,0)</f>
        <v>imprmnt_stts</v>
      </c>
      <c r="B134" s="15" t="s">
        <v>1608</v>
      </c>
      <c r="C134" s="15" t="s">
        <v>1609</v>
      </c>
      <c r="D134" s="15" t="s">
        <v>1593</v>
      </c>
      <c r="E134" s="15" t="s">
        <v>1364</v>
      </c>
      <c r="F134" s="15" t="s">
        <v>1594</v>
      </c>
      <c r="G134" s="15" t="s">
        <v>1595</v>
      </c>
      <c r="H134" s="15" t="s">
        <v>1288</v>
      </c>
      <c r="I134" s="15">
        <v>1813562</v>
      </c>
      <c r="J134" s="15">
        <v>4684</v>
      </c>
      <c r="K134" s="15">
        <v>0.25829999999999997</v>
      </c>
    </row>
    <row r="135" spans="1:11">
      <c r="A135" s="17" t="str">
        <f>VLOOKUP(E135,Table1[[#All],[Campo]],1,0)</f>
        <v>imprmnt_stts</v>
      </c>
      <c r="B135" s="15" t="s">
        <v>1610</v>
      </c>
      <c r="C135" s="15" t="s">
        <v>1611</v>
      </c>
      <c r="D135" s="15" t="s">
        <v>1593</v>
      </c>
      <c r="E135" s="15" t="s">
        <v>1364</v>
      </c>
      <c r="F135" s="15" t="s">
        <v>1594</v>
      </c>
      <c r="G135" s="15" t="s">
        <v>1595</v>
      </c>
      <c r="H135" s="15" t="s">
        <v>485</v>
      </c>
      <c r="I135" s="15">
        <v>1905178</v>
      </c>
      <c r="J135" s="15">
        <v>0</v>
      </c>
      <c r="K135" s="15">
        <v>0</v>
      </c>
    </row>
    <row r="136" spans="1:11">
      <c r="A136" s="17" t="str">
        <f>VLOOKUP(E136,Table1[[#All],[Campo]],1,0)</f>
        <v>imprmnt_stts</v>
      </c>
      <c r="B136" s="15" t="s">
        <v>1612</v>
      </c>
      <c r="C136" s="15" t="s">
        <v>1613</v>
      </c>
      <c r="D136" s="15" t="s">
        <v>1598</v>
      </c>
      <c r="E136" s="15" t="s">
        <v>1364</v>
      </c>
      <c r="F136" s="15" t="s">
        <v>1594</v>
      </c>
      <c r="G136" s="15" t="s">
        <v>1595</v>
      </c>
      <c r="H136" s="15" t="s">
        <v>1288</v>
      </c>
      <c r="I136" s="15">
        <v>18441</v>
      </c>
      <c r="J136" s="15">
        <v>2850</v>
      </c>
      <c r="K136" s="15">
        <v>15.454700000000001</v>
      </c>
    </row>
    <row r="137" spans="1:11">
      <c r="A137" s="17" t="str">
        <f>VLOOKUP(E137,Table1[[#All],[Campo]],1,0)</f>
        <v>imprmnt_stts</v>
      </c>
      <c r="B137" s="15" t="s">
        <v>1614</v>
      </c>
      <c r="C137" s="15" t="s">
        <v>1615</v>
      </c>
      <c r="D137" s="15" t="s">
        <v>1616</v>
      </c>
      <c r="E137" s="15" t="s">
        <v>1364</v>
      </c>
      <c r="F137" s="15" t="s">
        <v>1594</v>
      </c>
      <c r="G137" s="15" t="s">
        <v>1595</v>
      </c>
      <c r="H137" s="15" t="s">
        <v>485</v>
      </c>
      <c r="I137" s="15">
        <v>1724899</v>
      </c>
      <c r="J137" s="15">
        <v>0</v>
      </c>
      <c r="K137" s="15">
        <v>0</v>
      </c>
    </row>
    <row r="138" spans="1:11">
      <c r="A138" s="17" t="str">
        <f>VLOOKUP(E138,Table1[[#All],[Campo]],1,0)</f>
        <v>imprmnt_stts</v>
      </c>
      <c r="B138" s="15" t="s">
        <v>1617</v>
      </c>
      <c r="C138" s="15" t="s">
        <v>1618</v>
      </c>
      <c r="D138" s="15" t="s">
        <v>1616</v>
      </c>
      <c r="E138" s="15" t="s">
        <v>1364</v>
      </c>
      <c r="F138" s="15" t="s">
        <v>1594</v>
      </c>
      <c r="G138" s="15" t="s">
        <v>1595</v>
      </c>
      <c r="H138" s="15" t="s">
        <v>485</v>
      </c>
      <c r="I138" s="15">
        <v>1472964</v>
      </c>
      <c r="J138" s="15">
        <v>0</v>
      </c>
      <c r="K138" s="15">
        <v>0</v>
      </c>
    </row>
    <row r="139" spans="1:11">
      <c r="A139" s="17" t="str">
        <f>VLOOKUP(E139,Table1[[#All],[Campo]],1,0)</f>
        <v>imprmnt_stts</v>
      </c>
      <c r="B139" s="15" t="s">
        <v>1619</v>
      </c>
      <c r="C139" s="15" t="s">
        <v>1620</v>
      </c>
      <c r="D139" s="15" t="s">
        <v>1616</v>
      </c>
      <c r="E139" s="15" t="s">
        <v>1364</v>
      </c>
      <c r="F139" s="15" t="s">
        <v>1594</v>
      </c>
      <c r="G139" s="15" t="s">
        <v>1595</v>
      </c>
      <c r="H139" s="15" t="s">
        <v>485</v>
      </c>
      <c r="I139" s="15">
        <v>432214</v>
      </c>
      <c r="J139" s="15">
        <v>0</v>
      </c>
      <c r="K139" s="15">
        <v>0</v>
      </c>
    </row>
    <row r="140" spans="1:11">
      <c r="A140" s="17" t="str">
        <f>VLOOKUP(E140,Table1[[#All],[Campo]],1,0)</f>
        <v>imprmnt_stts</v>
      </c>
      <c r="B140" s="15" t="s">
        <v>1621</v>
      </c>
      <c r="C140" s="15" t="s">
        <v>1622</v>
      </c>
      <c r="D140" s="15" t="s">
        <v>1616</v>
      </c>
      <c r="E140" s="15" t="s">
        <v>1364</v>
      </c>
      <c r="F140" s="15" t="s">
        <v>1594</v>
      </c>
      <c r="G140" s="15" t="s">
        <v>1595</v>
      </c>
      <c r="H140" s="15" t="s">
        <v>485</v>
      </c>
      <c r="I140" s="15">
        <v>97233</v>
      </c>
      <c r="J140" s="15">
        <v>0</v>
      </c>
      <c r="K140" s="15">
        <v>0</v>
      </c>
    </row>
    <row r="141" spans="1:11">
      <c r="A141" s="17" t="str">
        <f>VLOOKUP(E141,Table1[[#All],[Campo]],1,0)</f>
        <v>prfrmng_stts</v>
      </c>
      <c r="B141" s="15" t="s">
        <v>1623</v>
      </c>
      <c r="C141" s="15" t="s">
        <v>1624</v>
      </c>
      <c r="D141" s="15" t="s">
        <v>1593</v>
      </c>
      <c r="E141" s="15" t="s">
        <v>1291</v>
      </c>
      <c r="F141" s="15" t="s">
        <v>1594</v>
      </c>
      <c r="G141" s="15" t="s">
        <v>1595</v>
      </c>
      <c r="H141" s="15" t="s">
        <v>1288</v>
      </c>
      <c r="I141" s="15">
        <v>92666</v>
      </c>
      <c r="J141" s="15">
        <v>3283</v>
      </c>
      <c r="K141" s="15">
        <v>3.5428000000000002</v>
      </c>
    </row>
    <row r="142" spans="1:11">
      <c r="A142" s="17" t="str">
        <f>VLOOKUP(E142,Table1[[#All],[Campo]],1,0)</f>
        <v>prfrmng_stts</v>
      </c>
      <c r="B142" s="15" t="s">
        <v>1625</v>
      </c>
      <c r="C142" s="15" t="s">
        <v>1626</v>
      </c>
      <c r="D142" s="15" t="s">
        <v>1593</v>
      </c>
      <c r="E142" s="15" t="s">
        <v>1291</v>
      </c>
      <c r="F142" s="15" t="s">
        <v>1594</v>
      </c>
      <c r="G142" s="15" t="s">
        <v>1595</v>
      </c>
      <c r="H142" s="15" t="s">
        <v>485</v>
      </c>
      <c r="I142" s="15">
        <v>114216</v>
      </c>
      <c r="J142" s="15">
        <v>0</v>
      </c>
      <c r="K142" s="15">
        <v>0</v>
      </c>
    </row>
    <row r="143" spans="1:11">
      <c r="A143" s="17" t="str">
        <f>VLOOKUP(E143,Table1[[#All],[Campo]],1,0)</f>
        <v>prfrmng_stts</v>
      </c>
      <c r="B143" s="15" t="s">
        <v>1627</v>
      </c>
      <c r="C143" s="15" t="s">
        <v>1628</v>
      </c>
      <c r="D143" s="15" t="s">
        <v>1593</v>
      </c>
      <c r="E143" s="15" t="s">
        <v>1291</v>
      </c>
      <c r="F143" s="15" t="s">
        <v>1594</v>
      </c>
      <c r="G143" s="15" t="s">
        <v>1595</v>
      </c>
      <c r="H143" s="15" t="s">
        <v>485</v>
      </c>
      <c r="I143" s="15">
        <v>1408741</v>
      </c>
      <c r="J143" s="15">
        <v>0</v>
      </c>
      <c r="K143" s="15">
        <v>0</v>
      </c>
    </row>
    <row r="144" spans="1:11">
      <c r="A144" s="17" t="str">
        <f>VLOOKUP(E144,Table1[[#All],[Campo]],1,0)</f>
        <v>prfrmng_stts</v>
      </c>
      <c r="B144" s="15" t="s">
        <v>1629</v>
      </c>
      <c r="C144" s="15" t="s">
        <v>1630</v>
      </c>
      <c r="D144" s="15" t="s">
        <v>1601</v>
      </c>
      <c r="E144" s="15" t="s">
        <v>1291</v>
      </c>
      <c r="F144" s="15" t="s">
        <v>1594</v>
      </c>
      <c r="G144" s="15" t="s">
        <v>1595</v>
      </c>
      <c r="H144" s="15" t="s">
        <v>485</v>
      </c>
      <c r="I144" s="15">
        <v>0</v>
      </c>
      <c r="J144" s="15">
        <v>0</v>
      </c>
      <c r="K144" s="15">
        <v>0</v>
      </c>
    </row>
    <row r="145" spans="1:11">
      <c r="A145" s="17" t="str">
        <f>VLOOKUP(E145,Table1[[#All],[Campo]],1,0)</f>
        <v>prfrmng_stts</v>
      </c>
      <c r="B145" s="15" t="s">
        <v>1631</v>
      </c>
      <c r="C145" s="15" t="s">
        <v>1632</v>
      </c>
      <c r="D145" s="15" t="s">
        <v>1616</v>
      </c>
      <c r="E145" s="15" t="s">
        <v>1291</v>
      </c>
      <c r="F145" s="15" t="s">
        <v>1594</v>
      </c>
      <c r="G145" s="15" t="s">
        <v>1595</v>
      </c>
      <c r="H145" s="15" t="s">
        <v>485</v>
      </c>
      <c r="I145" s="15">
        <v>1905178</v>
      </c>
      <c r="J145" s="15">
        <v>0</v>
      </c>
      <c r="K145" s="15">
        <v>0</v>
      </c>
    </row>
    <row r="146" spans="1:11">
      <c r="A146" s="17" t="str">
        <f>VLOOKUP(E146,Table1[[#All],[Campo]],1,0)</f>
        <v>prfrmng_stts</v>
      </c>
      <c r="B146" s="15" t="s">
        <v>1633</v>
      </c>
      <c r="C146" s="15" t="s">
        <v>1634</v>
      </c>
      <c r="D146" s="15" t="s">
        <v>1616</v>
      </c>
      <c r="E146" s="15" t="s">
        <v>1291</v>
      </c>
      <c r="F146" s="15" t="s">
        <v>1594</v>
      </c>
      <c r="G146" s="15" t="s">
        <v>1595</v>
      </c>
      <c r="H146" s="15" t="s">
        <v>485</v>
      </c>
      <c r="I146" s="15">
        <v>97233</v>
      </c>
      <c r="J146" s="15">
        <v>0</v>
      </c>
      <c r="K146" s="15">
        <v>0</v>
      </c>
    </row>
    <row r="147" spans="1:11">
      <c r="A147" s="17" t="str">
        <f>VLOOKUP(E147,Table1[[#All],[Campo]],1,0)</f>
        <v>prfrmng_stts</v>
      </c>
      <c r="B147" s="15" t="s">
        <v>1635</v>
      </c>
      <c r="C147" s="15" t="s">
        <v>1636</v>
      </c>
      <c r="D147" s="15" t="s">
        <v>1601</v>
      </c>
      <c r="E147" s="15" t="s">
        <v>1291</v>
      </c>
      <c r="F147" s="15" t="s">
        <v>1594</v>
      </c>
      <c r="G147" s="15" t="s">
        <v>1595</v>
      </c>
      <c r="H147" s="15" t="s">
        <v>485</v>
      </c>
      <c r="I147" s="15">
        <v>0</v>
      </c>
      <c r="J147" s="15">
        <v>0</v>
      </c>
      <c r="K147" s="15">
        <v>0</v>
      </c>
    </row>
    <row r="148" spans="1:11">
      <c r="A148" s="17" t="str">
        <f>VLOOKUP(E148,Table1[[#All],[Campo]],1,0)</f>
        <v>prfrmng_stts</v>
      </c>
      <c r="B148" s="15" t="s">
        <v>1637</v>
      </c>
      <c r="C148" s="15" t="s">
        <v>1638</v>
      </c>
      <c r="D148" s="15" t="s">
        <v>1593</v>
      </c>
      <c r="E148" s="15" t="s">
        <v>1291</v>
      </c>
      <c r="F148" s="15" t="s">
        <v>1594</v>
      </c>
      <c r="G148" s="15" t="s">
        <v>1595</v>
      </c>
      <c r="H148" s="15" t="s">
        <v>485</v>
      </c>
      <c r="I148" s="15">
        <v>97233</v>
      </c>
      <c r="J148" s="15">
        <v>0</v>
      </c>
      <c r="K148" s="15">
        <v>0</v>
      </c>
    </row>
    <row r="149" spans="1:11">
      <c r="A149" s="17" t="str">
        <f>VLOOKUP(E149,Table1[[#All],[Campo]],1,0)</f>
        <v>prfrmng_stts</v>
      </c>
      <c r="B149" s="15" t="s">
        <v>1639</v>
      </c>
      <c r="C149" s="15" t="s">
        <v>1640</v>
      </c>
      <c r="D149" s="15" t="s">
        <v>1598</v>
      </c>
      <c r="E149" s="15" t="s">
        <v>1291</v>
      </c>
      <c r="F149" s="15" t="s">
        <v>1594</v>
      </c>
      <c r="G149" s="15" t="s">
        <v>1595</v>
      </c>
      <c r="H149" s="15" t="s">
        <v>1288</v>
      </c>
      <c r="I149" s="15">
        <v>113163</v>
      </c>
      <c r="J149" s="15">
        <v>15043</v>
      </c>
      <c r="K149" s="15">
        <v>13.293200000000001</v>
      </c>
    </row>
    <row r="150" spans="1:11">
      <c r="A150" s="17" t="str">
        <f>VLOOKUP(E150,Table1[[#All],[Campo]],1,0)</f>
        <v>grss_crryng_amnt_instrmnt</v>
      </c>
      <c r="B150" s="15" t="s">
        <v>1641</v>
      </c>
      <c r="C150" s="15" t="s">
        <v>1642</v>
      </c>
      <c r="D150" s="15" t="s">
        <v>1593</v>
      </c>
      <c r="E150" s="15" t="s">
        <v>1372</v>
      </c>
      <c r="F150" s="15" t="s">
        <v>1594</v>
      </c>
      <c r="G150" s="15" t="s">
        <v>1595</v>
      </c>
      <c r="H150" s="15" t="s">
        <v>485</v>
      </c>
      <c r="I150" s="15">
        <v>1724899</v>
      </c>
      <c r="J150" s="15">
        <v>0</v>
      </c>
      <c r="K150" s="15">
        <v>0</v>
      </c>
    </row>
    <row r="151" spans="1:11">
      <c r="A151" s="17" t="str">
        <f>VLOOKUP(E151,Table1[[#All],[Campo]],1,0)</f>
        <v>grss_crryng_amnt_instrmnt</v>
      </c>
      <c r="B151" s="15" t="s">
        <v>1643</v>
      </c>
      <c r="C151" s="15" t="s">
        <v>1644</v>
      </c>
      <c r="D151" s="15" t="s">
        <v>1593</v>
      </c>
      <c r="E151" s="15" t="s">
        <v>1372</v>
      </c>
      <c r="F151" s="15" t="s">
        <v>1594</v>
      </c>
      <c r="G151" s="15" t="s">
        <v>1595</v>
      </c>
      <c r="H151" s="15" t="s">
        <v>485</v>
      </c>
      <c r="I151" s="15">
        <v>0</v>
      </c>
      <c r="J151" s="15">
        <v>0</v>
      </c>
      <c r="K151" s="15">
        <v>0</v>
      </c>
    </row>
    <row r="152" spans="1:11">
      <c r="A152" s="17" t="str">
        <f>VLOOKUP(E152,Table1[[#All],[Campo]],1,0)</f>
        <v>grss_crryng_amnt_instrmnt</v>
      </c>
      <c r="B152" s="15" t="s">
        <v>1645</v>
      </c>
      <c r="C152" s="15" t="s">
        <v>1646</v>
      </c>
      <c r="D152" s="15" t="s">
        <v>1593</v>
      </c>
      <c r="E152" s="15" t="s">
        <v>1372</v>
      </c>
      <c r="F152" s="15" t="s">
        <v>1594</v>
      </c>
      <c r="G152" s="15" t="s">
        <v>1595</v>
      </c>
      <c r="H152" s="15" t="s">
        <v>485</v>
      </c>
      <c r="I152" s="15">
        <v>277512</v>
      </c>
      <c r="J152" s="15">
        <v>0</v>
      </c>
      <c r="K152" s="15">
        <v>0</v>
      </c>
    </row>
    <row r="153" spans="1:11">
      <c r="A153" s="17" t="str">
        <f>VLOOKUP(E153,Table1[[#All],[Campo]],1,0)</f>
        <v>accmltd_chngs_fv_cr_instrmnt</v>
      </c>
      <c r="B153" s="15" t="s">
        <v>1647</v>
      </c>
      <c r="C153" s="15" t="s">
        <v>1648</v>
      </c>
      <c r="D153" s="15" t="s">
        <v>1593</v>
      </c>
      <c r="E153" s="15" t="s">
        <v>1376</v>
      </c>
      <c r="F153" s="15" t="s">
        <v>1594</v>
      </c>
      <c r="G153" s="15" t="s">
        <v>1595</v>
      </c>
      <c r="H153" s="15" t="s">
        <v>485</v>
      </c>
      <c r="I153" s="15">
        <v>305642</v>
      </c>
      <c r="J153" s="15">
        <v>0</v>
      </c>
      <c r="K153" s="15">
        <v>0</v>
      </c>
    </row>
    <row r="154" spans="1:11">
      <c r="A154" s="17" t="str">
        <f>VLOOKUP(E154,Table1[[#All],[Campo]],1,0)</f>
        <v>accmltd_chngs_fv_cr_instrmnt</v>
      </c>
      <c r="B154" s="15" t="s">
        <v>1649</v>
      </c>
      <c r="C154" s="15" t="s">
        <v>1650</v>
      </c>
      <c r="D154" s="15" t="s">
        <v>1593</v>
      </c>
      <c r="E154" s="15" t="s">
        <v>1376</v>
      </c>
      <c r="F154" s="15" t="s">
        <v>1594</v>
      </c>
      <c r="G154" s="15" t="s">
        <v>1595</v>
      </c>
      <c r="H154" s="15" t="s">
        <v>485</v>
      </c>
      <c r="I154" s="15">
        <v>0</v>
      </c>
      <c r="J154" s="15">
        <v>0</v>
      </c>
      <c r="K154" s="15">
        <v>0</v>
      </c>
    </row>
    <row r="155" spans="1:11">
      <c r="A155" s="17" t="str">
        <f>VLOOKUP(E155,Table1[[#All],[Campo]],1,0)</f>
        <v>accntng_clssfctn</v>
      </c>
      <c r="B155" s="15" t="s">
        <v>1651</v>
      </c>
      <c r="C155" s="15" t="s">
        <v>1652</v>
      </c>
      <c r="D155" s="15" t="s">
        <v>1593</v>
      </c>
      <c r="E155" s="15" t="s">
        <v>1379</v>
      </c>
      <c r="F155" s="15" t="s">
        <v>1594</v>
      </c>
      <c r="G155" s="15" t="s">
        <v>1595</v>
      </c>
      <c r="H155" s="15" t="s">
        <v>485</v>
      </c>
      <c r="I155" s="15">
        <v>1724797</v>
      </c>
      <c r="J155" s="15">
        <v>0</v>
      </c>
      <c r="K155" s="15">
        <v>0</v>
      </c>
    </row>
    <row r="156" spans="1:11">
      <c r="A156" s="17" t="str">
        <f>VLOOKUP(E156,Table1[[#All],[Campo]],1,0)</f>
        <v>accntng_clssfctn</v>
      </c>
      <c r="B156" s="15" t="s">
        <v>1653</v>
      </c>
      <c r="C156" s="15" t="s">
        <v>1654</v>
      </c>
      <c r="D156" s="15" t="s">
        <v>1593</v>
      </c>
      <c r="E156" s="15" t="s">
        <v>1379</v>
      </c>
      <c r="F156" s="15" t="s">
        <v>1594</v>
      </c>
      <c r="G156" s="15" t="s">
        <v>1595</v>
      </c>
      <c r="H156" s="15" t="s">
        <v>485</v>
      </c>
      <c r="I156" s="15">
        <v>93</v>
      </c>
      <c r="J156" s="15">
        <v>0</v>
      </c>
      <c r="K156" s="15">
        <v>0</v>
      </c>
    </row>
    <row r="157" spans="1:11">
      <c r="A157" s="17" t="str">
        <f>VLOOKUP(E157,Table1[[#All],[Campo]],1,0)</f>
        <v>accntng_clssfctn</v>
      </c>
      <c r="B157" s="15" t="s">
        <v>1655</v>
      </c>
      <c r="C157" s="15" t="s">
        <v>1656</v>
      </c>
      <c r="D157" s="15" t="s">
        <v>1593</v>
      </c>
      <c r="E157" s="15" t="s">
        <v>1379</v>
      </c>
      <c r="F157" s="15" t="s">
        <v>1594</v>
      </c>
      <c r="G157" s="15" t="s">
        <v>1595</v>
      </c>
      <c r="H157" s="15" t="s">
        <v>485</v>
      </c>
      <c r="I157" s="15">
        <v>0</v>
      </c>
      <c r="J157" s="15">
        <v>0</v>
      </c>
      <c r="K157" s="15">
        <v>0</v>
      </c>
    </row>
    <row r="158" spans="1:11">
      <c r="A158" s="17" t="str">
        <f>VLOOKUP(E158,Table1[[#All],[Campo]],1,0)</f>
        <v>accntng_clssfctn</v>
      </c>
      <c r="B158" s="15" t="s">
        <v>1657</v>
      </c>
      <c r="C158" s="15" t="s">
        <v>1658</v>
      </c>
      <c r="D158" s="15" t="s">
        <v>1593</v>
      </c>
      <c r="E158" s="15" t="s">
        <v>1379</v>
      </c>
      <c r="F158" s="15" t="s">
        <v>1594</v>
      </c>
      <c r="G158" s="15" t="s">
        <v>1595</v>
      </c>
      <c r="H158" s="15" t="s">
        <v>485</v>
      </c>
      <c r="I158" s="15">
        <v>9</v>
      </c>
      <c r="J158" s="15">
        <v>0</v>
      </c>
      <c r="K158" s="15">
        <v>0</v>
      </c>
    </row>
    <row r="159" spans="1:11">
      <c r="A159" s="17" t="str">
        <f>VLOOKUP(E159,Table1[[#All],[Campo]],1,0)</f>
        <v>off_blnc_sht_amnt_instrmnt</v>
      </c>
      <c r="B159" s="15" t="s">
        <v>1659</v>
      </c>
      <c r="C159" s="15" t="s">
        <v>1660</v>
      </c>
      <c r="D159" s="15" t="s">
        <v>1593</v>
      </c>
      <c r="E159" s="15" t="s">
        <v>1382</v>
      </c>
      <c r="F159" s="15" t="s">
        <v>1594</v>
      </c>
      <c r="G159" s="15" t="s">
        <v>1595</v>
      </c>
      <c r="H159" s="15" t="s">
        <v>1288</v>
      </c>
      <c r="I159" s="15">
        <v>2002318</v>
      </c>
      <c r="J159" s="15">
        <v>317</v>
      </c>
      <c r="K159" s="15">
        <v>1.5800000000000002E-2</v>
      </c>
    </row>
    <row r="160" spans="1:11">
      <c r="A160" s="17" t="str">
        <f>VLOOKUP(E160,Table1[[#All],[Campo]],1,0)</f>
        <v>off_blnc_sht_amnt_instrmnt</v>
      </c>
      <c r="B160" s="15" t="s">
        <v>1661</v>
      </c>
      <c r="C160" s="15" t="s">
        <v>1662</v>
      </c>
      <c r="D160" s="15" t="s">
        <v>1593</v>
      </c>
      <c r="E160" s="15" t="s">
        <v>1382</v>
      </c>
      <c r="F160" s="15" t="s">
        <v>1594</v>
      </c>
      <c r="G160" s="15" t="s">
        <v>1595</v>
      </c>
      <c r="H160" s="15" t="s">
        <v>485</v>
      </c>
      <c r="I160" s="15">
        <v>1646037</v>
      </c>
      <c r="J160" s="15">
        <v>0</v>
      </c>
      <c r="K160" s="15">
        <v>0</v>
      </c>
    </row>
    <row r="161" spans="1:11">
      <c r="A161" s="17" t="str">
        <f>VLOOKUP(E161,Table1[[#All],[Campo]],1,0)</f>
        <v>off_blnc_sht_amnt_instrmnt</v>
      </c>
      <c r="B161" s="15" t="s">
        <v>1663</v>
      </c>
      <c r="C161" s="15" t="s">
        <v>1664</v>
      </c>
      <c r="D161" s="15" t="s">
        <v>1593</v>
      </c>
      <c r="E161" s="15" t="s">
        <v>1382</v>
      </c>
      <c r="F161" s="15" t="s">
        <v>1594</v>
      </c>
      <c r="G161" s="15" t="s">
        <v>1595</v>
      </c>
      <c r="H161" s="15" t="s">
        <v>485</v>
      </c>
      <c r="I161" s="15">
        <v>253</v>
      </c>
      <c r="J161" s="15">
        <v>0</v>
      </c>
      <c r="K161" s="15">
        <v>0</v>
      </c>
    </row>
    <row r="162" spans="1:11">
      <c r="A162" s="17" t="str">
        <f>VLOOKUP(E162,Table1[[#All],[Campo]],1,0)</f>
        <v>off_blnc_sht_amnt_instrmnt</v>
      </c>
      <c r="B162" s="15" t="s">
        <v>1665</v>
      </c>
      <c r="C162" s="15" t="s">
        <v>1666</v>
      </c>
      <c r="D162" s="15" t="s">
        <v>1593</v>
      </c>
      <c r="E162" s="15" t="s">
        <v>1382</v>
      </c>
      <c r="F162" s="15" t="s">
        <v>1594</v>
      </c>
      <c r="G162" s="15" t="s">
        <v>1595</v>
      </c>
      <c r="H162" s="15" t="s">
        <v>485</v>
      </c>
      <c r="I162" s="15">
        <v>3</v>
      </c>
      <c r="J162" s="15">
        <v>0</v>
      </c>
      <c r="K162" s="15">
        <v>0</v>
      </c>
    </row>
    <row r="163" spans="1:11">
      <c r="A163" s="17" t="str">
        <f>VLOOKUP(E163,Table1[[#All],[Campo]],1,0)</f>
        <v>prvsns_off_blnc_sht</v>
      </c>
      <c r="B163" s="15" t="s">
        <v>1667</v>
      </c>
      <c r="C163" s="15" t="s">
        <v>1668</v>
      </c>
      <c r="D163" s="15" t="s">
        <v>1593</v>
      </c>
      <c r="E163" s="15" t="s">
        <v>1385</v>
      </c>
      <c r="F163" s="15" t="s">
        <v>1594</v>
      </c>
      <c r="G163" s="15" t="s">
        <v>1595</v>
      </c>
      <c r="H163" s="15" t="s">
        <v>485</v>
      </c>
      <c r="I163" s="15">
        <v>0</v>
      </c>
      <c r="J163" s="15">
        <v>0</v>
      </c>
      <c r="K163" s="15">
        <v>0</v>
      </c>
    </row>
    <row r="164" spans="1:11">
      <c r="A164" s="17" t="str">
        <f>VLOOKUP(E164,Table1[[#All],[Campo]],1,0)</f>
        <v>prvsns_off_blnc_sht</v>
      </c>
      <c r="B164" s="15" t="s">
        <v>1669</v>
      </c>
      <c r="C164" s="15" t="s">
        <v>1670</v>
      </c>
      <c r="D164" s="15" t="s">
        <v>1593</v>
      </c>
      <c r="E164" s="15" t="s">
        <v>1385</v>
      </c>
      <c r="F164" s="15" t="s">
        <v>1594</v>
      </c>
      <c r="G164" s="15" t="s">
        <v>1595</v>
      </c>
      <c r="H164" s="15" t="s">
        <v>485</v>
      </c>
      <c r="I164" s="15">
        <v>3</v>
      </c>
      <c r="J164" s="15">
        <v>0</v>
      </c>
      <c r="K164" s="15">
        <v>0</v>
      </c>
    </row>
    <row r="165" spans="1:11">
      <c r="A165" s="17" t="str">
        <f>VLOOKUP(E165,Table1[[#All],[Campo]],1,0)</f>
        <v>accmltd_imprmnt_instrmnt</v>
      </c>
      <c r="B165" s="15" t="s">
        <v>1671</v>
      </c>
      <c r="C165" s="15" t="s">
        <v>1672</v>
      </c>
      <c r="D165" s="15" t="s">
        <v>1593</v>
      </c>
      <c r="E165" s="15" t="s">
        <v>1391</v>
      </c>
      <c r="F165" s="15" t="s">
        <v>1594</v>
      </c>
      <c r="G165" s="15" t="s">
        <v>1595</v>
      </c>
      <c r="H165" s="15" t="s">
        <v>485</v>
      </c>
      <c r="I165" s="15">
        <v>0</v>
      </c>
      <c r="J165" s="15">
        <v>0</v>
      </c>
      <c r="K165" s="15">
        <v>0</v>
      </c>
    </row>
    <row r="166" spans="1:11">
      <c r="A166" s="17" t="str">
        <f>VLOOKUP(E166,Table1[[#All],[Campo]],1,0)</f>
        <v>accmltd_imprmnt_instrmnt</v>
      </c>
      <c r="B166" s="15" t="s">
        <v>1673</v>
      </c>
      <c r="C166" s="15" t="s">
        <v>1674</v>
      </c>
      <c r="D166" s="15" t="s">
        <v>1593</v>
      </c>
      <c r="E166" s="15" t="s">
        <v>1391</v>
      </c>
      <c r="F166" s="15" t="s">
        <v>1594</v>
      </c>
      <c r="G166" s="15" t="s">
        <v>1595</v>
      </c>
      <c r="H166" s="15" t="s">
        <v>485</v>
      </c>
      <c r="I166" s="15">
        <v>277512</v>
      </c>
      <c r="J166" s="15">
        <v>0</v>
      </c>
      <c r="K166" s="15">
        <v>0</v>
      </c>
    </row>
    <row r="167" spans="1:11">
      <c r="A167" s="17" t="str">
        <f>VLOOKUP(E167,Table1[[#All],[Campo]],1,0)</f>
        <v>accmltd_imprmnt_instrmnt</v>
      </c>
      <c r="B167" s="15" t="s">
        <v>1675</v>
      </c>
      <c r="C167" s="15" t="s">
        <v>1676</v>
      </c>
      <c r="D167" s="15" t="s">
        <v>1593</v>
      </c>
      <c r="E167" s="15" t="s">
        <v>1391</v>
      </c>
      <c r="F167" s="15" t="s">
        <v>1594</v>
      </c>
      <c r="G167" s="15" t="s">
        <v>1595</v>
      </c>
      <c r="H167" s="15" t="s">
        <v>485</v>
      </c>
      <c r="I167" s="15">
        <v>3</v>
      </c>
      <c r="J167" s="15">
        <v>0</v>
      </c>
      <c r="K167" s="15">
        <v>0</v>
      </c>
    </row>
    <row r="168" spans="1:11">
      <c r="A168" s="17" t="str">
        <f>VLOOKUP(E168,Table1[[#All],[Campo]],1,0)</f>
        <v>sstnbl_indctr</v>
      </c>
      <c r="B168" s="15" t="s">
        <v>1677</v>
      </c>
      <c r="C168" s="15" t="s">
        <v>1678</v>
      </c>
      <c r="D168" s="15" t="s">
        <v>1593</v>
      </c>
      <c r="E168" s="15" t="s">
        <v>1297</v>
      </c>
      <c r="F168" s="15" t="s">
        <v>1594</v>
      </c>
      <c r="G168" s="15" t="s">
        <v>1595</v>
      </c>
      <c r="H168" s="15" t="s">
        <v>485</v>
      </c>
      <c r="I168" s="15">
        <v>0</v>
      </c>
      <c r="J168" s="15">
        <v>0</v>
      </c>
      <c r="K168" s="15">
        <v>0</v>
      </c>
    </row>
    <row r="169" spans="1:11">
      <c r="A169" s="17" t="str">
        <f>VLOOKUP(E169,Table1[[#All],[Campo]],1,0)</f>
        <v>sstnbl_indctr</v>
      </c>
      <c r="B169" s="15" t="s">
        <v>1679</v>
      </c>
      <c r="C169" s="15" t="s">
        <v>1680</v>
      </c>
      <c r="D169" s="15" t="s">
        <v>1593</v>
      </c>
      <c r="E169" s="15" t="s">
        <v>1297</v>
      </c>
      <c r="F169" s="15" t="s">
        <v>1594</v>
      </c>
      <c r="G169" s="15" t="s">
        <v>1595</v>
      </c>
      <c r="H169" s="15" t="s">
        <v>485</v>
      </c>
      <c r="I169" s="15">
        <v>0</v>
      </c>
      <c r="J169" s="15">
        <v>0</v>
      </c>
      <c r="K169" s="15">
        <v>0</v>
      </c>
    </row>
    <row r="170" spans="1:11">
      <c r="A170" s="17" t="str">
        <f>VLOOKUP(E170,Table1[[#All],[Campo]],1,0)</f>
        <v>sstnbl_ctgry</v>
      </c>
      <c r="B170" s="15" t="s">
        <v>1681</v>
      </c>
      <c r="C170" s="15" t="s">
        <v>1682</v>
      </c>
      <c r="D170" s="15" t="s">
        <v>1598</v>
      </c>
      <c r="E170" s="15" t="s">
        <v>1301</v>
      </c>
      <c r="F170" s="15" t="s">
        <v>1594</v>
      </c>
      <c r="G170" s="15" t="s">
        <v>1595</v>
      </c>
      <c r="H170" s="15" t="s">
        <v>485</v>
      </c>
      <c r="I170" s="15">
        <v>0</v>
      </c>
      <c r="J170" s="15">
        <v>0</v>
      </c>
      <c r="K170" s="15">
        <v>0</v>
      </c>
    </row>
    <row r="171" spans="1:11">
      <c r="A171" s="17" t="str">
        <f>VLOOKUP(E171,Table1[[#All],[Campo]],1,0)</f>
        <v>sstnbl_ctgry</v>
      </c>
      <c r="B171" s="15" t="s">
        <v>1683</v>
      </c>
      <c r="C171" s="15" t="s">
        <v>1684</v>
      </c>
      <c r="D171" s="15" t="s">
        <v>1598</v>
      </c>
      <c r="E171" s="15" t="s">
        <v>1301</v>
      </c>
      <c r="F171" s="15" t="s">
        <v>1594</v>
      </c>
      <c r="G171" s="15" t="s">
        <v>1595</v>
      </c>
      <c r="H171" s="15" t="s">
        <v>485</v>
      </c>
      <c r="I171" s="15">
        <v>0</v>
      </c>
      <c r="J171" s="15">
        <v>0</v>
      </c>
      <c r="K171" s="15">
        <v>0</v>
      </c>
    </row>
    <row r="172" spans="1:11">
      <c r="A172" s="17" t="str">
        <f>VLOOKUP(E172,Table1[[#All],[Campo]],1,0)</f>
        <v>sstnbl_ctgry</v>
      </c>
      <c r="B172" s="15" t="s">
        <v>1685</v>
      </c>
      <c r="C172" s="15" t="s">
        <v>1686</v>
      </c>
      <c r="D172" s="15" t="s">
        <v>1598</v>
      </c>
      <c r="E172" s="15" t="s">
        <v>1301</v>
      </c>
      <c r="F172" s="15" t="s">
        <v>1594</v>
      </c>
      <c r="G172" s="15" t="s">
        <v>1595</v>
      </c>
      <c r="H172" s="15" t="s">
        <v>485</v>
      </c>
      <c r="I172" s="15">
        <v>0</v>
      </c>
      <c r="J172" s="15">
        <v>0</v>
      </c>
      <c r="K172" s="15">
        <v>0</v>
      </c>
    </row>
    <row r="173" spans="1:11">
      <c r="A173" s="17" t="str">
        <f>VLOOKUP(E173,Table1[[#All],[Campo]],1,0)</f>
        <v>sstnbl_ctgry</v>
      </c>
      <c r="B173" s="15" t="s">
        <v>1687</v>
      </c>
      <c r="C173" s="15" t="s">
        <v>1688</v>
      </c>
      <c r="D173" s="15" t="s">
        <v>1598</v>
      </c>
      <c r="E173" s="15" t="s">
        <v>1301</v>
      </c>
      <c r="F173" s="15" t="s">
        <v>1594</v>
      </c>
      <c r="G173" s="15" t="s">
        <v>1595</v>
      </c>
      <c r="H173" s="15" t="s">
        <v>485</v>
      </c>
      <c r="I173" s="15">
        <v>0</v>
      </c>
      <c r="J173" s="15">
        <v>0</v>
      </c>
      <c r="K173" s="15">
        <v>0</v>
      </c>
    </row>
    <row r="174" spans="1:11">
      <c r="A174" s="17" t="str">
        <f>VLOOKUP(E174,Table1[[#All],[Campo]],1,0)</f>
        <v>sstnbl_ctgry</v>
      </c>
      <c r="B174" s="15" t="s">
        <v>1689</v>
      </c>
      <c r="C174" s="15" t="s">
        <v>1690</v>
      </c>
      <c r="D174" s="15" t="s">
        <v>1598</v>
      </c>
      <c r="E174" s="15" t="s">
        <v>1301</v>
      </c>
      <c r="F174" s="15" t="s">
        <v>1594</v>
      </c>
      <c r="G174" s="15" t="s">
        <v>1595</v>
      </c>
      <c r="H174" s="15" t="s">
        <v>485</v>
      </c>
      <c r="I174" s="15">
        <v>0</v>
      </c>
      <c r="J174" s="15">
        <v>0</v>
      </c>
      <c r="K174" s="15">
        <v>0</v>
      </c>
    </row>
    <row r="175" spans="1:11">
      <c r="A175" s="17" t="str">
        <f>VLOOKUP(E175,Table1[[#All],[Campo]],1,0)</f>
        <v>sstnbl_ctgry</v>
      </c>
      <c r="B175" s="15" t="s">
        <v>1691</v>
      </c>
      <c r="C175" s="15" t="s">
        <v>1692</v>
      </c>
      <c r="D175" s="15" t="s">
        <v>1598</v>
      </c>
      <c r="E175" s="15" t="s">
        <v>1301</v>
      </c>
      <c r="F175" s="15" t="s">
        <v>1594</v>
      </c>
      <c r="G175" s="15" t="s">
        <v>1595</v>
      </c>
      <c r="H175" s="15" t="s">
        <v>485</v>
      </c>
      <c r="I175" s="15">
        <v>0</v>
      </c>
      <c r="J175" s="15">
        <v>0</v>
      </c>
      <c r="K175" s="15">
        <v>0</v>
      </c>
    </row>
    <row r="176" spans="1:11">
      <c r="A176" s="17" t="str">
        <f>VLOOKUP(E176,Table1[[#All],[Campo]],1,0)</f>
        <v>sstnbl_ctgry</v>
      </c>
      <c r="B176" s="15" t="s">
        <v>1693</v>
      </c>
      <c r="C176" s="15" t="s">
        <v>1694</v>
      </c>
      <c r="D176" s="15" t="s">
        <v>1598</v>
      </c>
      <c r="E176" s="15" t="s">
        <v>1301</v>
      </c>
      <c r="F176" s="15" t="s">
        <v>1594</v>
      </c>
      <c r="G176" s="15" t="s">
        <v>1595</v>
      </c>
      <c r="H176" s="15" t="s">
        <v>485</v>
      </c>
      <c r="I176" s="15">
        <v>0</v>
      </c>
      <c r="J176" s="15">
        <v>0</v>
      </c>
      <c r="K176" s="15">
        <v>0</v>
      </c>
    </row>
    <row r="177" spans="1:11">
      <c r="A177" s="17" t="str">
        <f>VLOOKUP(E177,Table1[[#All],[Campo]],1,0)</f>
        <v>sstnbl_ctgry</v>
      </c>
      <c r="B177" s="15" t="s">
        <v>1695</v>
      </c>
      <c r="C177" s="15" t="s">
        <v>1696</v>
      </c>
      <c r="D177" s="15" t="s">
        <v>1598</v>
      </c>
      <c r="E177" s="15" t="s">
        <v>1301</v>
      </c>
      <c r="F177" s="15" t="s">
        <v>1594</v>
      </c>
      <c r="G177" s="15" t="s">
        <v>1595</v>
      </c>
      <c r="H177" s="15" t="s">
        <v>485</v>
      </c>
      <c r="I177" s="15">
        <v>0</v>
      </c>
      <c r="J177" s="15">
        <v>0</v>
      </c>
      <c r="K177" s="15">
        <v>0</v>
      </c>
    </row>
    <row r="178" spans="1:11">
      <c r="A178" s="17" t="str">
        <f>VLOOKUP(E178,Table1[[#All],[Campo]],1,0)</f>
        <v>sstnbl_ctgry</v>
      </c>
      <c r="B178" s="15" t="s">
        <v>1697</v>
      </c>
      <c r="C178" s="15" t="s">
        <v>1698</v>
      </c>
      <c r="D178" s="15" t="s">
        <v>1598</v>
      </c>
      <c r="E178" s="15" t="s">
        <v>1301</v>
      </c>
      <c r="F178" s="15" t="s">
        <v>1594</v>
      </c>
      <c r="G178" s="15" t="s">
        <v>1595</v>
      </c>
      <c r="H178" s="15" t="s">
        <v>485</v>
      </c>
      <c r="I178" s="15">
        <v>0</v>
      </c>
      <c r="J178" s="15">
        <v>0</v>
      </c>
      <c r="K178" s="15">
        <v>0</v>
      </c>
    </row>
    <row r="179" spans="1:11">
      <c r="A179" s="17" t="str">
        <f>VLOOKUP(E179,Table1[[#All],[Campo]],1,0)</f>
        <v>sstnbl_ctgry</v>
      </c>
      <c r="B179" s="15" t="s">
        <v>1699</v>
      </c>
      <c r="C179" s="15" t="s">
        <v>1700</v>
      </c>
      <c r="D179" s="15" t="s">
        <v>1598</v>
      </c>
      <c r="E179" s="15" t="s">
        <v>1301</v>
      </c>
      <c r="F179" s="15" t="s">
        <v>1594</v>
      </c>
      <c r="G179" s="15" t="s">
        <v>1595</v>
      </c>
      <c r="H179" s="15" t="s">
        <v>485</v>
      </c>
      <c r="I179" s="15">
        <v>0</v>
      </c>
      <c r="J179" s="15">
        <v>0</v>
      </c>
      <c r="K179" s="15">
        <v>0</v>
      </c>
    </row>
    <row r="180" spans="1:11">
      <c r="A180" s="17" t="str">
        <f>VLOOKUP(E180,Table1[[#All],[Campo]],1,0)</f>
        <v>sstnbl_ctgry</v>
      </c>
      <c r="B180" s="15" t="s">
        <v>1701</v>
      </c>
      <c r="C180" s="15" t="s">
        <v>1702</v>
      </c>
      <c r="D180" s="15" t="s">
        <v>1598</v>
      </c>
      <c r="E180" s="15" t="s">
        <v>1301</v>
      </c>
      <c r="F180" s="15" t="s">
        <v>1594</v>
      </c>
      <c r="G180" s="15" t="s">
        <v>1595</v>
      </c>
      <c r="H180" s="15" t="s">
        <v>485</v>
      </c>
      <c r="I180" s="15">
        <v>0</v>
      </c>
      <c r="J180" s="15">
        <v>0</v>
      </c>
      <c r="K180" s="15">
        <v>0</v>
      </c>
    </row>
    <row r="181" spans="1:11">
      <c r="A181" s="17" t="str">
        <f>VLOOKUP(E181,Table1[[#All],[Campo]],1,0)</f>
        <v>sstnbl_ctgry</v>
      </c>
      <c r="B181" s="15" t="s">
        <v>1703</v>
      </c>
      <c r="C181" s="15" t="s">
        <v>1704</v>
      </c>
      <c r="D181" s="15" t="s">
        <v>1598</v>
      </c>
      <c r="E181" s="15" t="s">
        <v>1301</v>
      </c>
      <c r="F181" s="15" t="s">
        <v>1594</v>
      </c>
      <c r="G181" s="15" t="s">
        <v>1595</v>
      </c>
      <c r="H181" s="15" t="s">
        <v>485</v>
      </c>
      <c r="I181" s="15">
        <v>0</v>
      </c>
      <c r="J181" s="15">
        <v>0</v>
      </c>
      <c r="K181" s="15">
        <v>0</v>
      </c>
    </row>
    <row r="182" spans="1:11">
      <c r="A182" s="17" t="str">
        <f>VLOOKUP(E182,Table1[[#All],[Campo]],1,0)</f>
        <v>sstnbl_ctgry</v>
      </c>
      <c r="B182" s="15" t="s">
        <v>1705</v>
      </c>
      <c r="C182" s="15" t="s">
        <v>1706</v>
      </c>
      <c r="D182" s="15" t="s">
        <v>1598</v>
      </c>
      <c r="E182" s="15" t="s">
        <v>1301</v>
      </c>
      <c r="F182" s="15" t="s">
        <v>1594</v>
      </c>
      <c r="G182" s="15" t="s">
        <v>1595</v>
      </c>
      <c r="H182" s="15" t="s">
        <v>485</v>
      </c>
      <c r="I182" s="15">
        <v>0</v>
      </c>
      <c r="J182" s="15">
        <v>0</v>
      </c>
      <c r="K182" s="15">
        <v>0</v>
      </c>
    </row>
    <row r="183" spans="1:11">
      <c r="A183" s="17" t="str">
        <f>VLOOKUP(E183,Table1[[#All],[Campo]],1,0)</f>
        <v>sstnbl_ctgry</v>
      </c>
      <c r="B183" s="15" t="s">
        <v>1707</v>
      </c>
      <c r="C183" s="15" t="s">
        <v>1708</v>
      </c>
      <c r="D183" s="15" t="s">
        <v>1598</v>
      </c>
      <c r="E183" s="15" t="s">
        <v>1301</v>
      </c>
      <c r="F183" s="15" t="s">
        <v>1594</v>
      </c>
      <c r="G183" s="15" t="s">
        <v>1595</v>
      </c>
      <c r="H183" s="15" t="s">
        <v>485</v>
      </c>
      <c r="I183" s="15">
        <v>0</v>
      </c>
      <c r="J183" s="15">
        <v>0</v>
      </c>
      <c r="K183" s="15">
        <v>0</v>
      </c>
    </row>
    <row r="184" spans="1:11">
      <c r="A184" s="17" t="str">
        <f>VLOOKUP(E184,Table1[[#All],[Campo]],1,0)</f>
        <v>grss_intrst_incm</v>
      </c>
      <c r="B184" s="15" t="s">
        <v>1709</v>
      </c>
      <c r="C184" s="15" t="s">
        <v>1710</v>
      </c>
      <c r="D184" s="15" t="s">
        <v>1593</v>
      </c>
      <c r="E184" s="15" t="s">
        <v>1408</v>
      </c>
      <c r="F184" s="15" t="s">
        <v>1594</v>
      </c>
      <c r="G184" s="15" t="s">
        <v>1595</v>
      </c>
      <c r="H184" s="15" t="s">
        <v>485</v>
      </c>
      <c r="I184" s="15">
        <v>0</v>
      </c>
      <c r="J184" s="15">
        <v>0</v>
      </c>
      <c r="K184" s="15">
        <v>0</v>
      </c>
    </row>
    <row r="185" spans="1:11">
      <c r="A185" s="17" t="str">
        <f>VLOOKUP(E185,Table1[[#All],[Campo]],1,0)</f>
        <v>grss_intrst_incm</v>
      </c>
      <c r="B185" s="15" t="s">
        <v>1711</v>
      </c>
      <c r="C185" s="15" t="s">
        <v>1712</v>
      </c>
      <c r="D185" s="15" t="s">
        <v>1593</v>
      </c>
      <c r="E185" s="15" t="s">
        <v>1408</v>
      </c>
      <c r="F185" s="15" t="s">
        <v>1594</v>
      </c>
      <c r="G185" s="15" t="s">
        <v>1595</v>
      </c>
      <c r="H185" s="15" t="s">
        <v>485</v>
      </c>
      <c r="I185" s="15">
        <v>0</v>
      </c>
      <c r="J185" s="15">
        <v>0</v>
      </c>
      <c r="K185" s="15">
        <v>0</v>
      </c>
    </row>
    <row r="186" spans="1:11">
      <c r="A186" s="17" t="s">
        <v>1409</v>
      </c>
      <c r="B186" s="15" t="s">
        <v>1713</v>
      </c>
      <c r="C186" s="15" t="s">
        <v>1714</v>
      </c>
      <c r="D186" s="15" t="s">
        <v>1593</v>
      </c>
      <c r="E186" s="15" t="s">
        <v>1412</v>
      </c>
      <c r="F186" s="15" t="s">
        <v>1594</v>
      </c>
      <c r="G186" s="15" t="s">
        <v>1595</v>
      </c>
      <c r="H186" s="15" t="s">
        <v>485</v>
      </c>
      <c r="I186" s="15">
        <v>0</v>
      </c>
      <c r="J186" s="15">
        <v>0</v>
      </c>
      <c r="K186" s="15">
        <v>0</v>
      </c>
    </row>
    <row r="187" spans="1:11">
      <c r="A187" s="17" t="s">
        <v>1409</v>
      </c>
      <c r="B187" s="15" t="s">
        <v>1715</v>
      </c>
      <c r="C187" s="15" t="s">
        <v>1716</v>
      </c>
      <c r="D187" s="15" t="s">
        <v>1593</v>
      </c>
      <c r="E187" s="15" t="s">
        <v>1412</v>
      </c>
      <c r="F187" s="15" t="s">
        <v>1594</v>
      </c>
      <c r="G187" s="15" t="s">
        <v>1595</v>
      </c>
      <c r="H187" s="15" t="s">
        <v>485</v>
      </c>
      <c r="I187" s="15">
        <v>0</v>
      </c>
      <c r="J187" s="15">
        <v>0</v>
      </c>
      <c r="K187" s="15">
        <v>0</v>
      </c>
    </row>
    <row r="188" spans="1:11">
      <c r="A188" s="17" t="str">
        <f>VLOOKUP(E188,Table1[[#All],[Campo]],1,0)</f>
        <v>mngmnt_prdct</v>
      </c>
      <c r="B188" s="15" t="s">
        <v>1717</v>
      </c>
      <c r="C188" s="15" t="s">
        <v>1718</v>
      </c>
      <c r="D188" s="15" t="s">
        <v>1593</v>
      </c>
      <c r="E188" s="15" t="s">
        <v>1423</v>
      </c>
      <c r="F188" s="15" t="s">
        <v>1594</v>
      </c>
      <c r="G188" s="15" t="s">
        <v>1595</v>
      </c>
      <c r="H188" s="15" t="s">
        <v>485</v>
      </c>
      <c r="I188" s="15">
        <v>0</v>
      </c>
      <c r="J188" s="15">
        <v>0</v>
      </c>
      <c r="K188" s="15">
        <v>0</v>
      </c>
    </row>
    <row r="189" spans="1:11">
      <c r="A189" s="17" t="str">
        <f>VLOOKUP(E189,Table1[[#All],[Campo]],1,0)</f>
        <v>mngmnt_prdct</v>
      </c>
      <c r="B189" s="15" t="s">
        <v>1719</v>
      </c>
      <c r="C189" s="15" t="s">
        <v>1720</v>
      </c>
      <c r="D189" s="15" t="s">
        <v>1593</v>
      </c>
      <c r="E189" s="15" t="s">
        <v>1423</v>
      </c>
      <c r="F189" s="15" t="s">
        <v>1594</v>
      </c>
      <c r="G189" s="15" t="s">
        <v>1595</v>
      </c>
      <c r="H189" s="15" t="s">
        <v>485</v>
      </c>
      <c r="I189" s="15">
        <v>277518</v>
      </c>
      <c r="J189" s="15">
        <v>0</v>
      </c>
      <c r="K189" s="15">
        <v>0</v>
      </c>
    </row>
    <row r="190" spans="1:11">
      <c r="A190" s="17" t="str">
        <f>VLOOKUP(E190,Table1[[#All],[Campo]],1,0)</f>
        <v>mngmnt_prdct</v>
      </c>
      <c r="B190" s="15" t="s">
        <v>1721</v>
      </c>
      <c r="C190" s="15" t="s">
        <v>1722</v>
      </c>
      <c r="D190" s="15" t="s">
        <v>1593</v>
      </c>
      <c r="E190" s="15" t="s">
        <v>1423</v>
      </c>
      <c r="F190" s="15" t="s">
        <v>1594</v>
      </c>
      <c r="G190" s="15" t="s">
        <v>1595</v>
      </c>
      <c r="H190" s="15" t="s">
        <v>485</v>
      </c>
      <c r="I190" s="15">
        <v>1724892</v>
      </c>
      <c r="J190" s="15">
        <v>0</v>
      </c>
      <c r="K190" s="15">
        <v>0</v>
      </c>
    </row>
    <row r="191" spans="1:11">
      <c r="A191" s="17" t="s">
        <v>1424</v>
      </c>
      <c r="B191" s="15" t="s">
        <v>1723</v>
      </c>
      <c r="C191" s="15" t="s">
        <v>1724</v>
      </c>
      <c r="D191" s="15" t="s">
        <v>1593</v>
      </c>
      <c r="E191" s="15" t="s">
        <v>1427</v>
      </c>
      <c r="F191" s="15" t="s">
        <v>1594</v>
      </c>
      <c r="G191" s="15" t="s">
        <v>1595</v>
      </c>
      <c r="H191" s="15" t="s">
        <v>485</v>
      </c>
      <c r="I191" s="15">
        <v>0</v>
      </c>
      <c r="J191" s="15">
        <v>0</v>
      </c>
      <c r="K191" s="15">
        <v>0</v>
      </c>
    </row>
    <row r="192" spans="1:11">
      <c r="A192" s="17" t="s">
        <v>1424</v>
      </c>
      <c r="B192" s="15" t="s">
        <v>1725</v>
      </c>
      <c r="C192" s="15" t="s">
        <v>1726</v>
      </c>
      <c r="D192" s="15" t="s">
        <v>1593</v>
      </c>
      <c r="E192" s="15" t="s">
        <v>1427</v>
      </c>
      <c r="F192" s="15" t="s">
        <v>1594</v>
      </c>
      <c r="G192" s="15" t="s">
        <v>1595</v>
      </c>
      <c r="H192" s="15" t="s">
        <v>485</v>
      </c>
      <c r="I192" s="15">
        <v>0</v>
      </c>
      <c r="J192" s="15">
        <v>0</v>
      </c>
      <c r="K192" s="15">
        <v>0</v>
      </c>
    </row>
    <row r="193" spans="1:11">
      <c r="A193" s="17" t="str">
        <f>VLOOKUP(E193,Table1[[#All],[Campo]],1,0)</f>
        <v>gns_fnncl_trnsctn_exchng_dffrncs</v>
      </c>
      <c r="B193" s="15" t="s">
        <v>1727</v>
      </c>
      <c r="C193" s="15" t="s">
        <v>1728</v>
      </c>
      <c r="D193" s="15" t="s">
        <v>1593</v>
      </c>
      <c r="E193" s="15" t="s">
        <v>1430</v>
      </c>
      <c r="F193" s="15" t="s">
        <v>1594</v>
      </c>
      <c r="G193" s="15" t="s">
        <v>1595</v>
      </c>
      <c r="H193" s="15" t="s">
        <v>485</v>
      </c>
      <c r="I193" s="15">
        <v>0</v>
      </c>
      <c r="J193" s="15">
        <v>0</v>
      </c>
      <c r="K193" s="15">
        <v>0</v>
      </c>
    </row>
    <row r="194" spans="1:11">
      <c r="A194" s="17" t="str">
        <f>VLOOKUP(E194,Table1[[#All],[Campo]],1,0)</f>
        <v>gns_fnncl_trnsctn_exchng_dffrncs</v>
      </c>
      <c r="B194" s="15" t="s">
        <v>1729</v>
      </c>
      <c r="C194" s="15" t="s">
        <v>1730</v>
      </c>
      <c r="D194" s="15" t="s">
        <v>1593</v>
      </c>
      <c r="E194" s="15" t="s">
        <v>1430</v>
      </c>
      <c r="F194" s="15" t="s">
        <v>1594</v>
      </c>
      <c r="G194" s="15" t="s">
        <v>1595</v>
      </c>
      <c r="H194" s="15" t="s">
        <v>485</v>
      </c>
      <c r="I194" s="15">
        <v>0</v>
      </c>
      <c r="J194" s="15">
        <v>0</v>
      </c>
      <c r="K194" s="15">
        <v>0</v>
      </c>
    </row>
    <row r="195" spans="1:11">
      <c r="A195" s="17" t="str">
        <f>VLOOKUP(E195,Table1[[#All],[Campo]],1,0)</f>
        <v>intrbsnss_adj_cod</v>
      </c>
      <c r="B195" s="15" t="s">
        <v>1731</v>
      </c>
      <c r="C195" s="15" t="s">
        <v>1732</v>
      </c>
      <c r="D195" s="15" t="s">
        <v>1593</v>
      </c>
      <c r="E195" s="15" t="s">
        <v>1435</v>
      </c>
      <c r="F195" s="15" t="s">
        <v>1594</v>
      </c>
      <c r="G195" s="15" t="s">
        <v>1595</v>
      </c>
      <c r="H195" s="15" t="s">
        <v>485</v>
      </c>
      <c r="I195" s="15">
        <v>0</v>
      </c>
      <c r="J195" s="15">
        <v>0</v>
      </c>
      <c r="K195" s="15">
        <v>0</v>
      </c>
    </row>
    <row r="196" spans="1:11">
      <c r="A196" s="17" t="str">
        <f>VLOOKUP(E196,Table1[[#All],[Campo]],1,0)</f>
        <v>intrbsnss_adj_cod</v>
      </c>
      <c r="B196" s="15" t="s">
        <v>1733</v>
      </c>
      <c r="C196" s="15" t="s">
        <v>1734</v>
      </c>
      <c r="D196" s="15" t="s">
        <v>1593</v>
      </c>
      <c r="E196" s="15" t="s">
        <v>1435</v>
      </c>
      <c r="F196" s="15" t="s">
        <v>1594</v>
      </c>
      <c r="G196" s="15" t="s">
        <v>1595</v>
      </c>
      <c r="H196" s="15" t="s">
        <v>485</v>
      </c>
      <c r="I196" s="15">
        <v>0</v>
      </c>
      <c r="J196" s="15">
        <v>0</v>
      </c>
      <c r="K196" s="15">
        <v>0</v>
      </c>
    </row>
    <row r="197" spans="1:11">
      <c r="A197" s="17" t="str">
        <f>VLOOKUP(E197,Table1[[#All],[Campo]],1,0)</f>
        <v>cod_soc_dstntn</v>
      </c>
      <c r="B197" s="15" t="s">
        <v>1735</v>
      </c>
      <c r="C197" s="15" t="s">
        <v>1736</v>
      </c>
      <c r="D197" s="15" t="s">
        <v>1593</v>
      </c>
      <c r="E197" s="15" t="s">
        <v>1438</v>
      </c>
      <c r="F197" s="15" t="s">
        <v>1594</v>
      </c>
      <c r="G197" s="15" t="s">
        <v>1595</v>
      </c>
      <c r="H197" s="15" t="s">
        <v>485</v>
      </c>
      <c r="I197" s="15">
        <v>0</v>
      </c>
      <c r="J197" s="15">
        <v>0</v>
      </c>
      <c r="K197" s="15">
        <v>0</v>
      </c>
    </row>
    <row r="198" spans="1:11">
      <c r="A198" s="17" t="str">
        <f>VLOOKUP(E198,Table1[[#All],[Campo]],1,0)</f>
        <v>cod_soc_dstntn</v>
      </c>
      <c r="B198" s="15" t="s">
        <v>1737</v>
      </c>
      <c r="C198" s="15" t="s">
        <v>1738</v>
      </c>
      <c r="D198" s="15" t="s">
        <v>1593</v>
      </c>
      <c r="E198" s="15" t="s">
        <v>1438</v>
      </c>
      <c r="F198" s="15" t="s">
        <v>1594</v>
      </c>
      <c r="G198" s="15" t="s">
        <v>1595</v>
      </c>
      <c r="H198" s="15" t="s">
        <v>485</v>
      </c>
      <c r="I198" s="15">
        <v>0</v>
      </c>
      <c r="J198" s="15">
        <v>0</v>
      </c>
      <c r="K198" s="15">
        <v>0</v>
      </c>
    </row>
    <row r="199" spans="1:11">
      <c r="A199" s="17" t="str">
        <f>VLOOKUP(E199,Table1[[#All],[Campo]],1,0)</f>
        <v>bsnss_area_dstntn</v>
      </c>
      <c r="B199" s="15" t="s">
        <v>1739</v>
      </c>
      <c r="C199" s="15" t="s">
        <v>1740</v>
      </c>
      <c r="D199" s="15" t="s">
        <v>1593</v>
      </c>
      <c r="E199" s="15" t="s">
        <v>1441</v>
      </c>
      <c r="F199" s="15" t="s">
        <v>1594</v>
      </c>
      <c r="G199" s="15" t="s">
        <v>1595</v>
      </c>
      <c r="H199" s="15" t="s">
        <v>485</v>
      </c>
      <c r="I199" s="15">
        <v>0</v>
      </c>
      <c r="J199" s="15">
        <v>0</v>
      </c>
      <c r="K199" s="15">
        <v>0</v>
      </c>
    </row>
    <row r="200" spans="1:11">
      <c r="A200" s="17" t="str">
        <f>VLOOKUP(E200,Table1[[#All],[Campo]],1,0)</f>
        <v>bsnss_area_dstntn</v>
      </c>
      <c r="B200" s="15" t="s">
        <v>1741</v>
      </c>
      <c r="C200" s="15" t="s">
        <v>1742</v>
      </c>
      <c r="D200" s="15" t="s">
        <v>1593</v>
      </c>
      <c r="E200" s="15" t="s">
        <v>1441</v>
      </c>
      <c r="F200" s="15" t="s">
        <v>1594</v>
      </c>
      <c r="G200" s="15" t="s">
        <v>1595</v>
      </c>
      <c r="H200" s="15" t="s">
        <v>485</v>
      </c>
      <c r="I200" s="15">
        <v>0</v>
      </c>
      <c r="J200" s="15">
        <v>0</v>
      </c>
      <c r="K200" s="15">
        <v>0</v>
      </c>
    </row>
    <row r="201" spans="1:11">
      <c r="A201" s="17" t="str">
        <f>VLOOKUP(E201,Table1[[#All],[Campo]],1,0)</f>
        <v>bsnss_area_dstntn</v>
      </c>
      <c r="B201" s="15" t="s">
        <v>1743</v>
      </c>
      <c r="C201" s="15" t="s">
        <v>1744</v>
      </c>
      <c r="D201" s="15" t="s">
        <v>1593</v>
      </c>
      <c r="E201" s="15" t="s">
        <v>1441</v>
      </c>
      <c r="F201" s="15" t="s">
        <v>1594</v>
      </c>
      <c r="G201" s="15" t="s">
        <v>1595</v>
      </c>
      <c r="H201" s="15" t="s">
        <v>485</v>
      </c>
      <c r="I201" s="15">
        <v>0</v>
      </c>
      <c r="J201" s="15">
        <v>0</v>
      </c>
      <c r="K201" s="15">
        <v>0</v>
      </c>
    </row>
    <row r="202" spans="1:11">
      <c r="A202" s="17" t="str">
        <f>VLOOKUP(E202,Table1[[#All],[Campo]],1,0)</f>
        <v>avrg_blnc_off_blnc</v>
      </c>
      <c r="B202" s="15" t="s">
        <v>1745</v>
      </c>
      <c r="C202" s="15" t="s">
        <v>1746</v>
      </c>
      <c r="D202" s="15" t="s">
        <v>1593</v>
      </c>
      <c r="E202" s="15" t="s">
        <v>1444</v>
      </c>
      <c r="F202" s="15" t="s">
        <v>1594</v>
      </c>
      <c r="G202" s="15" t="s">
        <v>1595</v>
      </c>
      <c r="H202" s="15" t="s">
        <v>485</v>
      </c>
      <c r="I202" s="15">
        <v>0</v>
      </c>
      <c r="J202" s="15">
        <v>0</v>
      </c>
      <c r="K202" s="15">
        <v>0</v>
      </c>
    </row>
    <row r="203" spans="1:11">
      <c r="A203" s="17" t="str">
        <f>VLOOKUP(E203,Table1[[#All],[Campo]],1,0)</f>
        <v>intrnl_trnsfr_rt_off_blnc</v>
      </c>
      <c r="B203" s="15" t="s">
        <v>1747</v>
      </c>
      <c r="C203" s="15" t="s">
        <v>1748</v>
      </c>
      <c r="D203" s="15" t="s">
        <v>1593</v>
      </c>
      <c r="E203" s="15" t="s">
        <v>1447</v>
      </c>
      <c r="F203" s="15" t="s">
        <v>1594</v>
      </c>
      <c r="G203" s="15" t="s">
        <v>1595</v>
      </c>
      <c r="H203" s="15" t="s">
        <v>485</v>
      </c>
      <c r="I203" s="15">
        <v>0</v>
      </c>
      <c r="J203" s="15">
        <v>0</v>
      </c>
      <c r="K203" s="15">
        <v>0</v>
      </c>
    </row>
    <row r="204" spans="1:11">
      <c r="A204" s="17" t="s">
        <v>1448</v>
      </c>
      <c r="B204" s="15" t="s">
        <v>1749</v>
      </c>
      <c r="C204" s="15" t="s">
        <v>1750</v>
      </c>
      <c r="D204" s="15" t="s">
        <v>1593</v>
      </c>
      <c r="E204" s="15" t="s">
        <v>1451</v>
      </c>
      <c r="F204" s="15" t="s">
        <v>1594</v>
      </c>
      <c r="G204" s="15" t="s">
        <v>1595</v>
      </c>
      <c r="H204" s="15" t="s">
        <v>485</v>
      </c>
      <c r="I204" s="15">
        <v>0</v>
      </c>
      <c r="J204" s="15">
        <v>0</v>
      </c>
      <c r="K204" s="15">
        <v>0</v>
      </c>
    </row>
    <row r="205" spans="1:11">
      <c r="A205" s="17" t="s">
        <v>1448</v>
      </c>
      <c r="B205" s="15" t="s">
        <v>1751</v>
      </c>
      <c r="C205" s="15" t="s">
        <v>1752</v>
      </c>
      <c r="D205" s="15" t="s">
        <v>1593</v>
      </c>
      <c r="E205" s="15" t="s">
        <v>1451</v>
      </c>
      <c r="F205" s="15" t="s">
        <v>1594</v>
      </c>
      <c r="G205" s="15" t="s">
        <v>1595</v>
      </c>
      <c r="H205" s="15" t="s">
        <v>485</v>
      </c>
      <c r="I205" s="15">
        <v>0</v>
      </c>
      <c r="J205" s="15">
        <v>0</v>
      </c>
      <c r="K205" s="15">
        <v>0</v>
      </c>
    </row>
    <row r="206" spans="1:11">
      <c r="A206" s="17" t="s">
        <v>1448</v>
      </c>
      <c r="B206" s="15" t="s">
        <v>1753</v>
      </c>
      <c r="C206" s="15" t="s">
        <v>1754</v>
      </c>
      <c r="D206" s="15" t="s">
        <v>1593</v>
      </c>
      <c r="E206" s="15" t="s">
        <v>1451</v>
      </c>
      <c r="F206" s="15" t="s">
        <v>1594</v>
      </c>
      <c r="G206" s="15" t="s">
        <v>1595</v>
      </c>
      <c r="H206" s="15" t="s">
        <v>485</v>
      </c>
      <c r="I206" s="15">
        <v>0</v>
      </c>
      <c r="J206" s="15">
        <v>0</v>
      </c>
      <c r="K206" s="15">
        <v>0</v>
      </c>
    </row>
    <row r="207" spans="1:11">
      <c r="A207" s="17" t="s">
        <v>1452</v>
      </c>
      <c r="B207" s="15" t="s">
        <v>1755</v>
      </c>
      <c r="C207" s="15" t="s">
        <v>1756</v>
      </c>
      <c r="D207" s="15" t="s">
        <v>1593</v>
      </c>
      <c r="E207" s="15" t="s">
        <v>1455</v>
      </c>
      <c r="F207" s="15" t="s">
        <v>1594</v>
      </c>
      <c r="G207" s="15" t="s">
        <v>1595</v>
      </c>
      <c r="H207" s="15" t="s">
        <v>485</v>
      </c>
      <c r="I207" s="15">
        <v>0</v>
      </c>
      <c r="J207" s="15">
        <v>0</v>
      </c>
      <c r="K207" s="15">
        <v>0</v>
      </c>
    </row>
    <row r="208" spans="1:11">
      <c r="A208" s="17" t="s">
        <v>1452</v>
      </c>
      <c r="B208" s="15" t="s">
        <v>1757</v>
      </c>
      <c r="C208" s="15" t="s">
        <v>1758</v>
      </c>
      <c r="D208" s="15" t="s">
        <v>1593</v>
      </c>
      <c r="E208" s="15" t="s">
        <v>1455</v>
      </c>
      <c r="F208" s="15" t="s">
        <v>1594</v>
      </c>
      <c r="G208" s="15" t="s">
        <v>1595</v>
      </c>
      <c r="H208" s="15" t="s">
        <v>485</v>
      </c>
      <c r="I208" s="15">
        <v>0</v>
      </c>
      <c r="J208" s="15">
        <v>0</v>
      </c>
      <c r="K208" s="15">
        <v>0</v>
      </c>
    </row>
    <row r="209" spans="1:11">
      <c r="A209" s="17" t="s">
        <v>1452</v>
      </c>
      <c r="B209" s="15" t="s">
        <v>1759</v>
      </c>
      <c r="C209" s="15" t="s">
        <v>1760</v>
      </c>
      <c r="D209" s="15" t="s">
        <v>1593</v>
      </c>
      <c r="E209" s="15" t="s">
        <v>1455</v>
      </c>
      <c r="F209" s="15" t="s">
        <v>1594</v>
      </c>
      <c r="G209" s="15" t="s">
        <v>1595</v>
      </c>
      <c r="H209" s="15" t="s">
        <v>485</v>
      </c>
      <c r="I209" s="15">
        <v>0</v>
      </c>
      <c r="J209" s="15">
        <v>0</v>
      </c>
      <c r="K209" s="15">
        <v>0</v>
      </c>
    </row>
    <row r="210" spans="1:11">
      <c r="A210" s="17" t="str">
        <f>VLOOKUP(E210,Table1[[#All],[Campo]],1,0)</f>
        <v>grss_intrst_expns</v>
      </c>
      <c r="B210" s="15" t="s">
        <v>1761</v>
      </c>
      <c r="C210" s="15" t="s">
        <v>1762</v>
      </c>
      <c r="D210" s="15" t="s">
        <v>1593</v>
      </c>
      <c r="E210" s="15" t="s">
        <v>1461</v>
      </c>
      <c r="F210" s="15" t="s">
        <v>1594</v>
      </c>
      <c r="G210" s="15" t="s">
        <v>1595</v>
      </c>
      <c r="H210" s="15" t="s">
        <v>485</v>
      </c>
      <c r="I210" s="15">
        <v>0</v>
      </c>
      <c r="J210" s="15">
        <v>0</v>
      </c>
      <c r="K210" s="15">
        <v>0</v>
      </c>
    </row>
    <row r="211" spans="1:11">
      <c r="A211" s="17" t="str">
        <f>VLOOKUP(E211,Table1[[#All],[Campo]],1,0)</f>
        <v>grss_intrst_expns</v>
      </c>
      <c r="B211" s="15" t="s">
        <v>1763</v>
      </c>
      <c r="C211" s="15" t="s">
        <v>1764</v>
      </c>
      <c r="D211" s="15" t="s">
        <v>1593</v>
      </c>
      <c r="E211" s="15" t="s">
        <v>1461</v>
      </c>
      <c r="F211" s="15" t="s">
        <v>1594</v>
      </c>
      <c r="G211" s="15" t="s">
        <v>1595</v>
      </c>
      <c r="H211" s="15" t="s">
        <v>485</v>
      </c>
      <c r="I211" s="15">
        <v>0</v>
      </c>
      <c r="J211" s="15">
        <v>0</v>
      </c>
      <c r="K211" s="15">
        <v>0</v>
      </c>
    </row>
    <row r="212" spans="1:11">
      <c r="A212" s="17" t="str">
        <f>VLOOKUP(E212,Table1[[#All],[Campo]],1,0)</f>
        <v>nt_ln_lss_prvsn_off_blnc</v>
      </c>
      <c r="B212" s="15" t="s">
        <v>1765</v>
      </c>
      <c r="C212" s="15" t="s">
        <v>1766</v>
      </c>
      <c r="D212" s="15" t="s">
        <v>1593</v>
      </c>
      <c r="E212" s="15" t="s">
        <v>1464</v>
      </c>
      <c r="F212" s="15" t="s">
        <v>1594</v>
      </c>
      <c r="G212" s="15" t="s">
        <v>1595</v>
      </c>
      <c r="H212" s="15" t="s">
        <v>485</v>
      </c>
      <c r="I212" s="15">
        <v>0</v>
      </c>
      <c r="J212" s="15">
        <v>0</v>
      </c>
      <c r="K212" s="15">
        <v>0</v>
      </c>
    </row>
    <row r="213" spans="1:11">
      <c r="A213" s="17" t="str">
        <f>VLOOKUP(E213,Table1[[#All],[Campo]],1,0)</f>
        <v>cod_soc</v>
      </c>
      <c r="B213" s="15" t="s">
        <v>1767</v>
      </c>
      <c r="C213" s="15" t="s">
        <v>1768</v>
      </c>
      <c r="D213" s="15" t="s">
        <v>1339</v>
      </c>
      <c r="E213" s="15" t="s">
        <v>1263</v>
      </c>
      <c r="F213" s="15" t="s">
        <v>1769</v>
      </c>
      <c r="G213" s="15" t="s">
        <v>1770</v>
      </c>
      <c r="H213" s="15" t="s">
        <v>485</v>
      </c>
      <c r="I213" s="15">
        <v>1096295</v>
      </c>
      <c r="J213" s="15">
        <v>0</v>
      </c>
      <c r="K213" s="15">
        <v>0</v>
      </c>
    </row>
    <row r="214" spans="1:11">
      <c r="A214" s="17" t="str">
        <f>VLOOKUP(E214,Table1[[#All],[Campo]],1,0)</f>
        <v>dt_rfrnc</v>
      </c>
      <c r="B214" s="15" t="s">
        <v>1771</v>
      </c>
      <c r="C214" s="15" t="s">
        <v>1772</v>
      </c>
      <c r="D214" s="15" t="s">
        <v>1339</v>
      </c>
      <c r="E214" s="15" t="s">
        <v>1268</v>
      </c>
      <c r="F214" s="15" t="s">
        <v>1769</v>
      </c>
      <c r="G214" s="15" t="s">
        <v>1770</v>
      </c>
      <c r="H214" s="15" t="s">
        <v>485</v>
      </c>
      <c r="I214" s="15">
        <v>1096295</v>
      </c>
      <c r="J214" s="15">
        <v>0</v>
      </c>
      <c r="K214" s="15">
        <v>0</v>
      </c>
    </row>
    <row r="215" spans="1:11">
      <c r="A215" s="17" t="str">
        <f>VLOOKUP(E215,Table1[[#All],[Campo]],1,0)</f>
        <v>cod_soc</v>
      </c>
      <c r="B215" s="15" t="s">
        <v>1773</v>
      </c>
      <c r="C215" s="15" t="s">
        <v>1774</v>
      </c>
      <c r="D215" s="15" t="s">
        <v>1346</v>
      </c>
      <c r="E215" s="15" t="s">
        <v>1263</v>
      </c>
      <c r="F215" s="15" t="s">
        <v>1769</v>
      </c>
      <c r="G215" s="15" t="s">
        <v>1775</v>
      </c>
      <c r="H215" s="15" t="s">
        <v>485</v>
      </c>
      <c r="I215" s="15">
        <v>2490665</v>
      </c>
      <c r="J215" s="15">
        <v>0</v>
      </c>
      <c r="K215" s="15">
        <v>0</v>
      </c>
    </row>
    <row r="216" spans="1:11">
      <c r="A216" s="17" t="str">
        <f>VLOOKUP(E216,Table1[[#All],[Campo]],1,0)</f>
        <v>dt_rfrnc</v>
      </c>
      <c r="B216" s="15" t="s">
        <v>1776</v>
      </c>
      <c r="C216" s="15" t="s">
        <v>1777</v>
      </c>
      <c r="D216" s="15" t="s">
        <v>1346</v>
      </c>
      <c r="E216" s="15" t="s">
        <v>1268</v>
      </c>
      <c r="F216" s="15" t="s">
        <v>1769</v>
      </c>
      <c r="G216" s="15" t="s">
        <v>1775</v>
      </c>
      <c r="H216" s="15" t="s">
        <v>485</v>
      </c>
      <c r="I216" s="15">
        <v>2490665</v>
      </c>
      <c r="J216" s="15">
        <v>0</v>
      </c>
      <c r="K216" s="15">
        <v>0</v>
      </c>
    </row>
    <row r="217" spans="1:11">
      <c r="A217" s="17" t="str">
        <f>VLOOKUP(E217,Table1[[#All],[Campo]],1,0)</f>
        <v>cod_soc</v>
      </c>
      <c r="B217" s="15" t="s">
        <v>1778</v>
      </c>
      <c r="C217" s="15" t="s">
        <v>1779</v>
      </c>
      <c r="D217" s="15" t="s">
        <v>1285</v>
      </c>
      <c r="E217" s="15" t="s">
        <v>1263</v>
      </c>
      <c r="F217" s="15" t="s">
        <v>1769</v>
      </c>
      <c r="G217" s="15" t="s">
        <v>1780</v>
      </c>
      <c r="H217" s="15" t="s">
        <v>485</v>
      </c>
      <c r="I217" s="15">
        <v>2003033</v>
      </c>
      <c r="J217" s="15">
        <v>0</v>
      </c>
      <c r="K217" s="15">
        <v>0</v>
      </c>
    </row>
    <row r="218" spans="1:11">
      <c r="A218" s="17" t="str">
        <f>VLOOKUP(E218,Table1[[#All],[Campo]],1,0)</f>
        <v>dt_rfrnc</v>
      </c>
      <c r="B218" s="15" t="s">
        <v>1781</v>
      </c>
      <c r="C218" s="15" t="s">
        <v>1782</v>
      </c>
      <c r="D218" s="15" t="s">
        <v>1285</v>
      </c>
      <c r="E218" s="15" t="s">
        <v>1268</v>
      </c>
      <c r="F218" s="15" t="s">
        <v>1769</v>
      </c>
      <c r="G218" s="15" t="s">
        <v>1780</v>
      </c>
      <c r="H218" s="15" t="s">
        <v>485</v>
      </c>
      <c r="I218" s="15">
        <v>2003033</v>
      </c>
      <c r="J218" s="15">
        <v>0</v>
      </c>
      <c r="K218" s="15">
        <v>0</v>
      </c>
    </row>
    <row r="219" spans="1:11">
      <c r="A219" s="17" t="str">
        <f>VLOOKUP(E219,Table1[[#All],[Campo]],1,0)</f>
        <v>cod_soc</v>
      </c>
      <c r="B219" s="15" t="s">
        <v>1783</v>
      </c>
      <c r="C219" s="15" t="s">
        <v>1784</v>
      </c>
      <c r="D219" s="15" t="s">
        <v>1336</v>
      </c>
      <c r="E219" s="15" t="s">
        <v>1263</v>
      </c>
      <c r="F219" s="15" t="s">
        <v>1769</v>
      </c>
      <c r="G219" s="15" t="s">
        <v>1785</v>
      </c>
      <c r="H219" s="15" t="s">
        <v>485</v>
      </c>
      <c r="I219" s="15">
        <v>731165</v>
      </c>
      <c r="J219" s="15">
        <v>0</v>
      </c>
      <c r="K219" s="15">
        <v>0</v>
      </c>
    </row>
    <row r="220" spans="1:11">
      <c r="A220" s="17" t="str">
        <f>VLOOKUP(E220,Table1[[#All],[Campo]],1,0)</f>
        <v>dt_rfrnc</v>
      </c>
      <c r="B220" s="15" t="s">
        <v>1786</v>
      </c>
      <c r="C220" s="15" t="s">
        <v>1787</v>
      </c>
      <c r="D220" s="15" t="s">
        <v>1336</v>
      </c>
      <c r="E220" s="15" t="s">
        <v>1268</v>
      </c>
      <c r="F220" s="15" t="s">
        <v>1769</v>
      </c>
      <c r="G220" s="15" t="s">
        <v>1785</v>
      </c>
      <c r="H220" s="15" t="s">
        <v>485</v>
      </c>
      <c r="I220" s="15">
        <v>731165</v>
      </c>
      <c r="J220" s="15">
        <v>0</v>
      </c>
      <c r="K220" s="15">
        <v>0</v>
      </c>
    </row>
    <row r="221" spans="1:11">
      <c r="A221" s="17" t="str">
        <f>VLOOKUP(E221,Table1[[#All],[Campo]],1,0)</f>
        <v>cod_soc</v>
      </c>
      <c r="B221" s="15" t="s">
        <v>1788</v>
      </c>
      <c r="C221" s="15" t="s">
        <v>1789</v>
      </c>
      <c r="D221" s="15" t="s">
        <v>1501</v>
      </c>
      <c r="E221" s="15" t="s">
        <v>1263</v>
      </c>
      <c r="F221" s="15" t="s">
        <v>1769</v>
      </c>
      <c r="G221" s="15" t="s">
        <v>1790</v>
      </c>
      <c r="H221" s="15" t="s">
        <v>485</v>
      </c>
      <c r="I221" s="15">
        <v>456960</v>
      </c>
      <c r="J221" s="15">
        <v>0</v>
      </c>
      <c r="K221" s="15">
        <v>0</v>
      </c>
    </row>
    <row r="222" spans="1:11">
      <c r="A222" s="17" t="str">
        <f>VLOOKUP(E222,Table1[[#All],[Campo]],1,0)</f>
        <v>dt_rfrnc</v>
      </c>
      <c r="B222" s="15" t="s">
        <v>1791</v>
      </c>
      <c r="C222" s="15" t="s">
        <v>1792</v>
      </c>
      <c r="D222" s="15" t="s">
        <v>1501</v>
      </c>
      <c r="E222" s="15" t="s">
        <v>1268</v>
      </c>
      <c r="F222" s="15" t="s">
        <v>1769</v>
      </c>
      <c r="G222" s="15" t="s">
        <v>1790</v>
      </c>
      <c r="H222" s="15" t="s">
        <v>485</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3"/>
  <sheetViews>
    <sheetView zoomScale="85" zoomScaleNormal="85" workbookViewId="0"/>
  </sheetViews>
  <sheetFormatPr defaultRowHeight="13.8"/>
  <cols>
    <col min="1" max="1" width="44.09765625" bestFit="1" customWidth="1"/>
    <col min="2" max="2" width="58.09765625" customWidth="1"/>
    <col min="3" max="3" width="100.69921875" customWidth="1"/>
  </cols>
  <sheetData>
    <row r="2" spans="2:10">
      <c r="D2" t="s">
        <v>1793</v>
      </c>
    </row>
    <row r="3" spans="2:10" ht="17.399999999999999">
      <c r="B3" s="18" t="s">
        <v>1794</v>
      </c>
      <c r="D3" t="s">
        <v>1123</v>
      </c>
    </row>
    <row r="4" spans="2:10" ht="17.399999999999999">
      <c r="B4" s="58" t="s">
        <v>1795</v>
      </c>
      <c r="C4" s="58" t="s">
        <v>1796</v>
      </c>
      <c r="D4" s="57" t="s">
        <v>1145</v>
      </c>
      <c r="E4" s="57" t="s">
        <v>1155</v>
      </c>
      <c r="F4" s="57" t="s">
        <v>1136</v>
      </c>
      <c r="H4" s="32" t="s">
        <v>1145</v>
      </c>
      <c r="I4" s="32" t="s">
        <v>1155</v>
      </c>
      <c r="J4" s="32" t="s">
        <v>1136</v>
      </c>
    </row>
    <row r="5" spans="2:10" ht="34.799999999999997">
      <c r="B5" s="3" t="s">
        <v>1134</v>
      </c>
      <c r="C5" s="5" t="s">
        <v>1797</v>
      </c>
      <c r="D5">
        <v>8</v>
      </c>
      <c r="E5">
        <v>8</v>
      </c>
      <c r="F5">
        <v>8</v>
      </c>
      <c r="H5" s="32">
        <v>1</v>
      </c>
      <c r="I5" s="32">
        <v>3</v>
      </c>
      <c r="J5" s="32">
        <v>8</v>
      </c>
    </row>
    <row r="6" spans="2:10" ht="34.799999999999997">
      <c r="B6" s="3" t="s">
        <v>1137</v>
      </c>
      <c r="C6" s="5" t="s">
        <v>1798</v>
      </c>
      <c r="D6">
        <v>2</v>
      </c>
      <c r="E6">
        <v>4</v>
      </c>
      <c r="F6">
        <v>8</v>
      </c>
      <c r="H6" s="32">
        <v>1</v>
      </c>
      <c r="I6" s="32">
        <v>3</v>
      </c>
      <c r="J6" s="32">
        <v>4</v>
      </c>
    </row>
    <row r="7" spans="2:10" ht="17.399999999999999">
      <c r="B7" s="3" t="s">
        <v>1138</v>
      </c>
      <c r="C7" s="5" t="s">
        <v>1799</v>
      </c>
      <c r="D7">
        <v>2</v>
      </c>
      <c r="E7">
        <v>4</v>
      </c>
      <c r="F7">
        <v>8</v>
      </c>
      <c r="H7" s="32">
        <v>1</v>
      </c>
      <c r="I7" s="32">
        <v>1</v>
      </c>
      <c r="J7" s="32">
        <v>2</v>
      </c>
    </row>
    <row r="8" spans="2:10" ht="17.399999999999999">
      <c r="B8" s="29" t="s">
        <v>1139</v>
      </c>
      <c r="C8" s="5" t="s">
        <v>1800</v>
      </c>
      <c r="D8">
        <v>2</v>
      </c>
      <c r="E8">
        <v>4</v>
      </c>
      <c r="F8">
        <v>8</v>
      </c>
      <c r="H8" s="32">
        <v>2</v>
      </c>
      <c r="I8" s="32">
        <v>4</v>
      </c>
      <c r="J8" s="32">
        <v>4</v>
      </c>
    </row>
    <row r="9" spans="2:10" ht="17.399999999999999">
      <c r="B9" s="30" t="s">
        <v>1143</v>
      </c>
      <c r="C9" s="5" t="s">
        <v>1801</v>
      </c>
      <c r="D9">
        <v>1</v>
      </c>
      <c r="E9">
        <v>1</v>
      </c>
      <c r="F9">
        <v>1</v>
      </c>
      <c r="H9" s="32"/>
      <c r="I9" s="32"/>
      <c r="J9" s="32"/>
    </row>
    <row r="10" spans="2:10" ht="52.2">
      <c r="B10" s="3" t="s">
        <v>1141</v>
      </c>
      <c r="C10" s="5" t="s">
        <v>1802</v>
      </c>
      <c r="D10">
        <v>0.1</v>
      </c>
      <c r="E10">
        <v>0.1</v>
      </c>
      <c r="F10">
        <v>0.1</v>
      </c>
      <c r="H10" s="32">
        <v>0.1</v>
      </c>
      <c r="I10" s="32">
        <v>0.5</v>
      </c>
      <c r="J10" s="32">
        <v>0.5</v>
      </c>
    </row>
    <row r="11" spans="2:10" ht="17.399999999999999">
      <c r="B11" s="30" t="s">
        <v>1142</v>
      </c>
      <c r="C11" s="5" t="s">
        <v>1803</v>
      </c>
      <c r="D11">
        <v>1</v>
      </c>
      <c r="E11">
        <v>2</v>
      </c>
      <c r="F11">
        <v>2</v>
      </c>
      <c r="H11" s="32"/>
      <c r="I11" s="32"/>
      <c r="J11" s="32"/>
    </row>
    <row r="12" spans="2:10" ht="17.399999999999999">
      <c r="B12" s="30" t="s">
        <v>1192</v>
      </c>
      <c r="C12" s="5" t="s">
        <v>1804</v>
      </c>
      <c r="D12">
        <v>0.5</v>
      </c>
      <c r="E12">
        <v>0.5</v>
      </c>
      <c r="F12">
        <v>0.5</v>
      </c>
      <c r="H12" s="32">
        <v>0.5</v>
      </c>
      <c r="I12" s="32">
        <v>0.5</v>
      </c>
      <c r="J12" s="32">
        <v>0.5</v>
      </c>
    </row>
    <row r="13" spans="2:10" ht="34.799999999999997">
      <c r="B13" s="35" t="s">
        <v>1164</v>
      </c>
      <c r="C13" s="5" t="s">
        <v>1805</v>
      </c>
      <c r="D13">
        <v>0.5</v>
      </c>
      <c r="E13">
        <v>0.5</v>
      </c>
      <c r="F13">
        <v>0.5</v>
      </c>
      <c r="H13" s="32">
        <v>0.5</v>
      </c>
      <c r="I13" s="32">
        <v>0.5</v>
      </c>
      <c r="J13" s="32">
        <v>0.5</v>
      </c>
    </row>
    <row r="14" spans="2:10" ht="17.399999999999999">
      <c r="B14" s="36"/>
      <c r="C14" s="28"/>
    </row>
    <row r="15" spans="2:10">
      <c r="B15" s="13" t="s">
        <v>18</v>
      </c>
    </row>
    <row r="16" spans="2:10" ht="17.399999999999999">
      <c r="B16" s="19" t="s">
        <v>477</v>
      </c>
      <c r="C16">
        <f>_xlfn.NUMBERVALUE(LEFT(B16,1))</f>
        <v>1</v>
      </c>
      <c r="D16" s="104">
        <v>1</v>
      </c>
    </row>
    <row r="17" spans="1:4" ht="17.399999999999999">
      <c r="A17" t="s">
        <v>1806</v>
      </c>
      <c r="B17" s="19" t="s">
        <v>478</v>
      </c>
      <c r="C17">
        <f t="shared" ref="C17:C23" si="0">_xlfn.NUMBERVALUE(LEFT(B17,1))</f>
        <v>3</v>
      </c>
      <c r="D17" s="104">
        <v>0.25</v>
      </c>
    </row>
    <row r="18" spans="1:4" ht="17.399999999999999">
      <c r="B18" s="25" t="s">
        <v>30</v>
      </c>
      <c r="C18">
        <f t="shared" si="0"/>
        <v>7</v>
      </c>
      <c r="D18" s="104">
        <v>0</v>
      </c>
    </row>
    <row r="19" spans="1:4" ht="17.399999999999999">
      <c r="B19" s="1" t="s">
        <v>177</v>
      </c>
      <c r="C19">
        <f t="shared" si="0"/>
        <v>2</v>
      </c>
      <c r="D19" s="104">
        <v>0.5</v>
      </c>
    </row>
    <row r="20" spans="1:4" ht="17.399999999999999">
      <c r="A20" t="s">
        <v>1844</v>
      </c>
      <c r="B20" s="26" t="s">
        <v>479</v>
      </c>
      <c r="C20">
        <f t="shared" si="0"/>
        <v>4</v>
      </c>
      <c r="D20" s="104">
        <v>0.25</v>
      </c>
    </row>
    <row r="21" spans="1:4" ht="17.399999999999999">
      <c r="A21" t="s">
        <v>1807</v>
      </c>
      <c r="B21" s="20" t="s">
        <v>480</v>
      </c>
      <c r="C21">
        <f t="shared" si="0"/>
        <v>5</v>
      </c>
      <c r="D21" s="104">
        <v>0.25</v>
      </c>
    </row>
    <row r="22" spans="1:4" ht="17.399999999999999">
      <c r="A22" t="s">
        <v>1807</v>
      </c>
      <c r="B22" s="20" t="s">
        <v>482</v>
      </c>
      <c r="C22">
        <f t="shared" si="0"/>
        <v>6</v>
      </c>
      <c r="D22" s="104">
        <v>0.25</v>
      </c>
    </row>
    <row r="23" spans="1:4" ht="17.399999999999999">
      <c r="A23" t="s">
        <v>1808</v>
      </c>
      <c r="B23" s="1" t="s">
        <v>476</v>
      </c>
      <c r="C23">
        <f t="shared" si="0"/>
        <v>0</v>
      </c>
      <c r="D23" s="104">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1B543744-08C4-45A5-BA45-B428B71A98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683c779-04fc-4b63-89c9-6c25ffa1c0a4"/>
    <ds:schemaRef ds:uri="6ea7b29d-57ec-408d-9ea9-cf73b04f66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0683c779-04fc-4b63-89c9-6c25ffa1c0a4"/>
    <ds:schemaRef ds:uri="http://schemas.microsoft.com/office/2006/metadata/properties"/>
    <ds:schemaRef ds:uri="http://schemas.microsoft.com/sharepoint/v3"/>
    <ds:schemaRef ds:uri="http://schemas.microsoft.com/office/infopath/2007/PartnerControls"/>
    <ds:schemaRef ds:uri="http://purl.org/dc/dcmitype/"/>
    <ds:schemaRef ds:uri="http://schemas.microsoft.com/office/2006/documentManagement/types"/>
    <ds:schemaRef ds:uri="http://purl.org/dc/elements/1.1/"/>
    <ds:schemaRef ds:uri="http://schemas.openxmlformats.org/package/2006/metadata/core-properties"/>
    <ds:schemaRef ds:uri="6ea7b29d-57ec-408d-9ea9-cf73b04f66d5"/>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2024-09-28T09:52:17Z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