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 r:id="rId11"/>
    <pivotCache cacheId="14" r:id="rId12"/>
    <pivotCache cacheId="17" r:id="rId13"/>
    <pivotCache cacheId="20" r:id="rId14"/>
    <pivotCache cacheId="23" r:id="rId15"/>
    <pivotCache cacheId="26" r:id="rId16"/>
    <pivotCache cacheId="29" r:id="rId17"/>
    <pivotCache cacheId="32"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179" i="17" l="1"/>
  <c r="A178" i="17"/>
  <c r="A177" i="17"/>
  <c r="A176" i="17"/>
  <c r="J176" i="17" s="1"/>
  <c r="A175" i="17"/>
  <c r="A174" i="17"/>
  <c r="A173" i="17"/>
  <c r="K173" i="17" s="1"/>
  <c r="J173" i="17"/>
  <c r="J174" i="17"/>
  <c r="K174" i="17"/>
  <c r="L174" i="17"/>
  <c r="J175" i="17"/>
  <c r="K175" i="17"/>
  <c r="L175" i="17"/>
  <c r="J177" i="17"/>
  <c r="K177" i="17"/>
  <c r="L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02"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4"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2" i="15" l="1"/>
  <c r="T91" i="15"/>
  <c r="T90" i="15"/>
  <c r="T89" i="15"/>
  <c r="T88" i="15"/>
  <c r="T87" i="15"/>
  <c r="T86" i="15"/>
  <c r="T85"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0" i="15"/>
  <c r="T109" i="15"/>
  <c r="T108" i="15"/>
  <c r="T107" i="15"/>
  <c r="T106" i="15"/>
  <c r="T105" i="15"/>
  <c r="T104" i="15"/>
  <c r="T103" i="15"/>
  <c r="T34" i="15" l="1"/>
  <c r="W13" i="20"/>
  <c r="V12" i="20"/>
  <c r="U13" i="19"/>
  <c r="T12" i="19"/>
  <c r="T111" i="15"/>
  <c r="T84" i="15"/>
  <c r="T102" i="15"/>
  <c r="T93"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K202" i="20" l="1"/>
  <c r="L202" i="20" s="1"/>
  <c r="M202" i="20" s="1"/>
  <c r="M489" i="20"/>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0" i="15"/>
  <c r="V90" i="15" s="1"/>
  <c r="U89" i="15"/>
  <c r="V89" i="15" s="1"/>
  <c r="U88" i="15"/>
  <c r="V88" i="15" s="1"/>
  <c r="U85" i="15"/>
  <c r="U87" i="15"/>
  <c r="V87" i="15" s="1"/>
  <c r="U86" i="15"/>
  <c r="V86" i="15" s="1"/>
  <c r="U92" i="15"/>
  <c r="V92" i="15" s="1"/>
  <c r="U91" i="15"/>
  <c r="V91"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0" i="15"/>
  <c r="V110" i="15" s="1"/>
  <c r="U109" i="15"/>
  <c r="V109" i="15" s="1"/>
  <c r="U108" i="15"/>
  <c r="V108" i="15" s="1"/>
  <c r="U107" i="15"/>
  <c r="V107" i="15" s="1"/>
  <c r="U106" i="15"/>
  <c r="V106" i="15" s="1"/>
  <c r="U105" i="15"/>
  <c r="V105" i="15" s="1"/>
  <c r="U104" i="15"/>
  <c r="V104" i="15" s="1"/>
  <c r="U103" i="15"/>
  <c r="K203" i="20" l="1"/>
  <c r="L203" i="20" s="1"/>
  <c r="M203" i="20" s="1"/>
  <c r="K26" i="20"/>
  <c r="L26" i="20" s="1"/>
  <c r="M583" i="20"/>
  <c r="O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1" i="15"/>
  <c r="D106" i="15" s="1"/>
  <c r="V103" i="15"/>
  <c r="V52" i="15"/>
  <c r="U60" i="15"/>
  <c r="V85" i="15"/>
  <c r="U93" i="15"/>
  <c r="D88"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<sst xmlns="http://schemas.openxmlformats.org/spreadsheetml/2006/main" count="28590" uniqueCount="1889">
  <si>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</si>
  <si>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</si>
  <si>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</si>
  <si>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</si>
  <si>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</si>
  <si>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</si>
  <si>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</si>
  <si>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</si>
  <si>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</si>
  <si>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</si>
  <si>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</si>
  <si>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</si>
  <si>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</si>
  <si>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</si>
  <si>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</si>
  <si>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</si>
  <si>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</si>
  <si>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</si>
  <si>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</si>
  <si>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</si>
  <si>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</si>
  <si>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</si>
  <si>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</si>
  <si>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</si>
  <si>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</si>
  <si>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</si>
  <si>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</si>
  <si>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</si>
  <si>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</si>
  <si>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</si>
  <si>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</si>
  <si>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</si>
  <si>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</si>
  <si>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</si>
  <si>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</si>
  <si>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</si>
  <si>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</si>
  <si>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</si>
  <si>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</si>
  <si>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</si>
  <si>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</si>
  <si>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</si>
  <si>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</si>
  <si>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</si>
  <si>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</si>
  <si>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</si>
  <si>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</si>
  <si>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</si>
  <si>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</si>
  <si>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</si>
  <si>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</si>
  <si>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</si>
  <si>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</si>
  <si>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</si>
  <si>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</si>
  <si>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</si>
  <si>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</si>
  <si>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</si>
  <si>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</si>
  <si>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</si>
  <si>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</si>
  <si>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</si>
  <si>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</si>
  <si>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</si>
  <si>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</si>
  <si>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</si>
  <si>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</si>
  <si>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</si>
  <si>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</si>
  <si>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</si>
  <si>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</si>
  <si>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</si>
  <si>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</si>
  <si>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</si>
  <si>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</si>
  <si>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</si>
  <si>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</si>
  <si>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</si>
  <si>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</si>
  <si>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</si>
  <si>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</si>
  <si>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</si>
  <si>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</si>
  <si>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</si>
  <si>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</si>
  <si>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</si>
  <si>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</si>
  <si>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</si>
  <si>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</si>
  <si>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</si>
  <si>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</si>
  <si>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</si>
  <si>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</si>
  <si>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</si>
  <si>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</si>
  <si>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</si>
  <si>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</si>
  <si>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</si>
  <si>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</si>
  <si>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</si>
  <si>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</si>
  <si>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</si>
  <si>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</si>
  <si>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</si>
  <si>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</si>
  <si>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</si>
  <si>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</si>
  <si>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</si>
  <si>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</si>
  <si>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</si>
  <si>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</si>
  <si>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</si>
  <si>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</si>
  <si>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</si>
  <si>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</si>
  <si>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</si>
  <si>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</si>
  <si>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</si>
  <si>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</si>
  <si>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</si>
  <si>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</si>
  <si>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</si>
  <si>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</si>
  <si>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</si>
  <si>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</si>
  <si>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</si>
  <si>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</si>
  <si>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</si>
  <si>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</si>
  <si>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</si>
  <si>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</si>
  <si>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</si>
  <si>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</si>
  <si>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</si>
  <si>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</si>
  <si>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</si>
  <si>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</si>
  <si>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</si>
  <si>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</si>
  <si>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</si>
  <si>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</si>
  <si>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</si>
  <si>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</si>
  <si>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</si>
  <si>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</si>
  <si>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</si>
  <si>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</si>
  <si>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</si>
  <si>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</si>
  <si>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</si>
  <si>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</si>
  <si>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</si>
  <si>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</si>
  <si>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</si>
  <si>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</si>
  <si>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</si>
  <si>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</si>
  <si>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</si>
  <si>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</si>
  <si>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</si>
  <si>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</si>
  <si>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</si>
  <si>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</si>
  <si>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</si>
  <si>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</si>
  <si>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</si>
  <si>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</si>
  <si>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</si>
  <si>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</si>
  <si>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</si>
  <si>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</si>
  <si>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</si>
  <si>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</si>
  <si>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</si>
  <si>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</si>
  <si>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</si>
  <si>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</si>
  <si>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</si>
  <si>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</si>
  <si>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</si>
  <si>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</si>
  <si>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</si>
  <si>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</si>
  <si>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</si>
  <si>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</si>
  <si>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</si>
  <si>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</si>
  <si>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</si>
  <si>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</si>
  <si>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</si>
  <si>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</si>
  <si>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</si>
  <si>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</si>
  <si>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</si>
  <si>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</si>
  <si>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</si>
  <si>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</si>
  <si>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</si>
  <si>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</si>
  <si>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</si>
  <si>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</si>
  <si>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</si>
  <si>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</si>
  <si>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</si>
  <si>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</si>
  <si>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</si>
  <si>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</si>
  <si>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</si>
  <si>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</si>
  <si>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</si>
  <si>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</si>
  <si>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</si>
  <si>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</si>
  <si>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</si>
  <si>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</si>
  <si>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</si>
  <si>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</si>
  <si>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</si>
  <si>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</si>
  <si>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</si>
  <si>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</si>
  <si>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</si>
  <si>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</si>
  <si>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</si>
  <si>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</si>
  <si>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</si>
  <si>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</si>
  <si>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</si>
  <si>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</si>
  <si>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</si>
  <si>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</si>
  <si>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</si>
  <si>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</si>
  <si>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</si>
  <si>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</si>
  <si>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</si>
  <si>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</si>
  <si>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</si>
  <si>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</si>
  <si>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</si>
  <si>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</si>
  <si>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</si>
  <si>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</si>
  <si>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</si>
  <si>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</si>
  <si>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</si>
  <si>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</si>
  <si>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</si>
  <si>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</si>
  <si>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</si>
  <si>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</si>
  <si>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</si>
  <si>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</si>
  <si>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</si>
  <si>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</si>
  <si>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</si>
  <si>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</si>
  <si>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</si>
  <si>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</si>
  <si>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</si>
  <si>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</si>
  <si>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</si>
  <si>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</si>
  <si>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</si>
  <si>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</si>
  <si>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</si>
  <si>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</si>
  <si>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</si>
  <si>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</si>
  <si>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</si>
  <si>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</si>
  <si>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</si>
  <si>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</si>
  <si>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</si>
  <si>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</si>
  <si>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</si>
  <si>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</si>
  <si>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</si>
  <si>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</si>
  <si>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</si>
  <si>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</si>
  <si>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</si>
  <si>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</si>
  <si>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</si>
  <si>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</si>
  <si>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</si>
  <si>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</si>
  <si>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</si>
  <si>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</si>
  <si>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</si>
  <si>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</si>
  <si>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</si>
  <si>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</si>
  <si>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</si>
  <si>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</si>
  <si>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</si>
  <si>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</si>
  <si>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</si>
  <si>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</si>
  <si>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</si>
  <si>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</si>
  <si>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</si>
  <si>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</si>
  <si>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</si>
  <si>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</si>
  <si>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</si>
  <si>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</si>
  <si>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</si>
  <si>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</si>
  <si>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</si>
  <si>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</si>
  <si>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</si>
  <si>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</si>
  <si>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</si>
  <si>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</si>
  <si>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</si>
  <si>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</si>
  <si>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</si>
  <si>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</si>
  <si>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</si>
  <si>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</si>
  <si>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</si>
  <si>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</si>
  <si>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</si>
  <si>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</si>
  <si>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</si>
  <si>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</si>
  <si>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</si>
  <si>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</si>
  <si>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</si>
  <si>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</si>
  <si>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</si>
  <si>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</si>
  <si>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</si>
  <si>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</si>
  <si>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</si>
  <si>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</si>
  <si>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</si>
  <si>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</si>
  <si>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</si>
  <si>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</si>
  <si>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</si>
  <si>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</si>
  <si>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</si>
  <si>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</si>
  <si>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</si>
  <si>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</si>
  <si>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</si>
  <si>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</si>
  <si>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</si>
  <si>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</si>
  <si>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</si>
  <si>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</si>
  <si>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</si>
  <si>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</si>
  <si>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</si>
  <si>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</si>
  <si>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</si>
  <si>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</si>
  <si>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</si>
  <si>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</si>
  <si>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</si>
  <si>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</si>
  <si>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</si>
  <si>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</si>
  <si>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</si>
  <si>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</si>
  <si>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</si>
  <si>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</si>
  <si>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</si>
  <si>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</si>
  <si>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</si>
  <si>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</si>
  <si>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</si>
  <si>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</si>
  <si>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</si>
  <si>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</si>
  <si>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</si>
  <si>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</si>
  <si>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</si>
  <si>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</si>
  <si>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</si>
  <si>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</si>
  <si>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</si>
  <si>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</si>
  <si>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</si>
  <si>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</si>
  <si>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</si>
  <si>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</si>
  <si>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</si>
  <si>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</si>
  <si>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</si>
  <si>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</si>
  <si>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</si>
  <si>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</si>
  <si>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</si>
  <si>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</si>
  <si>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</si>
  <si>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</si>
  <si>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</si>
  <si>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</si>
  <si>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</si>
  <si>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</si>
  <si>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</si>
  <si>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</si>
  <si>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</si>
  <si>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</si>
  <si>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</si>
  <si>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</si>
  <si>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</si>
  <si>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</si>
  <si>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</si>
  <si>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</si>
  <si>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</si>
  <si>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</si>
  <si>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</si>
  <si>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</si>
  <si>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</si>
  <si>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</si>
  <si>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</si>
  <si>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</si>
  <si>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</si>
  <si>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</si>
  <si>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</si>
  <si>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</si>
  <si>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</si>
  <si>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</si>
  <si>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</si>
  <si>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</si>
  <si>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</si>
  <si>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</si>
  <si>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</si>
  <si>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</si>
  <si>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</si>
  <si>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</si>
  <si>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</si>
  <si>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</si>
  <si>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</si>
  <si>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</si>
  <si>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</si>
  <si>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</si>
  <si>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</si>
  <si>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</si>
  <si>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</si>
  <si>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</si>
  <si>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</si>
  <si>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</si>
  <si>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</si>
  <si>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</si>
  <si>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</si>
  <si>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</si>
  <si>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</si>
  <si>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</si>
  <si>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</si>
  <si>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</si>
  <si>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</si>
  <si>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</si>
  <si>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</si>
  <si>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</si>
  <si>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</si>
  <si>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</si>
  <si>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</si>
  <si>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</si>
  <si>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</si>
  <si>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</si>
  <si>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</si>
  <si>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</si>
  <si>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</si>
  <si>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</si>
  <si>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</si>
  <si>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</si>
  <si>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</si>
  <si>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</si>
  <si>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</si>
  <si>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</si>
  <si>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</si>
  <si>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</si>
  <si>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</si>
  <si>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</si>
  <si>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</si>
  <si>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</si>
  <si>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</si>
  <si>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</si>
  <si>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</si>
  <si>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</si>
  <si>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</si>
  <si>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</si>
  <si>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</si>
  <si>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</si>
  <si>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</si>
  <si>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</si>
  <si>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</si>
  <si>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</si>
  <si>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</si>
  <si>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</si>
  <si>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</si>
  <si>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</si>
  <si>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</si>
  <si>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</si>
  <si>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</si>
  <si>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</si>
  <si>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</si>
  <si>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</si>
  <si>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</si>
  <si>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</si>
  <si>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</si>
  <si>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</si>
  <si>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</si>
  <si>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</si>
  <si>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</si>
  <si>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</si>
  <si>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</si>
  <si>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</si>
  <si>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</si>
  <si>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</si>
  <si>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</si>
  <si>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</si>
  <si>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</si>
  <si>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</si>
  <si>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</si>
  <si>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</si>
  <si>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</si>
  <si>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</si>
  <si>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</si>
  <si>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</si>
  <si>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</si>
  <si>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</si>
  <si>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</si>
  <si>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</si>
  <si>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</si>
  <si>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</si>
  <si>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</si>
  <si>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</si>
  <si>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</si>
  <si>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</si>
  <si>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</si>
  <si>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</si>
  <si>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</si>
  <si>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</si>
  <si>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</si>
  <si>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</si>
  <si>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</si>
  <si>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</si>
  <si>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</si>
  <si>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</si>
  <si>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</si>
  <si>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</si>
  <si>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</si>
  <si>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</si>
  <si>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</si>
  <si>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</si>
  <si>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</si>
  <si>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</si>
  <si>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</si>
  <si>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</si>
  <si>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</si>
  <si>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</si>
  <si>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</si>
  <si>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</si>
  <si>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</si>
  <si>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</si>
  <si>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</si>
  <si>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</si>
  <si>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</si>
  <si>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</si>
  <si>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</si>
  <si>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</si>
  <si>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</si>
  <si>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</si>
  <si>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</si>
  <si>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</si>
  <si>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</si>
  <si>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</si>
  <si>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</si>
  <si>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</si>
  <si>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</si>
  <si>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</si>
  <si>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</si>
  <si>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</si>
  <si>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</si>
  <si>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</si>
  <si>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</si>
  <si>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</si>
  <si>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</si>
  <si>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</si>
  <si>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</si>
  <si>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</si>
  <si>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</si>
  <si>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</si>
  <si>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</si>
  <si>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</si>
  <si>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</si>
  <si>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</si>
  <si>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</si>
  <si>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</si>
  <si>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</si>
  <si>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</si>
  <si>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</si>
  <si>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</si>
  <si>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</si>
  <si>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</si>
  <si>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</si>
  <si>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</si>
  <si>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</si>
  <si>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</si>
  <si>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</si>
  <si>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</si>
  <si>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</si>
  <si>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</si>
  <si>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</si>
  <si>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</si>
  <si>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</si>
  <si>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</si>
  <si>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</si>
  <si>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</si>
  <si>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</si>
  <si>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</si>
  <si>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</si>
  <si>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</si>
  <si>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</si>
  <si>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</si>
  <si>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</si>
  <si>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</si>
  <si>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</si>
  <si>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</si>
  <si>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</si>
  <si>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</si>
  <si>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</si>
  <si>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</si>
  <si>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</si>
  <si>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</si>
  <si>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</si>
  <si>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</si>
  <si>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</si>
  <si>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</si>
  <si>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</si>
  <si>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</si>
  <si>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</si>
  <si>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</si>
  <si>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</si>
  <si>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</si>
  <si>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</si>
  <si>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</si>
  <si>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</si>
  <si>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</si>
  <si>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</si>
  <si>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</si>
  <si>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</si>
  <si>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</si>
  <si>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</si>
  <si>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</si>
  <si>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</si>
  <si>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</si>
  <si>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</si>
  <si>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</si>
  <si>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</si>
  <si>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</si>
  <si>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</si>
  <si>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</si>
  <si>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</si>
  <si>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</si>
  <si>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</si>
  <si>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</si>
  <si>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</si>
  <si>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</si>
  <si>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</si>
  <si>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</si>
  <si>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</si>
  <si>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</si>
  <si>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</si>
  <si>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</si>
  <si>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</si>
  <si>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</si>
  <si>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</si>
  <si>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</si>
  <si>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</si>
  <si>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</si>
  <si>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</si>
  <si>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</si>
  <si>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</si>
  <si>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</si>
  <si>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</si>
  <si>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</si>
  <si>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</si>
  <si>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</si>
  <si>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</si>
  <si>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</si>
  <si>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</si>
  <si>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</si>
  <si>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</si>
  <si>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</si>
  <si>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</si>
  <si>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</si>
  <si>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</si>
  <si>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</si>
  <si>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</si>
  <si>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</si>
  <si>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</si>
  <si>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</si>
  <si>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</si>
  <si>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</si>
  <si>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</si>
  <si>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</si>
  <si>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</si>
  <si>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</si>
  <si>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</si>
  <si>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</si>
  <si>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</si>
  <si>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</si>
  <si>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</si>
  <si>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</si>
  <si>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</si>
  <si>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</si>
  <si>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</si>
  <si>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</si>
  <si>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</si>
  <si>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</si>
  <si>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</si>
  <si>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</si>
  <si>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</si>
  <si>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</si>
  <si>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</si>
  <si>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</si>
  <si>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</si>
  <si>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</si>
  <si>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</si>
  <si>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</si>
  <si>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</si>
  <si>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</si>
  <si>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</si>
  <si>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</si>
  <si>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</si>
  <si>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</si>
  <si>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</si>
  <si>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</si>
  <si>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</si>
  <si>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</si>
  <si>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</si>
  <si>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</si>
  <si>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</si>
  <si>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</si>
  <si>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</si>
  <si>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</si>
  <si>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</si>
  <si>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</si>
  <si>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</si>
  <si>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</si>
  <si>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</si>
  <si>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</si>
  <si>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</si>
  <si>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</si>
  <si>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</si>
  <si>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</si>
  <si>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</si>
  <si>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</si>
  <si>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</si>
  <si>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</si>
  <si>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</si>
  <si>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</si>
  <si>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</si>
  <si>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</si>
  <si>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</si>
  <si>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</si>
  <si>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</si>
  <si>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</si>
  <si>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</si>
  <si>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</si>
  <si>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</si>
  <si>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</si>
  <si>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</si>
  <si>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</si>
  <si>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</si>
  <si>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</si>
  <si>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</si>
  <si>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</si>
  <si>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</si>
  <si>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</si>
  <si>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</si>
  <si>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</si>
  <si>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</si>
  <si>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</si>
  <si>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</si>
  <si>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</si>
  <si>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</si>
  <si>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</si>
  <si>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</si>
  <si>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</si>
  <si>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</si>
  <si>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</si>
  <si>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</si>
  <si>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</si>
  <si>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</si>
  <si>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</si>
  <si>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</si>
  <si>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</si>
  <si>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</si>
  <si>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</si>
  <si>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</si>
  <si>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</si>
  <si>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</si>
  <si>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</si>
  <si>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</si>
  <si>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</si>
  <si>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</si>
  <si>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</si>
  <si>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</si>
  <si>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</si>
  <si>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</si>
  <si>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</si>
  <si>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</si>
  <si>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</si>
  <si>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</si>
  <si>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</si>
  <si>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</si>
  <si>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</si>
  <si>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</si>
  <si>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</si>
  <si>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</si>
  <si>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</si>
  <si>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</si>
  <si>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</si>
  <si>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</si>
  <si>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</si>
  <si>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</si>
  <si>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</si>
  <si>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</si>
  <si>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</si>
  <si>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</si>
  <si>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</si>
  <si>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</si>
  <si>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</si>
  <si>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</si>
  <si>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</si>
  <si>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</si>
  <si>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</si>
  <si>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</si>
  <si>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</si>
  <si>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</si>
  <si>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</si>
  <si>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</si>
  <si>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</si>
  <si>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</si>
  <si>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</si>
  <si>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</si>
  <si>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</si>
  <si>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</si>
  <si>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</si>
  <si>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</si>
  <si>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</si>
  <si>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</si>
  <si>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</si>
  <si>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</si>
  <si>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</si>
  <si>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</si>
  <si>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</si>
  <si>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</si>
  <si>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</si>
  <si>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</si>
  <si>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</si>
  <si>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</si>
  <si>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</si>
  <si>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</si>
  <si>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</si>
  <si>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</si>
  <si>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</si>
  <si>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</si>
  <si>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</si>
  <si>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</si>
  <si>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</si>
  <si>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</si>
  <si>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</si>
  <si>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</si>
  <si>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</si>
  <si>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</si>
  <si>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</si>
  <si>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</si>
  <si>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</si>
  <si>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</si>
  <si>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</si>
  <si>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</si>
  <si>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</si>
  <si>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</si>
  <si>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</si>
  <si>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</si>
  <si>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</si>
  <si>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</si>
  <si>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</si>
  <si>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</si>
  <si>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</si>
  <si>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</si>
  <si>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</si>
  <si>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</si>
  <si>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</si>
  <si>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</si>
  <si>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</si>
  <si>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</si>
  <si>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</si>
  <si>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</si>
  <si>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</si>
  <si>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</si>
  <si>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</si>
  <si>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</si>
  <si>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</si>
  <si>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</si>
  <si>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</si>
  <si>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</si>
  <si>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</si>
  <si>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</si>
  <si>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</si>
  <si>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</si>
  <si>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</si>
  <si>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</si>
  <si>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</si>
  <si>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</si>
  <si>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</si>
  <si>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</si>
  <si>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</si>
  <si>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</si>
  <si>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</si>
  <si>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</si>
  <si>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</si>
  <si>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</si>
  <si>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</si>
  <si>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</si>
  <si>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</si>
  <si>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</si>
  <si>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</si>
  <si>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</si>
  <si>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</si>
  <si>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</si>
  <si>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</si>
  <si>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</si>
  <si>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</si>
  <si>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</si>
  <si>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</si>
  <si>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</si>
  <si>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</si>
  <si>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</si>
  <si>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</si>
  <si>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</si>
  <si>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</si>
  <si>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</si>
  <si>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</si>
  <si>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</si>
  <si>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</si>
  <si>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</si>
  <si>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</si>
  <si>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</si>
  <si>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</si>
  <si>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</si>
  <si>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</si>
  <si>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</si>
  <si>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</si>
  <si>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</si>
  <si>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</si>
  <si>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</si>
  <si>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</si>
  <si>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</si>
  <si>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</si>
  <si>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</si>
  <si>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</si>
  <si>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</si>
  <si>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</si>
  <si>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</si>
  <si>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</si>
  <si>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</si>
  <si>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</si>
  <si>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</si>
  <si>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</si>
  <si>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</si>
  <si>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</si>
  <si>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</si>
  <si>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</si>
  <si>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</si>
  <si>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</si>
  <si>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</si>
  <si>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</si>
  <si>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</si>
  <si>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</si>
  <si>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</si>
  <si>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</si>
  <si>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</si>
  <si>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</si>
  <si>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</si>
  <si>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</si>
  <si>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</si>
  <si>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</si>
  <si>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</si>
  <si>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</si>
  <si>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</si>
  <si>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</si>
  <si>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</si>
  <si>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</si>
  <si>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</si>
  <si>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</si>
  <si>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</si>
  <si>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</si>
  <si>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</si>
  <si>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</si>
  <si>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</si>
  <si>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</si>
  <si>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</si>
  <si>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</si>
  <si>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</si>
  <si>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</si>
  <si>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</si>
  <si>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</si>
  <si>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</si>
  <si>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</si>
  <si>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</si>
  <si>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</si>
  <si>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</si>
  <si>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</si>
  <si>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</si>
  <si>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</si>
  <si>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</si>
  <si>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</si>
  <si>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</si>
  <si>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</si>
  <si>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</si>
  <si>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</si>
  <si>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</si>
  <si>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</si>
  <si>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</si>
  <si>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</si>
  <si>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</si>
  <si>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</si>
  <si>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</si>
  <si>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</si>
  <si>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</si>
  <si>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</si>
  <si>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</si>
  <si>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</si>
  <si>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</si>
  <si>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</si>
  <si>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</si>
  <si>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</si>
  <si>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</si>
  <si>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</si>
  <si>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</si>
  <si>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</si>
  <si>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</si>
  <si>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</si>
  <si>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</si>
  <si>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</si>
  <si>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</si>
  <si>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</si>
  <si>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</si>
  <si>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</si>
  <si>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</si>
  <si>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</si>
  <si>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</si>
  <si>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</si>
  <si>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</si>
  <si>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</si>
  <si>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</si>
  <si>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</si>
  <si>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</si>
  <si>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</si>
  <si>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</si>
  <si>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</si>
  <si>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</si>
  <si>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</si>
  <si>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</si>
  <si>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</si>
  <si>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</si>
  <si>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</si>
  <si>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</si>
  <si>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</si>
  <si>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</si>
  <si>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</si>
  <si>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</si>
  <si>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</si>
  <si>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</si>
  <si>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</si>
  <si>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</si>
  <si>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</si>
  <si>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</si>
  <si>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</si>
  <si>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</si>
  <si>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</si>
  <si>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</si>
  <si>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</si>
  <si>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</si>
  <si>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</si>
  <si>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</si>
  <si>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</si>
  <si>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</si>
  <si>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</si>
  <si>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</si>
  <si>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</si>
  <si>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</si>
  <si>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</si>
  <si>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</si>
  <si>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</si>
  <si>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</si>
  <si>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</si>
  <si>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</si>
  <si>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</si>
  <si>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</si>
  <si>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</si>
  <si>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</si>
  <si>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</si>
  <si>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</si>
  <si>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</si>
  <si>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</si>
  <si>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</si>
  <si>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</si>
  <si>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</si>
  <si>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</si>
  <si>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</si>
  <si>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</si>
  <si>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</si>
  <si>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</si>
  <si>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</si>
  <si>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</si>
  <si>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</si>
  <si>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</si>
  <si>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</si>
  <si>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</si>
  <si>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</si>
  <si>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</si>
  <si>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</si>
  <si>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</si>
  <si>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</si>
  <si>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</si>
  <si>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</si>
  <si>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</si>
  <si>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</si>
  <si>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</si>
  <si>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</si>
  <si>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</si>
  <si>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</si>
  <si>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</si>
  <si>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</si>
  <si>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</si>
  <si>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</si>
  <si>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</si>
  <si>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</si>
  <si>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</si>
  <si>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</si>
  <si>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</si>
  <si>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</si>
  <si>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</si>
  <si>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</si>
  <si>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</si>
  <si>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</si>
  <si>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</si>
  <si>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</si>
  <si>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</si>
  <si>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</si>
  <si>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</si>
  <si>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</si>
  <si>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</si>
  <si>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</si>
  <si>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</si>
  <si>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</si>
  <si>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</si>
  <si>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</si>
  <si>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</si>
  <si>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</si>
  <si>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</si>
  <si>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</si>
  <si>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</si>
  <si>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</si>
  <si>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</si>
  <si>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</si>
  <si>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</si>
  <si>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</si>
  <si>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</si>
  <si>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</si>
  <si>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</si>
  <si>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</si>
  <si>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</si>
  <si>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</si>
  <si>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</si>
  <si>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</si>
  <si>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</si>
  <si>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</si>
  <si>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</si>
  <si>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</si>
  <si>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</si>
  <si>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</si>
  <si>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</si>
  <si>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</si>
  <si>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</si>
  <si>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</si>
  <si>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</si>
  <si>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</si>
  <si>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</si>
  <si>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</si>
  <si>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</si>
  <si>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</si>
  <si>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</si>
  <si>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</si>
  <si>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</si>
  <si>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</si>
  <si>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</si>
  <si>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</si>
  <si>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</si>
  <si>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</si>
  <si>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</si>
  <si>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</si>
  <si>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</si>
  <si>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</si>
  <si>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</si>
  <si>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</si>
  <si>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</si>
  <si>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</si>
  <si>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</si>
  <si>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</si>
  <si>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</si>
  <si>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</si>
  <si>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</si>
  <si>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</si>
  <si>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</si>
  <si>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</si>
  <si>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</si>
  <si>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</si>
  <si>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</si>
  <si>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</si>
  <si>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</si>
  <si>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</si>
  <si>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</si>
  <si>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</si>
  <si>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</si>
  <si>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</si>
  <si>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</si>
  <si>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</si>
  <si>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</si>
  <si>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</si>
  <si>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</si>
  <si>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</si>
  <si>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</si>
  <si>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</si>
  <si>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</si>
  <si>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</si>
  <si>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</si>
  <si>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</si>
  <si>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</si>
  <si>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</si>
  <si>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</si>
  <si>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</si>
  <si>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</si>
  <si>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</si>
  <si>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</si>
  <si>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</si>
  <si>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</si>
  <si>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</si>
  <si>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</si>
  <si>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</si>
  <si>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</si>
  <si>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</si>
  <si>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</si>
  <si>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</si>
  <si>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</si>
  <si>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</si>
  <si>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</si>
  <si>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</si>
  <si>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</si>
  <si>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</si>
  <si>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</si>
  <si>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</si>
  <si>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</si>
  <si>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</si>
  <si>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</si>
  <si>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</si>
  <si>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</si>
  <si>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</si>
  <si>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</si>
  <si>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</si>
  <si>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</si>
  <si>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</si>
  <si>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</si>
  <si>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</si>
  <si>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</si>
  <si>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</si>
  <si>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</si>
  <si>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</si>
  <si>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</si>
  <si>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</si>
  <si>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</si>
  <si>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</si>
  <si>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</si>
  <si>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</si>
  <si>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</si>
  <si>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</si>
  <si>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</si>
  <si>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</si>
  <si>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</si>
  <si>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</si>
  <si>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</si>
  <si>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</si>
  <si>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</si>
  <si>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</si>
  <si>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</si>
  <si>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</si>
  <si>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</si>
  <si>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</si>
  <si>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</si>
  <si>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</si>
  <si>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</si>
  <si>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</si>
  <si>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</si>
  <si>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</si>
  <si>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</si>
  <si>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</si>
  <si>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</si>
  <si>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</si>
  <si>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</si>
  <si>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</si>
  <si>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</si>
  <si>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</si>
  <si>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</si>
  <si>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</si>
  <si>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</si>
  <si>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</si>
  <si>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</si>
  <si>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</si>
  <si>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</si>
  <si>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</si>
  <si>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</si>
  <si>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</si>
  <si>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</si>
  <si>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</si>
  <si>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</si>
  <si>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</si>
  <si>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</si>
  <si>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</si>
  <si>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</si>
  <si>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</si>
  <si>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</si>
  <si>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</si>
  <si>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</si>
  <si>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</si>
  <si>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</si>
  <si>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</si>
  <si>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</si>
  <si>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</si>
  <si>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</si>
  <si>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</si>
  <si>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</si>
  <si>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</si>
  <si>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</si>
  <si>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</si>
  <si>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</si>
  <si>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</si>
  <si>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</si>
  <si>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</si>
  <si>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</si>
  <si>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</si>
  <si>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</si>
  <si>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</si>
  <si>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</si>
  <si>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</si>
  <si>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</si>
  <si>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</si>
  <si>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</si>
  <si>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</si>
  <si>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</si>
  <si>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</si>
  <si>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</si>
  <si>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</si>
  <si>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</si>
  <si>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</si>
  <si>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</si>
  <si>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</si>
  <si>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</si>
  <si>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</si>
  <si>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</si>
  <si>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</si>
  <si>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</si>
  <si>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</si>
  <si>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</si>
  <si>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</si>
  <si>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</si>
  <si>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</si>
  <si>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</si>
  <si>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</si>
  <si>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</si>
  <si>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</si>
  <si>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</si>
  <si>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</si>
  <si>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</si>
  <si>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</si>
  <si>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</si>
  <si>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</si>
  <si>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</si>
  <si>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</si>
  <si>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</si>
  <si>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</si>
  <si>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</si>
  <si>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</si>
  <si>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</si>
  <si>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</si>
  <si>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</si>
  <si>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</si>
  <si>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</si>
  <si>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</si>
  <si>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</si>
  <si>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</si>
  <si>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</si>
  <si>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</si>
  <si>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</si>
  <si>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</si>
  <si>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</si>
  <si>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</si>
  <si>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</si>
  <si>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</si>
  <si>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</si>
  <si>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</si>
  <si>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</si>
  <si>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</si>
  <si>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</si>
  <si>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</si>
  <si>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</si>
  <si>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</si>
  <si>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</si>
  <si>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</si>
  <si>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</si>
  <si>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</si>
  <si>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</si>
  <si>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</si>
  <si>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</si>
  <si>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</si>
  <si>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</si>
  <si>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</si>
  <si>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</si>
  <si>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</si>
  <si>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</si>
  <si>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</si>
  <si>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</si>
  <si>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</si>
  <si>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</si>
  <si>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</si>
  <si>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</si>
  <si>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</si>
  <si>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</si>
  <si>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</si>
  <si>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</si>
  <si>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</si>
  <si>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</si>
  <si>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</si>
  <si>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</si>
  <si>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</si>
  <si>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</si>
  <si>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</si>
  <si>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</si>
  <si>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</si>
  <si>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</si>
  <si>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</si>
  <si>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</si>
  <si>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</si>
  <si>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</si>
  <si>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</si>
  <si>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</si>
  <si>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</si>
  <si>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</si>
  <si>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</si>
  <si>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</si>
  <si>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</si>
  <si>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</si>
  <si>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</si>
  <si>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</si>
  <si>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</si>
  <si>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</si>
  <si>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</si>
  <si>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</si>
  <si>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</si>
  <si>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</si>
  <si>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</si>
  <si>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</si>
  <si>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</si>
  <si>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</si>
  <si>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</si>
  <si>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</si>
  <si>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</si>
  <si>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</si>
  <si>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</si>
  <si>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</si>
  <si>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</si>
  <si>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</si>
  <si>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</si>
  <si>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</si>
  <si>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</si>
  <si>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</si>
  <si>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</si>
  <si>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</si>
  <si>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</si>
  <si>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</si>
  <si>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</si>
  <si>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</si>
  <si>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</si>
  <si>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</si>
  <si>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</si>
  <si>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</si>
  <si>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</si>
  <si>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</si>
  <si>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</si>
  <si>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</si>
  <si>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</si>
  <si>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</si>
  <si>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</si>
  <si>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</si>
  <si>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</si>
  <si>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</si>
  <si>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</si>
  <si>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</si>
  <si>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</si>
  <si>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</si>
  <si>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</si>
  <si>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</si>
  <si>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</si>
  <si>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</si>
  <si>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</si>
  <si>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</si>
  <si>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</si>
  <si>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</si>
  <si>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</si>
  <si>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</si>
  <si>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</si>
  <si>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</si>
  <si>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</si>
  <si>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</si>
  <si>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</si>
  <si>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</si>
  <si>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</si>
  <si>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</si>
  <si>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</si>
  <si>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</si>
  <si>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</si>
  <si>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</si>
  <si>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</si>
  <si>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</si>
  <si>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</si>
  <si>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</si>
  <si>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</si>
  <si>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</si>
  <si>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</si>
  <si>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</si>
  <si>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</si>
  <si>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</si>
  <si>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</si>
  <si>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</si>
  <si>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</si>
  <si>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</si>
  <si>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</si>
  <si>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</si>
  <si>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</si>
  <si>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</si>
  <si>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</si>
  <si>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</si>
  <si>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</si>
  <si>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</si>
  <si>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</si>
  <si>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</si>
  <si>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</si>
  <si>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</si>
  <si>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</si>
  <si>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</si>
  <si>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</si>
  <si>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</si>
  <si>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</si>
  <si>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</si>
  <si>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</si>
  <si>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</si>
  <si>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</si>
  <si>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</si>
  <si>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</si>
  <si>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</si>
  <si>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</si>
  <si>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</si>
  <si>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</si>
  <si>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</si>
  <si>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</si>
  <si>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</si>
  <si>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</si>
  <si>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</si>
  <si>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</si>
  <si>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</si>
  <si>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</si>
  <si>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</si>
  <si>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</si>
  <si>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</si>
  <si>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</si>
  <si>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</si>
  <si>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</si>
  <si>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</si>
  <si>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</si>
  <si>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</si>
  <si>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</si>
  <si>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</si>
  <si>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</si>
  <si>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</si>
  <si>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</si>
  <si>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</si>
  <si>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</si>
  <si>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</si>
  <si>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</si>
  <si>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</si>
  <si>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</si>
  <si>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</si>
  <si>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</si>
  <si>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</si>
  <si>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</si>
  <si>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</si>
  <si>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</si>
  <si>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</si>
  <si>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</si>
  <si>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</si>
  <si>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</si>
  <si>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</si>
  <si>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</si>
  <si>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</si>
  <si>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</si>
  <si>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</si>
  <si>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</si>
  <si>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</si>
  <si>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</si>
  <si>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</si>
  <si>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</si>
  <si>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</si>
  <si>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</si>
  <si>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</si>
  <si>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</si>
  <si>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</si>
  <si>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</si>
  <si>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</si>
  <si>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</si>
  <si>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</si>
  <si>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</si>
  <si>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</si>
  <si>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</si>
  <si>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</si>
  <si>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</si>
  <si>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</si>
  <si>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</si>
  <si>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</si>
  <si>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</si>
  <si>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</si>
  <si>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</si>
  <si>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</si>
  <si>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</si>
  <si>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</si>
  <si>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</si>
  <si>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</si>
  <si>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</si>
  <si>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</si>
  <si>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</si>
  <si>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</si>
  <si>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</si>
  <si>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</si>
  <si>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</si>
  <si>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</si>
  <si>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</si>
  <si>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</si>
  <si>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</si>
  <si>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</si>
  <si>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</si>
  <si>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</si>
  <si>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</si>
  <si>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</si>
  <si>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</si>
  <si>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</si>
  <si>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</si>
  <si>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</si>
  <si>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</si>
  <si>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</si>
  <si>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</si>
  <si>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</si>
  <si>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</si>
  <si>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</si>
  <si>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</si>
  <si>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</si>
  <si>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</si>
  <si>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</si>
  <si>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</si>
  <si>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</si>
  <si>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</si>
  <si>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</si>
  <si>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</si>
  <si>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</si>
  <si>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</si>
  <si>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</si>
  <si>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</si>
  <si>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</si>
  <si>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</si>
  <si>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</si>
  <si>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</si>
  <si>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</si>
  <si>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</si>
  <si>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</si>
  <si>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</si>
  <si>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</si>
  <si>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</si>
  <si>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</si>
  <si>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</si>
  <si>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</si>
  <si>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</si>
  <si>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</si>
  <si>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</si>
  <si>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</si>
  <si>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</si>
  <si>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</si>
  <si>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</si>
  <si>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</si>
  <si>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</si>
  <si>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</si>
  <si>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</si>
  <si>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</si>
  <si>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</si>
  <si>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</si>
  <si>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</si>
  <si>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</si>
  <si>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</si>
  <si>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</si>
  <si>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</si>
  <si>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</si>
  <si>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</si>
  <si>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</si>
  <si>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</si>
  <si>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</si>
  <si>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</si>
  <si>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</si>
  <si>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</si>
  <si>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</si>
  <si>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</si>
  <si>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</si>
  <si>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</si>
  <si>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</si>
  <si>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</si>
  <si>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</si>
  <si>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</si>
  <si>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</si>
  <si>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</si>
  <si>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</si>
  <si>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</si>
  <si>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</si>
  <si>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</si>
  <si>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</si>
  <si>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</si>
  <si>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</si>
  <si>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</si>
  <si>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</si>
  <si>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</si>
  <si>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</si>
  <si>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</si>
  <si>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</si>
  <si>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</si>
  <si>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</si>
  <si>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</si>
  <si>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</si>
  <si>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</si>
  <si>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</si>
  <si>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</si>
  <si>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</si>
  <si>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</si>
  <si>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</si>
  <si>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</si>
  <si>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</si>
  <si>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</si>
  <si>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</si>
  <si>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</si>
  <si>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</si>
  <si>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</si>
  <si>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</si>
  <si>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</si>
  <si>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</si>
  <si>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</si>
  <si>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</si>
  <si>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</si>
  <si>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</si>
  <si>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</si>
  <si>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</si>
  <si>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</si>
  <si>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</si>
  <si>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</si>
  <si>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</si>
  <si>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</si>
  <si>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</si>
  <si>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</si>
  <si>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</si>
  <si>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</si>
  <si>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</si>
  <si>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</si>
  <si>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</si>
  <si>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</si>
  <si>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</si>
  <si>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</si>
  <si>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</si>
  <si>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</si>
  <si>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</si>
  <si>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</si>
  <si>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</si>
  <si>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</si>
  <si>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</si>
  <si>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</si>
  <si>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</si>
  <si>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</si>
  <si>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</si>
  <si>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</si>
  <si>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</si>
  <si>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</si>
  <si>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</si>
  <si>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</si>
  <si>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</si>
  <si>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</si>
  <si>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</si>
  <si>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</si>
  <si>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</si>
  <si>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</si>
  <si>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</si>
  <si>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</si>
  <si>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</si>
  <si>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</si>
  <si>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</si>
  <si>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</si>
  <si>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</si>
  <si>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</si>
  <si>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</si>
  <si>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</si>
  <si>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</si>
  <si>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</si>
  <si>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</si>
  <si>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</si>
  <si>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</si>
  <si>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</si>
  <si>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</si>
  <si>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</si>
  <si>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</si>
  <si>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</si>
  <si>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</si>
  <si>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</si>
  <si>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</si>
  <si>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</si>
  <si>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</si>
  <si>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</si>
  <si>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</si>
  <si>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</si>
  <si>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</si>
  <si>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</si>
  <si>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</si>
  <si>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</si>
  <si>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</si>
  <si>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</si>
  <si>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</si>
  <si>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</si>
  <si>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</si>
  <si>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</si>
  <si>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</si>
  <si>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</si>
  <si>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</si>
  <si>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</si>
  <si>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</si>
  <si>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</si>
  <si>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</si>
  <si>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</si>
  <si>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</si>
  <si>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</si>
  <si>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</si>
  <si>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</si>
  <si>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</si>
  <si>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</si>
  <si>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</si>
  <si>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</si>
  <si>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</si>
  <si>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</si>
  <si>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</si>
  <si>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</si>
  <si>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</si>
  <si>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</si>
  <si>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</si>
  <si>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</si>
  <si>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</si>
  <si>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</si>
  <si>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</si>
  <si>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</si>
  <si>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</si>
  <si>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</si>
  <si>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</si>
  <si>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</si>
  <si>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</si>
  <si>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</si>
  <si>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</si>
  <si>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</si>
  <si>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</si>
  <si>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</si>
  <si>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concluídas as re-especificações, que neste momento se encontram em validação ou em implementação do lado do IT.
</t>
  </si>
  <si>
    <r>
      <t xml:space="preserve">1. Continua em curso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 Será partilhada durante o dia de hoje a re-especificação relativa aos campos das flags de risco físico para implementação e dos campos de scopes para validação.
 </t>
    </r>
    <r>
      <rPr>
        <u/>
        <sz val="11"/>
        <color theme="1"/>
        <rFont val="Santander Text"/>
        <family val="2"/>
      </rPr>
      <t xml:space="preserve">2.4.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Já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</si>
</sst>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c:v>
                </c:pt>
                <c:pt idx="1">
                  <c:v>1</c:v>
                </c:pt>
                <c:pt idx="2">
                  <c:v>6</c:v>
                </c:pt>
                <c:pt idx="3">
                  <c:v>6</c:v>
                </c:pt>
                <c:pt idx="4">
                  <c:v>8</c:v>
                </c:pt>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5. Em Correção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2</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13</c:v>
                </c:pt>
                <c:pt idx="1">
                  <c:v>11</c:v>
                </c:pt>
                <c:pt idx="2">
                  <c:v>1</c:v>
                </c:pt>
                <c:pt idx="3">
                  <c:v>24</c:v>
                </c:pt>
                <c:pt idx="4">
                  <c:v>4</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5"/>
              </a:solidFill>
              <a:ln>
                <a:noFill/>
              </a:ln>
              <a:effectLst/>
            </c:spPr>
            <c:extLst>
              <c:ext xmlns:c16="http://schemas.microsoft.com/office/drawing/2014/chart" uri="{C3380CC4-5D6E-409C-BE32-E72D297353CC}">
                <c16:uniqueId val="{00000010-75D4-4EB6-B42F-AB8E0C055C1D}"/>
              </c:ext>
            </c:extLst>
          </c:dPt>
          <c:dPt>
            <c:idx val="3"/>
            <c:bubble3D val="0"/>
            <c:spPr>
              <a:solidFill>
                <a:srgbClr val="C00000"/>
              </a:solidFill>
              <a:ln>
                <a:noFill/>
              </a:ln>
              <a:effectLst/>
            </c:spPr>
            <c:extLst>
              <c:ext xmlns:c16="http://schemas.microsoft.com/office/drawing/2014/chart" uri="{C3380CC4-5D6E-409C-BE32-E72D297353CC}">
                <c16:uniqueId val="{0000000F-75D4-4EB6-B42F-AB8E0C055C1D}"/>
              </c:ext>
            </c:extLst>
          </c:dPt>
          <c:dPt>
            <c:idx val="4"/>
            <c:bubble3D val="0"/>
            <c:spPr>
              <a:solidFill>
                <a:srgbClr val="FF0000"/>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4. Validação EF</c:v>
                </c:pt>
                <c:pt idx="3">
                  <c:v>5. Em Correção</c:v>
                </c:pt>
                <c:pt idx="4">
                  <c:v>6. Em implementação (re-especificação)</c:v>
                </c:pt>
              </c:strCache>
            </c:strRef>
          </c:cat>
          <c:val>
            <c:numRef>
              <c:f>'Aux - Pivots2'!$C$73:$C$78</c:f>
              <c:numCache>
                <c:formatCode>General</c:formatCode>
                <c:ptCount val="5"/>
                <c:pt idx="0">
                  <c:v>14</c:v>
                </c:pt>
                <c:pt idx="1">
                  <c:v>153</c:v>
                </c:pt>
                <c:pt idx="2">
                  <c:v>23</c:v>
                </c:pt>
                <c:pt idx="3">
                  <c:v>2</c:v>
                </c:pt>
                <c:pt idx="4">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60414</xdr:rowOff>
    </xdr:from>
    <xdr:to>
      <xdr:col>14</xdr:col>
      <xdr:colOff>621111</xdr:colOff>
      <xdr:row>84</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57538</xdr:rowOff>
    </xdr:from>
    <xdr:to>
      <xdr:col>14</xdr:col>
      <xdr:colOff>621111</xdr:colOff>
      <xdr:row>85</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56118</xdr:rowOff>
    </xdr:from>
    <xdr:to>
      <xdr:col>14</xdr:col>
      <xdr:colOff>621111</xdr:colOff>
      <xdr:row>86</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87</xdr:row>
      <xdr:rowOff>60189</xdr:rowOff>
    </xdr:from>
    <xdr:to>
      <xdr:col>14</xdr:col>
      <xdr:colOff>632959</xdr:colOff>
      <xdr:row>87</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74234</xdr:rowOff>
    </xdr:from>
    <xdr:to>
      <xdr:col>14</xdr:col>
      <xdr:colOff>621111</xdr:colOff>
      <xdr:row>88</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74943</xdr:rowOff>
    </xdr:from>
    <xdr:to>
      <xdr:col>14</xdr:col>
      <xdr:colOff>621111</xdr:colOff>
      <xdr:row>89</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56346</xdr:rowOff>
    </xdr:from>
    <xdr:to>
      <xdr:col>14</xdr:col>
      <xdr:colOff>621111</xdr:colOff>
      <xdr:row>91</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92090</xdr:rowOff>
    </xdr:from>
    <xdr:to>
      <xdr:col>14</xdr:col>
      <xdr:colOff>621111</xdr:colOff>
      <xdr:row>90</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83</xdr:row>
      <xdr:rowOff>37660</xdr:rowOff>
    </xdr:from>
    <xdr:to>
      <xdr:col>14</xdr:col>
      <xdr:colOff>397922</xdr:colOff>
      <xdr:row>96</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80</xdr:row>
      <xdr:rowOff>125619</xdr:rowOff>
    </xdr:from>
    <xdr:to>
      <xdr:col>5</xdr:col>
      <xdr:colOff>664817</xdr:colOff>
      <xdr:row>95</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102</xdr:row>
      <xdr:rowOff>60414</xdr:rowOff>
    </xdr:from>
    <xdr:to>
      <xdr:col>14</xdr:col>
      <xdr:colOff>621111</xdr:colOff>
      <xdr:row>102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57538</xdr:rowOff>
    </xdr:from>
    <xdr:to>
      <xdr:col>14</xdr:col>
      <xdr:colOff>621111</xdr:colOff>
      <xdr:row>103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56118</xdr:rowOff>
    </xdr:from>
    <xdr:to>
      <xdr:col>14</xdr:col>
      <xdr:colOff>621111</xdr:colOff>
      <xdr:row>104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105</xdr:row>
      <xdr:rowOff>60189</xdr:rowOff>
    </xdr:from>
    <xdr:to>
      <xdr:col>14</xdr:col>
      <xdr:colOff>632959</xdr:colOff>
      <xdr:row>105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74234</xdr:rowOff>
    </xdr:from>
    <xdr:to>
      <xdr:col>14</xdr:col>
      <xdr:colOff>621111</xdr:colOff>
      <xdr:row>106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74943</xdr:rowOff>
    </xdr:from>
    <xdr:to>
      <xdr:col>14</xdr:col>
      <xdr:colOff>621111</xdr:colOff>
      <xdr:row>107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56346</xdr:rowOff>
    </xdr:from>
    <xdr:to>
      <xdr:col>14</xdr:col>
      <xdr:colOff>621111</xdr:colOff>
      <xdr:row>109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92090</xdr:rowOff>
    </xdr:from>
    <xdr:to>
      <xdr:col>14</xdr:col>
      <xdr:colOff>621111</xdr:colOff>
      <xdr:row>108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104</xdr:row>
      <xdr:rowOff>130394</xdr:rowOff>
    </xdr:from>
    <xdr:to>
      <xdr:col>14</xdr:col>
      <xdr:colOff>369793</xdr:colOff>
      <xdr:row>107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100</xdr:row>
      <xdr:rowOff>78081</xdr:rowOff>
    </xdr:from>
    <xdr:to>
      <xdr:col>6</xdr:col>
      <xdr:colOff>327030</xdr:colOff>
      <xdr:row>112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9.393311921296"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9.39332106481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9.39332314815"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9.393325231482"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9.39332800926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4. Validação EF"/>
        <s v="5. Em Correção"/>
        <s v="6. Em implementação (re-especificação)"/>
        <s v="2. Em Teste"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9.39333009259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4. Validação EF"/>
        <s v="5. Em Correção"/>
        <s v="6. Em implementação (re-especificação)"/>
        <s v="2. Em Teste"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9.39333206018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9.393348611113"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9.3933504629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5"/>
          </reference>
        </references>
      </pivotArea>
    </chartFormat>
    <chartFormat chart="6" format="37">
      <pivotArea type="data" outline="0" fieldPosition="0">
        <references count="2">
          <reference field="4294967294" count="1" selected="0">
            <x v="0"/>
          </reference>
          <reference field="7" count="1" selected="0">
            <x v="2"/>
          </reference>
        </references>
      </pivotArea>
    </chartFormat>
    <chartFormat chart="6" format="38">
      <pivotArea type="data" outline="0" fieldPosition="0">
        <references count="2">
          <reference field="4294967294" count="1" selected="0">
            <x v="0"/>
          </reference>
          <reference field="7" count="1" selected="0">
            <x v="3"/>
          </reference>
        </references>
      </pivotArea>
    </chartFormat>
    <chartFormat chart="6" format="39">
      <pivotArea type="data" outline="0" fieldPosition="0">
        <references count="2">
          <reference field="4294967294" count="1" selected="0">
            <x v="0"/>
          </reference>
          <reference field="7" count="1" selected="0">
            <x v="4"/>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2"/>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5"/>
          </reference>
        </references>
      </pivotArea>
    </chartFormat>
    <chartFormat chart="3" format="46" series="1">
      <pivotArea type="data" outline="0" fieldPosition="0">
        <references count="2">
          <reference field="4294967294" count="1" selected="0">
            <x v="0"/>
          </reference>
          <reference field="9" count="1" selected="0">
            <x v="4"/>
          </reference>
        </references>
      </pivotArea>
    </chartFormat>
    <chartFormat chart="3" format="47" series="1">
      <pivotArea type="data" outline="0" fieldPosition="0">
        <references count="2">
          <reference field="4294967294"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27" tableBorderDxfId="126">
  <autoFilter ref="B6:M615"/>
  <tableColumns count="12">
    <tableColumn id="1" name="Âmbito" dataDxfId="125"/>
    <tableColumn id="2" name="Sub-âmbito" dataDxfId="124"/>
    <tableColumn id="3" name="Tipo de teste" dataDxfId="123"/>
    <tableColumn id="4" name="Tabela" dataDxfId="122"/>
    <tableColumn id="5" name="Campo" dataDxfId="121"/>
    <tableColumn id="6" name="Status Atual" dataDxfId="120"/>
    <tableColumn id="7" name="Status Anterior" dataDxfId="119"/>
    <tableColumn id="8" name="Observações" dataDxfId="118"/>
    <tableColumn id="9" name="Data de Pedido correção/esclarecimento" dataDxfId="117">
      <calculatedColumnFormula>IF(VLOOKUP(A7,'Aux - pivots1'!$A:$E,3,0)=0, "",VLOOKUP(A7,'Aux - pivots1'!$A:$E,3,0))</calculatedColumnFormula>
    </tableColumn>
    <tableColumn id="10" name="Data de correção prevista" dataDxfId="116">
      <calculatedColumnFormula>IF(VLOOKUP(A7,'Aux - pivots1'!$A:$E,4,0)=0, "",VLOOKUP(A7,'Aux - pivots1'!$A:$E,4,0))</calculatedColumnFormula>
    </tableColumn>
    <tableColumn id="11" name="Data de correção efetiva" dataDxfId="115">
      <calculatedColumnFormula>IF(VLOOKUP(A7,'Aux - pivots1'!$A:$E,5,0)=0, "",VLOOKUP(A7,'Aux - pivots1'!$A:$E,5,0))</calculatedColumnFormula>
    </tableColumn>
    <tableColumn id="12" name="Data Reunião" dataDxfId="114"/>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13" dataDxfId="111" totalsRowDxfId="109" headerRowBorderDxfId="112" tableBorderDxfId="110" totalsRowBorderDxfId="108">
  <autoFilter ref="B8:X1443">
    <filterColumn colId="1">
      <filters>
        <filter val="Modelo Verde - Output"/>
      </filters>
    </filterColumn>
    <filterColumn colId="4">
      <filters>
        <filter val="modesg_out_bens_imoveis"/>
      </filters>
    </filterColumn>
    <filterColumn colId="7">
      <filters>
        <filter val="2. Em Teste"/>
        <filter val="4. Validação EF"/>
        <filter val="6. Em implementação (re-especificação)"/>
      </filters>
    </filterColumn>
  </autoFilter>
  <tableColumns count="23">
    <tableColumn id="1" name="Âmbito" dataDxfId="107" totalsRowDxfId="106"/>
    <tableColumn id="12" name="Sub-âmbito" dataDxfId="105" totalsRowDxfId="104"/>
    <tableColumn id="2" name="Origem" dataDxfId="103" totalsRowDxfId="102"/>
    <tableColumn id="18" name="Campo Origem" dataDxfId="101" totalsRowDxfId="100"/>
    <tableColumn id="5" name="Tabela" dataDxfId="99" totalsRowDxfId="98"/>
    <tableColumn id="3" name="Campo" dataDxfId="97" totalsRowDxfId="96"/>
    <tableColumn id="20" name="concat" dataDxfId="95" totalsRowDxfId="94">
      <calculatedColumnFormula>Table1[[#This Row],[Tabela]]&amp;Table1[[#This Row],[Campo]]</calculatedColumnFormula>
    </tableColumn>
    <tableColumn id="4" name="Status" dataDxfId="93" totalsRowDxfId="92"/>
    <tableColumn id="19" name="Status2" dataDxfId="91">
      <calculatedColumnFormula>VLOOKUP(Table1[[#This Row],[Status]],Auxiliar!$B$16:$C$23,2,0)</calculatedColumnFormula>
    </tableColumn>
    <tableColumn id="6" name="Tipologia_Testes" dataDxfId="90" totalsRowDxfId="89"/>
    <tableColumn id="10" name="Necessidade de re-especificação? (campo)" dataDxfId="88" totalsRowDxfId="87"/>
    <tableColumn id="9" name="Complexidade" dataDxfId="86" totalsRowDxfId="85"/>
    <tableColumn id="17" name="Data de Alteração Status" dataDxfId="84" totalsRowDxfId="83"/>
    <tableColumn id="8"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name="Notas" dataDxfId="80" totalsRowDxfId="79"/>
    <tableColumn id="11" name="Owner" dataDxfId="78" totalsRowDxfId="77"/>
    <tableColumn id="21" name="Data alteração especificação" dataDxfId="76" totalsRowDxfId="75"/>
    <tableColumn id="13" name="Data de inicio testes" dataDxfId="74" totalsRowDxfId="73"/>
    <tableColumn id="14" name="Data de incidência / pedido esclarecimento" dataDxfId="72" totalsRowDxfId="71"/>
    <tableColumn id="15" name="Data de correção/resposta prevista" dataDxfId="70" totalsRowDxfId="69"/>
    <tableColumn id="22" name="Data de correção/resposta efetiva" dataDxfId="68" totalsRowDxfId="67"/>
    <tableColumn id="23" name="Horas efetivas" dataDxfId="66" totalsRowDxfId="65">
      <calculatedColumnFormula>VLOOKUP(Table1[[#This Row],[Status]],Auxiliar!$B$16:$D$23,3,0)*Table1[[#This Row],[Estimação (horas)]]</calculatedColumnFormula>
    </tableColumn>
    <tableColumn id="16"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6. Em implementação (re-especificação)</v>
      </c>
      <c r="H377" s="73">
        <f>VLOOKUP(A377,'Aux - pivots1'!$A:$B,2,0)</f>
        <v>6</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6. Em implementação (re-especificação)</v>
      </c>
      <c r="H378" s="73">
        <f>VLOOKUP(A378,'Aux - pivots1'!$A:$B,2,0)</f>
        <v>6</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6. Em implementação (re-especificação)</v>
      </c>
      <c r="H379" s="73">
        <f>VLOOKUP(A379,'Aux - pivots1'!$A:$B,2,0)</f>
        <v>6</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6. Em implementação (re-especificação)</v>
      </c>
      <c r="H380" s="73">
        <f>VLOOKUP(A380,'Aux - pivots1'!$A:$B,2,0)</f>
        <v>6</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51"/>
        <v>0.51249999999999996</v>
      </c>
      <c r="K381" s="93">
        <f>SUMIFS(Table1[Horas efetivas],Table1[Tabela],Plano_V3!E381,Table1[Campo],Plano_V3!F381)</f>
        <v>1.0249999999999999</v>
      </c>
      <c r="L381" s="93">
        <f t="shared" si="52"/>
        <v>0.12812499999999999</v>
      </c>
      <c r="M381" s="93">
        <f t="shared" si="53"/>
        <v>0.25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51"/>
        <v>0.51249999999999996</v>
      </c>
      <c r="K382" s="93">
        <f>SUMIFS(Table1[Horas efetivas],Table1[Tabela],Plano_V3!E382,Table1[Campo],Plano_V3!F382)</f>
        <v>1.0249999999999999</v>
      </c>
      <c r="L382" s="93">
        <f t="shared" si="52"/>
        <v>0.12812499999999999</v>
      </c>
      <c r="M382" s="93">
        <f t="shared" si="53"/>
        <v>0.25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51"/>
        <v>0.51249999999999996</v>
      </c>
      <c r="K383" s="93">
        <f>SUMIFS(Table1[Horas efetivas],Table1[Tabela],Plano_V3!E383,Table1[Campo],Plano_V3!F383)</f>
        <v>1.0249999999999999</v>
      </c>
      <c r="L383" s="93">
        <f t="shared" si="52"/>
        <v>0.12812499999999999</v>
      </c>
      <c r="M383" s="93">
        <f t="shared" si="53"/>
        <v>0.25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4. Validação EF</v>
      </c>
      <c r="H385" s="73">
        <f>VLOOKUP(A385,'Aux - pivots1'!$A:$B,2,0)</f>
        <v>4</v>
      </c>
      <c r="I385" s="93">
        <f>SUMIFS(Table1[Estimação (horas)],Table1[Tabela],Plano_V3!E385,Table1[Campo],Plano_V3!F385)</f>
        <v>8.1</v>
      </c>
      <c r="J385" s="93">
        <f t="shared" si="51"/>
        <v>1.0125</v>
      </c>
      <c r="K385" s="93">
        <f>SUMIFS(Table1[Horas efetivas],Table1[Tabela],Plano_V3!E385,Table1[Campo],Plano_V3!F385)</f>
        <v>2.0249999999999999</v>
      </c>
      <c r="L385" s="93">
        <f t="shared" si="52"/>
        <v>0.25312499999999999</v>
      </c>
      <c r="M385" s="93">
        <f t="shared" si="53"/>
        <v>0.25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4. Validação EF</v>
      </c>
      <c r="H386" s="73">
        <f>VLOOKUP(A386,'Aux - pivots1'!$A:$B,2,0)</f>
        <v>4</v>
      </c>
      <c r="I386" s="93">
        <f>SUMIFS(Table1[Estimação (horas)],Table1[Tabela],Plano_V3!E386,Table1[Campo],Plano_V3!F386)</f>
        <v>8.1</v>
      </c>
      <c r="J386" s="93">
        <f t="shared" si="51"/>
        <v>1.0125</v>
      </c>
      <c r="K386" s="93">
        <f>SUMIFS(Table1[Horas efetivas],Table1[Tabela],Plano_V3!E386,Table1[Campo],Plano_V3!F386)</f>
        <v>2.0249999999999999</v>
      </c>
      <c r="L386" s="93">
        <f t="shared" si="52"/>
        <v>0.25312499999999999</v>
      </c>
      <c r="M386" s="93">
        <f t="shared" si="53"/>
        <v>0.25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4. Validação EF</v>
      </c>
      <c r="H388" s="73">
        <f>VLOOKUP(A388,'Aux - pivots1'!$A:$B,2,0)</f>
        <v>4</v>
      </c>
      <c r="I388" s="93">
        <f>SUMIFS(Table1[Estimação (horas)],Table1[Tabela],Plano_V3!E388,Table1[Campo],Plano_V3!F388)</f>
        <v>4.0999999999999996</v>
      </c>
      <c r="J388" s="93">
        <f t="shared" si="51"/>
        <v>0.51249999999999996</v>
      </c>
      <c r="K388" s="93">
        <f>SUMIFS(Table1[Horas efetivas],Table1[Tabela],Plano_V3!E388,Table1[Campo],Plano_V3!F388)</f>
        <v>1.0249999999999999</v>
      </c>
      <c r="L388" s="93">
        <f t="shared" si="52"/>
        <v>0.12812499999999999</v>
      </c>
      <c r="M388" s="93">
        <f t="shared" si="53"/>
        <v>0.25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4. Validação EF</v>
      </c>
      <c r="H389" s="73">
        <f>VLOOKUP(A389,'Aux - pivots1'!$A:$B,2,0)</f>
        <v>4</v>
      </c>
      <c r="I389" s="93">
        <f>SUMIFS(Table1[Estimação (horas)],Table1[Tabela],Plano_V3!E389,Table1[Campo],Plano_V3!F389)</f>
        <v>4.0999999999999996</v>
      </c>
      <c r="J389" s="93">
        <f t="shared" si="51"/>
        <v>0.51249999999999996</v>
      </c>
      <c r="K389" s="93">
        <f>SUMIFS(Table1[Horas efetivas],Table1[Tabela],Plano_V3!E389,Table1[Campo],Plano_V3!F389)</f>
        <v>1.0249999999999999</v>
      </c>
      <c r="L389" s="93">
        <f t="shared" si="52"/>
        <v>0.12812499999999999</v>
      </c>
      <c r="M389" s="93">
        <f t="shared" si="53"/>
        <v>0.25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4. Validação EF</v>
      </c>
      <c r="H390" s="73">
        <f>VLOOKUP(A390,'Aux - pivots1'!$A:$B,2,0)</f>
        <v>4</v>
      </c>
      <c r="I390" s="93">
        <f>SUMIFS(Table1[Estimação (horas)],Table1[Tabela],Plano_V3!E390,Table1[Campo],Plano_V3!F390)</f>
        <v>4.0999999999999996</v>
      </c>
      <c r="J390" s="93">
        <f t="shared" si="51"/>
        <v>0.51249999999999996</v>
      </c>
      <c r="K390" s="93">
        <f>SUMIFS(Table1[Horas efetivas],Table1[Tabela],Plano_V3!E390,Table1[Campo],Plano_V3!F390)</f>
        <v>1.0249999999999999</v>
      </c>
      <c r="L390" s="93">
        <f t="shared" si="52"/>
        <v>0.12812499999999999</v>
      </c>
      <c r="M390" s="93">
        <f t="shared" si="53"/>
        <v>0.25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6. Em implementação (re-especificação)</v>
      </c>
      <c r="H409" s="73">
        <f>VLOOKUP(A409,'Aux - pivots1'!$A:$B,2,0)</f>
        <v>6</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6. Em implementação (re-especificação)</v>
      </c>
      <c r="H410" s="73">
        <f>VLOOKUP(A410,'Aux - pivots1'!$A:$B,2,0)</f>
        <v>6</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6. Em implementação (re-especificação)</v>
      </c>
      <c r="H414" s="73">
        <f>VLOOKUP(A414,'Aux - pivots1'!$A:$B,2,0)</f>
        <v>6</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6. Em implementação (re-especificação)</v>
      </c>
      <c r="H415" s="73">
        <f>VLOOKUP(A415,'Aux - pivots1'!$A:$B,2,0)</f>
        <v>6</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51"/>
        <v>0.51249999999999996</v>
      </c>
      <c r="K416" s="93">
        <f>SUMIFS(Table1[Horas efetivas],Table1[Tabela],Plano_V3!E416,Table1[Campo],Plano_V3!F416)</f>
        <v>1.0249999999999999</v>
      </c>
      <c r="L416" s="93">
        <f t="shared" si="52"/>
        <v>0.12812499999999999</v>
      </c>
      <c r="M416" s="93">
        <f t="shared" si="53"/>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4. Validação EF</v>
      </c>
      <c r="H417" s="73">
        <f>VLOOKUP(A417,'Aux - pivots1'!$A:$B,2,0)</f>
        <v>4</v>
      </c>
      <c r="I417" s="93">
        <f>SUMIFS(Table1[Estimação (horas)],Table1[Tabela],Plano_V3!E417,Table1[Campo],Plano_V3!F417)</f>
        <v>4.0999999999999996</v>
      </c>
      <c r="J417" s="93">
        <f t="shared" si="51"/>
        <v>0.51249999999999996</v>
      </c>
      <c r="K417" s="93">
        <f>SUMIFS(Table1[Horas efetivas],Table1[Tabela],Plano_V3!E417,Table1[Campo],Plano_V3!F417)</f>
        <v>1.0249999999999999</v>
      </c>
      <c r="L417" s="93">
        <f t="shared" si="52"/>
        <v>0.12812499999999999</v>
      </c>
      <c r="M417" s="93">
        <f t="shared" si="53"/>
        <v>0.25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4. Validação EF</v>
      </c>
      <c r="H418" s="73">
        <f>VLOOKUP(A418,'Aux - pivots1'!$A:$B,2,0)</f>
        <v>4</v>
      </c>
      <c r="I418" s="93">
        <f>SUMIFS(Table1[Estimação (horas)],Table1[Tabela],Plano_V3!E418,Table1[Campo],Plano_V3!F418)</f>
        <v>4.0999999999999996</v>
      </c>
      <c r="J418" s="93">
        <f t="shared" si="51"/>
        <v>0.51249999999999996</v>
      </c>
      <c r="K418" s="93">
        <f>SUMIFS(Table1[Horas efetivas],Table1[Tabela],Plano_V3!E418,Table1[Campo],Plano_V3!F418)</f>
        <v>1.0249999999999999</v>
      </c>
      <c r="L418" s="93">
        <f t="shared" si="52"/>
        <v>0.12812499999999999</v>
      </c>
      <c r="M418" s="93">
        <f t="shared" si="53"/>
        <v>0.25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4. Validação EF</v>
      </c>
      <c r="H420" s="73">
        <f>VLOOKUP(A420,'Aux - pivots1'!$A:$B,2,0)</f>
        <v>4</v>
      </c>
      <c r="I420" s="93">
        <f>SUMIFS(Table1[Estimação (horas)],Table1[Tabela],Plano_V3!E420,Table1[Campo],Plano_V3!F420)</f>
        <v>8.1</v>
      </c>
      <c r="J420" s="93">
        <f t="shared" si="51"/>
        <v>1.0125</v>
      </c>
      <c r="K420" s="93">
        <f>SUMIFS(Table1[Horas efetivas],Table1[Tabela],Plano_V3!E420,Table1[Campo],Plano_V3!F420)</f>
        <v>2.0249999999999999</v>
      </c>
      <c r="L420" s="93">
        <f t="shared" si="52"/>
        <v>0.25312499999999999</v>
      </c>
      <c r="M420" s="93">
        <f t="shared" si="53"/>
        <v>0.25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4. Validação EF</v>
      </c>
      <c r="H421" s="73">
        <f>VLOOKUP(A421,'Aux - pivots1'!$A:$B,2,0)</f>
        <v>4</v>
      </c>
      <c r="I421" s="93">
        <f>SUMIFS(Table1[Estimação (horas)],Table1[Tabela],Plano_V3!E421,Table1[Campo],Plano_V3!F421)</f>
        <v>8.1</v>
      </c>
      <c r="J421" s="93">
        <f t="shared" si="51"/>
        <v>1.0125</v>
      </c>
      <c r="K421" s="93">
        <f>SUMIFS(Table1[Horas efetivas],Table1[Tabela],Plano_V3!E421,Table1[Campo],Plano_V3!F421)</f>
        <v>2.0249999999999999</v>
      </c>
      <c r="L421" s="93">
        <f t="shared" si="52"/>
        <v>0.25312499999999999</v>
      </c>
      <c r="M421" s="93">
        <f t="shared" si="53"/>
        <v>0.25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4. Validação EF</v>
      </c>
      <c r="H422" s="73">
        <f>VLOOKUP(A422,'Aux - pivots1'!$A:$B,2,0)</f>
        <v>4</v>
      </c>
      <c r="I422" s="93">
        <f>SUMIFS(Table1[Estimação (horas)],Table1[Tabela],Plano_V3!E422,Table1[Campo],Plano_V3!F422)</f>
        <v>8.1</v>
      </c>
      <c r="J422" s="93">
        <f t="shared" si="51"/>
        <v>1.0125</v>
      </c>
      <c r="K422" s="93">
        <f>SUMIFS(Table1[Horas efetivas],Table1[Tabela],Plano_V3!E422,Table1[Campo],Plano_V3!F422)</f>
        <v>2.0249999999999999</v>
      </c>
      <c r="L422" s="93">
        <f t="shared" si="52"/>
        <v>0.25312499999999999</v>
      </c>
      <c r="M422" s="93">
        <f t="shared" si="53"/>
        <v>0.25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4. Validação EF</v>
      </c>
      <c r="H430" s="73">
        <f>VLOOKUP(A430,'Aux - pivots1'!$A:$B,2,0)</f>
        <v>4</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4. Validação EF</v>
      </c>
      <c r="H431" s="73">
        <f>VLOOKUP(A431,'Aux - pivots1'!$A:$B,2,0)</f>
        <v>4</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4. Validação EF</v>
      </c>
      <c r="H432" s="73">
        <f>VLOOKUP(A432,'Aux - pivots1'!$A:$B,2,0)</f>
        <v>4</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4. Validação EF</v>
      </c>
      <c r="H434" s="73">
        <f>VLOOKUP(A434,'Aux - pivots1'!$A:$B,2,0)</f>
        <v>4</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4. Validação EF</v>
      </c>
      <c r="H435" s="73">
        <f>VLOOKUP(A435,'Aux - pivots1'!$A:$B,2,0)</f>
        <v>4</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4. Validação EF</v>
      </c>
      <c r="H436" s="73">
        <f>VLOOKUP(A436,'Aux - pivots1'!$A:$B,2,0)</f>
        <v>4</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30.028125000000024</v>
      </c>
      <c r="L455" s="93">
        <f>K455/8</f>
        <v>3.753515625000003</v>
      </c>
      <c r="M455" s="93">
        <f t="shared" si="58"/>
        <v>0.33934877807599917</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62" priority="19" operator="notEqual">
      <formula>0</formula>
    </cfRule>
  </conditionalFormatting>
  <conditionalFormatting sqref="O21:O23">
    <cfRule type="cellIs" dxfId="61" priority="11" operator="notEqual">
      <formula>0</formula>
    </cfRule>
  </conditionalFormatting>
  <conditionalFormatting sqref="O26:O456">
    <cfRule type="cellIs" dxfId="60" priority="1" operator="notEqual">
      <formula>0</formula>
    </cfRule>
  </conditionalFormatting>
  <conditionalFormatting sqref="P5:P6 Q6:EQ6">
    <cfRule type="cellIs" dxfId="59" priority="20" operator="notEqual">
      <formula>0</formula>
    </cfRule>
  </conditionalFormatting>
  <conditionalFormatting sqref="P15:EQ18 P21:EQ23 P26:EQ26">
    <cfRule type="cellIs" dxfId="58" priority="18" operator="greaterThan">
      <formula>0</formula>
    </cfRule>
  </conditionalFormatting>
  <conditionalFormatting sqref="P41:EQ41">
    <cfRule type="cellIs" dxfId="57" priority="16" operator="greaterThan">
      <formula>0</formula>
    </cfRule>
  </conditionalFormatting>
  <conditionalFormatting sqref="P204:EQ204">
    <cfRule type="cellIs" dxfId="56" priority="15" operator="greaterThan">
      <formula>0</formula>
    </cfRule>
  </conditionalFormatting>
  <conditionalFormatting sqref="P371:EQ371">
    <cfRule type="cellIs" dxfId="55" priority="14" operator="greaterThan">
      <formula>0</formula>
    </cfRule>
  </conditionalFormatting>
  <conditionalFormatting sqref="P456:EQ456">
    <cfRule type="cellIs" dxfId="54"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6. Em implementação (re-especificação)</v>
      </c>
      <c r="H368" s="73">
        <f>VLOOKUP(A368,'Aux - pivots1'!$A:$B,2,0)</f>
        <v>6</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6. Em implementação (re-especificação)</v>
      </c>
      <c r="H369" s="73">
        <f>VLOOKUP(A369,'Aux - pivots1'!$A:$B,2,0)</f>
        <v>6</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6. Em implementação (re-especificação)</v>
      </c>
      <c r="H370" s="73">
        <f>VLOOKUP(A370,'Aux - pivots1'!$A:$B,2,0)</f>
        <v>6</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6. Em implementação (re-especificação)</v>
      </c>
      <c r="H371" s="73">
        <f>VLOOKUP(A371,'Aux - pivots1'!$A:$B,2,0)</f>
        <v>6</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6. Em implementação (re-especificação)</v>
      </c>
      <c r="H400" s="73">
        <f>VLOOKUP(A400,'Aux - pivots1'!$A:$B,2,0)</f>
        <v>6</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6. Em implementação (re-especificação)</v>
      </c>
      <c r="H401" s="73">
        <f>VLOOKUP(A401,'Aux - pivots1'!$A:$B,2,0)</f>
        <v>6</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6. Em implementação (re-especificação)</v>
      </c>
      <c r="H405" s="73">
        <f>VLOOKUP(A405,'Aux - pivots1'!$A:$B,2,0)</f>
        <v>6</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6. Em implementação (re-especificação)</v>
      </c>
      <c r="H406" s="73">
        <f>VLOOKUP(A406,'Aux - pivots1'!$A:$B,2,0)</f>
        <v>6</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46" priority="11" operator="notEqual">
      <formula>0</formula>
    </cfRule>
  </conditionalFormatting>
  <conditionalFormatting sqref="L21:L23">
    <cfRule type="cellIs" dxfId="45" priority="3" operator="notEqual">
      <formula>0</formula>
    </cfRule>
  </conditionalFormatting>
  <conditionalFormatting sqref="L577:L579">
    <cfRule type="cellIs" dxfId="44" priority="2" operator="notEqual">
      <formula>0</formula>
    </cfRule>
  </conditionalFormatting>
  <conditionalFormatting sqref="L582:L636">
    <cfRule type="cellIs" dxfId="43" priority="1" operator="notEqual">
      <formula>0</formula>
    </cfRule>
  </conditionalFormatting>
  <conditionalFormatting sqref="M5:M6 N6:FK6">
    <cfRule type="cellIs" dxfId="42" priority="12" operator="notEqual">
      <formula>0</formula>
    </cfRule>
  </conditionalFormatting>
  <conditionalFormatting sqref="M15:FK18 M21:FK23 M577:FK579 M636:FK636">
    <cfRule type="cellIs" dxfId="41" priority="10" operator="greaterThan">
      <formula>0</formula>
    </cfRule>
  </conditionalFormatting>
  <conditionalFormatting sqref="M26:FK27">
    <cfRule type="cellIs" dxfId="40" priority="9" operator="greaterThan">
      <formula>0</formula>
    </cfRule>
  </conditionalFormatting>
  <conditionalFormatting sqref="M42:FK42">
    <cfRule type="cellIs" dxfId="39" priority="8" operator="greaterThan">
      <formula>0</formula>
    </cfRule>
  </conditionalFormatting>
  <conditionalFormatting sqref="M198:FK198">
    <cfRule type="cellIs" dxfId="38" priority="7" operator="greaterThan">
      <formula>0</formula>
    </cfRule>
  </conditionalFormatting>
  <conditionalFormatting sqref="M362:FK362">
    <cfRule type="cellIs" dxfId="37" priority="6" operator="greaterThan">
      <formula>0</formula>
    </cfRule>
  </conditionalFormatting>
  <conditionalFormatting sqref="M447:FK447">
    <cfRule type="cellIs" dxfId="36" priority="5" operator="greaterThan">
      <formula>0</formula>
    </cfRule>
  </conditionalFormatting>
  <conditionalFormatting sqref="M582:FK583">
    <cfRule type="cellIs" dxfId="3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abSelected="1" zoomScale="70" zoomScaleNormal="70" workbookViewId="0">
      <selection activeCell="X52" sqref="X52:AF78"/>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1885</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1887</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45562</v>
      </c>
      <c r="U25" s="150">
        <f>T25+7</f>
        <v>45569</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1884</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168</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45562</v>
      </c>
      <c r="U51" s="150">
        <f>$U$25</f>
        <v>45569</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2"/>
      <c r="X52" s="238" t="s">
        <v>1888</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1"/>
        <v>-20</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23</v>
      </c>
      <c r="V56" s="27">
        <f t="shared" si="1"/>
        <v>12</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53</v>
      </c>
      <c r="V58" s="27">
        <f t="shared" si="1"/>
        <v>8</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4"/>
      <c r="Y78" s="245"/>
      <c r="Z78" s="245"/>
      <c r="AA78" s="245"/>
      <c r="AB78" s="245"/>
      <c r="AC78" s="245"/>
      <c r="AD78" s="245"/>
      <c r="AE78" s="245"/>
      <c r="AF78" s="246"/>
      <c r="AG78" s="183"/>
      <c r="AH78" s="135"/>
    </row>
    <row r="79" spans="1:34">
      <c r="A79" s="135"/>
      <c r="B79" s="142"/>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4"/>
      <c r="AH79" s="135"/>
    </row>
    <row r="80" spans="1:34">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row>
    <row r="81" spans="1:34" ht="22.2">
      <c r="A81" s="135"/>
      <c r="B81" s="145" t="s">
        <v>490</v>
      </c>
      <c r="C81" s="135"/>
      <c r="D81" s="135"/>
      <c r="E81" s="135"/>
      <c r="F81" s="135"/>
      <c r="G81" s="147" t="s">
        <v>28</v>
      </c>
      <c r="H81" s="147"/>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row>
    <row r="82" spans="1:34" ht="4.9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row>
    <row r="83" spans="1:34">
      <c r="A83" s="135"/>
      <c r="B83" s="137"/>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9"/>
      <c r="AH83" s="135"/>
    </row>
    <row r="84" spans="1:34">
      <c r="A84" s="135"/>
      <c r="B84" s="140"/>
      <c r="C84" s="180" t="s">
        <v>472</v>
      </c>
      <c r="G84" s="180" t="s">
        <v>473</v>
      </c>
      <c r="P84" s="148" t="s">
        <v>1812</v>
      </c>
      <c r="Q84" s="149"/>
      <c r="R84" s="148"/>
      <c r="S84" s="149"/>
      <c r="T84" s="150">
        <f>T25</f>
        <v>45562</v>
      </c>
      <c r="U84" s="150">
        <f>$U$25</f>
        <v>45569</v>
      </c>
      <c r="V84" s="151" t="s">
        <v>474</v>
      </c>
      <c r="X84" s="181" t="s">
        <v>475</v>
      </c>
      <c r="AG84" s="141"/>
      <c r="AH84" s="135"/>
    </row>
    <row r="85" spans="1:34">
      <c r="A85" s="135"/>
      <c r="B85" s="140"/>
      <c r="P85" s="27" t="s">
        <v>476</v>
      </c>
      <c r="T85" s="27">
        <f>COUNTIFS(Table4[Status Anterior],'1. Status Resumo'!$P85,Table4[Sub-âmbito],'1. Status Resumo'!$G$81,Table4[Tipo de teste],"2. Campo")</f>
        <v>0</v>
      </c>
      <c r="U85" s="27">
        <f>COUNTIFS(Table4[Status Atual],'1. Status Resumo'!$P85,Table4[Sub-âmbito],'1. Status Resumo'!$G$81,Table4[Tipo de teste],"2. Campo")</f>
        <v>0</v>
      </c>
      <c r="V85" s="27">
        <f>U85-T85</f>
        <v>0</v>
      </c>
      <c r="X85" s="219" t="s">
        <v>1868</v>
      </c>
      <c r="Y85" s="220"/>
      <c r="Z85" s="220"/>
      <c r="AA85" s="220"/>
      <c r="AB85" s="220"/>
      <c r="AC85" s="220"/>
      <c r="AD85" s="220"/>
      <c r="AE85" s="220"/>
      <c r="AF85" s="221"/>
      <c r="AG85" s="188"/>
      <c r="AH85" s="135"/>
    </row>
    <row r="86" spans="1:34">
      <c r="A86" s="135"/>
      <c r="B86" s="140"/>
      <c r="P86" s="27" t="s">
        <v>477</v>
      </c>
      <c r="T86" s="27">
        <f>COUNTIFS(Table4[Status Anterior],'1. Status Resumo'!$P86,Table4[Sub-âmbito],'1. Status Resumo'!$G$81,Table4[Tipo de teste],"2. Campo")</f>
        <v>42</v>
      </c>
      <c r="U86" s="27">
        <f>COUNTIFS(Table4[Status Atual],'1. Status Resumo'!$P86,Table4[Sub-âmbito],'1. Status Resumo'!$G$81,Table4[Tipo de teste],"2. Campo")</f>
        <v>42</v>
      </c>
      <c r="V86" s="27">
        <f t="shared" ref="V86:V92" si="2">U86-T86</f>
        <v>0</v>
      </c>
      <c r="X86" s="222"/>
      <c r="Y86" s="223"/>
      <c r="Z86" s="223"/>
      <c r="AA86" s="223"/>
      <c r="AB86" s="223"/>
      <c r="AC86" s="223"/>
      <c r="AD86" s="223"/>
      <c r="AE86" s="223"/>
      <c r="AF86" s="224"/>
      <c r="AG86" s="188"/>
      <c r="AH86" s="135"/>
    </row>
    <row r="87" spans="1:34">
      <c r="A87" s="135"/>
      <c r="B87" s="140"/>
      <c r="P87" s="27" t="s">
        <v>177</v>
      </c>
      <c r="T87" s="27">
        <f>COUNTIFS(Table4[Status Anterior],'1. Status Resumo'!$P87,Table4[Sub-âmbito],'1. Status Resumo'!$G$81,Table4[Tipo de teste],"2. Campo")</f>
        <v>0</v>
      </c>
      <c r="U87" s="27">
        <f>COUNTIFS(Table4[Status Atual],'1. Status Resumo'!$P87,Table4[Sub-âmbito],'1. Status Resumo'!$G$81,Table4[Tipo de teste],"2. Campo")</f>
        <v>0</v>
      </c>
      <c r="V87" s="27">
        <f t="shared" si="2"/>
        <v>0</v>
      </c>
      <c r="X87" s="222"/>
      <c r="Y87" s="223"/>
      <c r="Z87" s="223"/>
      <c r="AA87" s="223"/>
      <c r="AB87" s="223"/>
      <c r="AC87" s="223"/>
      <c r="AD87" s="223"/>
      <c r="AE87" s="223"/>
      <c r="AF87" s="224"/>
      <c r="AG87" s="188"/>
      <c r="AH87" s="135"/>
    </row>
    <row r="88" spans="1:34" ht="17.55" customHeight="1">
      <c r="A88" s="135"/>
      <c r="B88" s="140"/>
      <c r="D88" s="237" t="str">
        <f>"# "&amp;U93</f>
        <v># 126</v>
      </c>
      <c r="E88" s="237"/>
      <c r="P88" s="27" t="s">
        <v>478</v>
      </c>
      <c r="T88" s="27">
        <f>COUNTIFS(Table4[Status Anterior],'1. Status Resumo'!$P88,Table4[Sub-âmbito],'1. Status Resumo'!$G$81,Table4[Tipo de teste],"2. Campo")</f>
        <v>0</v>
      </c>
      <c r="U88" s="27">
        <f>COUNTIFS(Table4[Status Atual],'1. Status Resumo'!$P88,Table4[Sub-âmbito],'1. Status Resumo'!$G$81,Table4[Tipo de teste],"2. Campo")</f>
        <v>0</v>
      </c>
      <c r="V88" s="27">
        <f t="shared" si="2"/>
        <v>0</v>
      </c>
      <c r="X88" s="222"/>
      <c r="Y88" s="223"/>
      <c r="Z88" s="223"/>
      <c r="AA88" s="223"/>
      <c r="AB88" s="223"/>
      <c r="AC88" s="223"/>
      <c r="AD88" s="223"/>
      <c r="AE88" s="223"/>
      <c r="AF88" s="224"/>
      <c r="AG88" s="188"/>
      <c r="AH88" s="135"/>
    </row>
    <row r="89" spans="1:34" ht="17.55" customHeight="1">
      <c r="A89" s="135"/>
      <c r="B89" s="140"/>
      <c r="D89" s="237"/>
      <c r="E89" s="237"/>
      <c r="P89" s="27" t="s">
        <v>479</v>
      </c>
      <c r="T89" s="27">
        <f>COUNTIFS(Table4[Status Anterior],'1. Status Resumo'!$P89,Table4[Sub-âmbito],'1. Status Resumo'!$G$81,Table4[Tipo de teste],"2. Campo")</f>
        <v>9</v>
      </c>
      <c r="U89" s="27">
        <f>COUNTIFS(Table4[Status Atual],'1. Status Resumo'!$P89,Table4[Sub-âmbito],'1. Status Resumo'!$G$81,Table4[Tipo de teste],"2. Campo")</f>
        <v>9</v>
      </c>
      <c r="V89" s="27">
        <f t="shared" si="2"/>
        <v>0</v>
      </c>
      <c r="X89" s="222"/>
      <c r="Y89" s="223"/>
      <c r="Z89" s="223"/>
      <c r="AA89" s="223"/>
      <c r="AB89" s="223"/>
      <c r="AC89" s="223"/>
      <c r="AD89" s="223"/>
      <c r="AE89" s="223"/>
      <c r="AF89" s="224"/>
      <c r="AG89" s="188"/>
      <c r="AH89" s="135"/>
    </row>
    <row r="90" spans="1:34">
      <c r="A90" s="135"/>
      <c r="B90" s="140"/>
      <c r="P90" s="27" t="s">
        <v>480</v>
      </c>
      <c r="R90" s="27" t="s">
        <v>481</v>
      </c>
      <c r="T90" s="27">
        <f>COUNTIFS(Table4[Status Anterior],'1. Status Resumo'!$P90,Table4[Sub-âmbito],'1. Status Resumo'!$G$81,Table4[Tipo de teste],"2. Campo")</f>
        <v>0</v>
      </c>
      <c r="U90" s="27">
        <f>COUNTIFS(Table4[Status Atual],'1. Status Resumo'!$P90,Table4[Sub-âmbito],'1. Status Resumo'!$G$81,Table4[Tipo de teste],"2. Campo")</f>
        <v>0</v>
      </c>
      <c r="V90" s="27">
        <f t="shared" si="2"/>
        <v>0</v>
      </c>
      <c r="X90" s="222"/>
      <c r="Y90" s="223"/>
      <c r="Z90" s="223"/>
      <c r="AA90" s="223"/>
      <c r="AB90" s="223"/>
      <c r="AC90" s="223"/>
      <c r="AD90" s="223"/>
      <c r="AE90" s="223"/>
      <c r="AF90" s="224"/>
      <c r="AG90" s="188"/>
      <c r="AH90" s="135"/>
    </row>
    <row r="91" spans="1:34">
      <c r="A91" s="135"/>
      <c r="B91" s="140"/>
      <c r="P91" s="27" t="s">
        <v>482</v>
      </c>
      <c r="T91" s="27">
        <f>COUNTIFS(Table4[Status Anterior],'1. Status Resumo'!$P91,Table4[Sub-âmbito],'1. Status Resumo'!$G$81,Table4[Tipo de teste],"2. Campo")</f>
        <v>0</v>
      </c>
      <c r="U91" s="27">
        <f>COUNTIFS(Table4[Status Atual],'1. Status Resumo'!$P91,Table4[Sub-âmbito],'1. Status Resumo'!$G$81,Table4[Tipo de teste],"2. Campo")</f>
        <v>0</v>
      </c>
      <c r="V91" s="27">
        <f t="shared" si="2"/>
        <v>0</v>
      </c>
      <c r="X91" s="222"/>
      <c r="Y91" s="223"/>
      <c r="Z91" s="223"/>
      <c r="AA91" s="223"/>
      <c r="AB91" s="223"/>
      <c r="AC91" s="223"/>
      <c r="AD91" s="223"/>
      <c r="AE91" s="223"/>
      <c r="AF91" s="224"/>
      <c r="AG91" s="188"/>
      <c r="AH91" s="135"/>
    </row>
    <row r="92" spans="1:34">
      <c r="A92" s="135"/>
      <c r="B92" s="140"/>
      <c r="P92" s="27" t="s">
        <v>30</v>
      </c>
      <c r="T92" s="27">
        <f>COUNTIFS(Table4[Status Anterior],'1. Status Resumo'!$P92,Table4[Sub-âmbito],'1. Status Resumo'!$G$81,Table4[Tipo de teste],"2. Campo")</f>
        <v>75</v>
      </c>
      <c r="U92" s="27">
        <f>COUNTIFS(Table4[Status Atual],'1. Status Resumo'!$P92,Table4[Sub-âmbito],'1. Status Resumo'!$G$81,Table4[Tipo de teste],"2. Campo")</f>
        <v>75</v>
      </c>
      <c r="V92" s="27">
        <f t="shared" si="2"/>
        <v>0</v>
      </c>
      <c r="X92" s="222"/>
      <c r="Y92" s="223"/>
      <c r="Z92" s="223"/>
      <c r="AA92" s="223"/>
      <c r="AB92" s="223"/>
      <c r="AC92" s="223"/>
      <c r="AD92" s="223"/>
      <c r="AE92" s="223"/>
      <c r="AF92" s="224"/>
      <c r="AG92" s="188"/>
      <c r="AH92" s="135"/>
    </row>
    <row r="93" spans="1:34">
      <c r="A93" s="135"/>
      <c r="B93" s="140"/>
      <c r="T93" s="146">
        <f>SUM(T85:T92)</f>
        <v>126</v>
      </c>
      <c r="U93" s="146">
        <f>SUM(U85:U92)</f>
        <v>126</v>
      </c>
      <c r="X93" s="222"/>
      <c r="Y93" s="223"/>
      <c r="Z93" s="223"/>
      <c r="AA93" s="223"/>
      <c r="AB93" s="223"/>
      <c r="AC93" s="223"/>
      <c r="AD93" s="223"/>
      <c r="AE93" s="223"/>
      <c r="AF93" s="224"/>
      <c r="AG93" s="188"/>
      <c r="AH93" s="135"/>
    </row>
    <row r="94" spans="1:34">
      <c r="A94" s="135"/>
      <c r="B94" s="140"/>
      <c r="X94" s="222"/>
      <c r="Y94" s="223"/>
      <c r="Z94" s="223"/>
      <c r="AA94" s="223"/>
      <c r="AB94" s="223"/>
      <c r="AC94" s="223"/>
      <c r="AD94" s="223"/>
      <c r="AE94" s="223"/>
      <c r="AF94" s="224"/>
      <c r="AG94" s="188"/>
      <c r="AH94" s="135"/>
    </row>
    <row r="95" spans="1:34">
      <c r="A95" s="135"/>
      <c r="B95" s="140"/>
      <c r="X95" s="225"/>
      <c r="Y95" s="226"/>
      <c r="Z95" s="226"/>
      <c r="AA95" s="226"/>
      <c r="AB95" s="226"/>
      <c r="AC95" s="226"/>
      <c r="AD95" s="226"/>
      <c r="AE95" s="226"/>
      <c r="AF95" s="227"/>
      <c r="AG95" s="188"/>
      <c r="AH95" s="135"/>
    </row>
    <row r="96" spans="1:34">
      <c r="A96" s="135"/>
      <c r="B96" s="140"/>
      <c r="AG96" s="141"/>
      <c r="AH96" s="135"/>
    </row>
    <row r="97" spans="1:34">
      <c r="A97" s="135"/>
      <c r="B97" s="142"/>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4"/>
      <c r="AH97" s="135"/>
    </row>
    <row r="98" spans="1:34">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row>
    <row r="99" spans="1:34" ht="22.2" hidden="1" customHeight="1">
      <c r="A99" s="135"/>
      <c r="B99" s="145" t="s">
        <v>491</v>
      </c>
      <c r="C99" s="135"/>
      <c r="D99" s="135"/>
      <c r="E99" s="135"/>
      <c r="F99" s="135"/>
      <c r="G99" s="147" t="s">
        <v>32</v>
      </c>
      <c r="H99" s="147"/>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row>
    <row r="100" spans="1:34" ht="4.95" hidden="1"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row>
    <row r="101" spans="1:34" ht="17.399999999999999" hidden="1" customHeight="1">
      <c r="A101" s="135"/>
      <c r="B101" s="137"/>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9"/>
      <c r="AH101" s="135"/>
    </row>
    <row r="102" spans="1:34" ht="17.399999999999999" hidden="1" customHeight="1">
      <c r="A102" s="135"/>
      <c r="B102" s="140"/>
      <c r="C102" s="180" t="s">
        <v>472</v>
      </c>
      <c r="G102" s="180" t="s">
        <v>473</v>
      </c>
      <c r="P102" s="148" t="s">
        <v>1812</v>
      </c>
      <c r="Q102" s="149"/>
      <c r="R102" s="148"/>
      <c r="S102" s="149"/>
      <c r="T102" s="150">
        <f>T51</f>
        <v>45562</v>
      </c>
      <c r="U102" s="150">
        <f>$U$25</f>
        <v>45569</v>
      </c>
      <c r="V102" s="151" t="s">
        <v>474</v>
      </c>
      <c r="X102" s="181" t="s">
        <v>475</v>
      </c>
      <c r="AG102" s="141"/>
      <c r="AH102" s="135"/>
    </row>
    <row r="103" spans="1:34" ht="17.399999999999999" hidden="1" customHeight="1">
      <c r="A103" s="135"/>
      <c r="B103" s="140"/>
      <c r="P103" s="27" t="s">
        <v>476</v>
      </c>
      <c r="T103" s="27">
        <f>COUNTIFS('2. Status Detalhe Campos'!$H$7:$H$605,'1. Status Resumo'!$P103,'2. Status Detalhe Campos'!$C$7:$C$605,'1. Status Resumo'!$G$99,'2. Status Detalhe Campos'!$D$7:$D$605,"2. Campo")</f>
        <v>0</v>
      </c>
      <c r="U103" s="27">
        <f>COUNTIFS('2. Status Detalhe Campos'!$G$7:$G$605,'1. Status Resumo'!$P103,'2. Status Detalhe Campos'!$C$7:$C$605,'1. Status Resumo'!$G$99,'2. Status Detalhe Campos'!$D$7:$D$605,"2. Campo")</f>
        <v>0</v>
      </c>
      <c r="V103" s="27">
        <f>U103-T103</f>
        <v>0</v>
      </c>
      <c r="X103" s="228" t="s">
        <v>1811</v>
      </c>
      <c r="Y103" s="229"/>
      <c r="Z103" s="229"/>
      <c r="AA103" s="229"/>
      <c r="AB103" s="229"/>
      <c r="AC103" s="229"/>
      <c r="AD103" s="229"/>
      <c r="AE103" s="229"/>
      <c r="AF103" s="230"/>
      <c r="AG103" s="189"/>
      <c r="AH103" s="135"/>
    </row>
    <row r="104" spans="1:34" ht="17.399999999999999" hidden="1" customHeight="1">
      <c r="A104" s="135"/>
      <c r="B104" s="140"/>
      <c r="P104" s="27" t="s">
        <v>477</v>
      </c>
      <c r="T104" s="27">
        <f>COUNTIFS('2. Status Detalhe Campos'!$H$7:$H$605,'1. Status Resumo'!$P104,'2. Status Detalhe Campos'!$C$7:$C$605,'1. Status Resumo'!$G$99,'2. Status Detalhe Campos'!$D$7:$D$605,"2. Campo")</f>
        <v>23</v>
      </c>
      <c r="U104" s="27">
        <f>COUNTIFS('2. Status Detalhe Campos'!$G$7:$G$605,'1. Status Resumo'!$P104,'2. Status Detalhe Campos'!$C$7:$C$605,'1. Status Resumo'!$G$99,'2. Status Detalhe Campos'!$D$7:$D$605,"2. Campo")</f>
        <v>23</v>
      </c>
      <c r="V104" s="27">
        <f t="shared" ref="V104:V110" si="3">U104-T104</f>
        <v>0</v>
      </c>
      <c r="X104" s="231"/>
      <c r="Y104" s="232"/>
      <c r="Z104" s="232"/>
      <c r="AA104" s="232"/>
      <c r="AB104" s="232"/>
      <c r="AC104" s="232"/>
      <c r="AD104" s="232"/>
      <c r="AE104" s="232"/>
      <c r="AF104" s="233"/>
      <c r="AG104" s="189"/>
      <c r="AH104" s="135"/>
    </row>
    <row r="105" spans="1:34" ht="17.399999999999999" hidden="1" customHeight="1">
      <c r="A105" s="135"/>
      <c r="B105" s="140"/>
      <c r="P105" s="27" t="s">
        <v>177</v>
      </c>
      <c r="T105" s="27">
        <f>COUNTIFS('2. Status Detalhe Campos'!$H$7:$H$605,'1. Status Resumo'!$P105,'2. Status Detalhe Campos'!$C$7:$C$605,'1. Status Resumo'!$G$99,'2. Status Detalhe Campos'!$D$7:$D$605,"2. Campo")</f>
        <v>26</v>
      </c>
      <c r="U105" s="27">
        <f>COUNTIFS('2. Status Detalhe Campos'!$G$7:$G$605,'1. Status Resumo'!$P105,'2. Status Detalhe Campos'!$C$7:$C$605,'1. Status Resumo'!$G$99,'2. Status Detalhe Campos'!$D$7:$D$605,"2. Campo")</f>
        <v>26</v>
      </c>
      <c r="V105" s="27">
        <f t="shared" si="3"/>
        <v>0</v>
      </c>
      <c r="X105" s="231"/>
      <c r="Y105" s="232"/>
      <c r="Z105" s="232"/>
      <c r="AA105" s="232"/>
      <c r="AB105" s="232"/>
      <c r="AC105" s="232"/>
      <c r="AD105" s="232"/>
      <c r="AE105" s="232"/>
      <c r="AF105" s="233"/>
      <c r="AG105" s="189"/>
      <c r="AH105" s="135"/>
    </row>
    <row r="106" spans="1:34" ht="17.55" hidden="1" customHeight="1">
      <c r="A106" s="135"/>
      <c r="B106" s="140"/>
      <c r="D106" s="237" t="str">
        <f>"# "&amp;U111</f>
        <v># 50</v>
      </c>
      <c r="E106" s="237"/>
      <c r="P106" s="27" t="s">
        <v>478</v>
      </c>
      <c r="T106" s="27">
        <f>COUNTIFS('2. Status Detalhe Campos'!$H$7:$H$605,'1. Status Resumo'!$P106,'2. Status Detalhe Campos'!$C$7:$C$605,'1. Status Resumo'!$G$99,'2. Status Detalhe Campos'!$D$7:$D$605,"2. Campo")</f>
        <v>1</v>
      </c>
      <c r="U106" s="27">
        <f>COUNTIFS('2. Status Detalhe Campos'!$G$7:$G$605,'1. Status Resumo'!$P106,'2. Status Detalhe Campos'!$C$7:$C$605,'1. Status Resumo'!$G$99,'2. Status Detalhe Campos'!$D$7:$D$605,"2. Campo")</f>
        <v>1</v>
      </c>
      <c r="V106" s="27">
        <f t="shared" si="3"/>
        <v>0</v>
      </c>
      <c r="X106" s="231"/>
      <c r="Y106" s="232"/>
      <c r="Z106" s="232"/>
      <c r="AA106" s="232"/>
      <c r="AB106" s="232"/>
      <c r="AC106" s="232"/>
      <c r="AD106" s="232"/>
      <c r="AE106" s="232"/>
      <c r="AF106" s="233"/>
      <c r="AG106" s="189"/>
      <c r="AH106" s="135"/>
    </row>
    <row r="107" spans="1:34" ht="17.55" hidden="1" customHeight="1">
      <c r="A107" s="135"/>
      <c r="B107" s="140"/>
      <c r="D107" s="237"/>
      <c r="E107" s="237"/>
      <c r="P107" s="27" t="s">
        <v>479</v>
      </c>
      <c r="T107" s="27">
        <f>COUNTIFS('2. Status Detalhe Campos'!$H$7:$H$605,'1. Status Resumo'!$P107,'2. Status Detalhe Campos'!$C$7:$C$605,'1. Status Resumo'!$G$99,'2. Status Detalhe Campos'!$D$7:$D$605,"2. Campo")</f>
        <v>0</v>
      </c>
      <c r="U107" s="27">
        <f>COUNTIFS('2. Status Detalhe Campos'!$G$7:$G$605,'1. Status Resumo'!$P107,'2. Status Detalhe Campos'!$C$7:$C$605,'1. Status Resumo'!$G$99,'2. Status Detalhe Campos'!$D$7:$D$605,"2. Campo")</f>
        <v>0</v>
      </c>
      <c r="V107" s="27">
        <f t="shared" si="3"/>
        <v>0</v>
      </c>
      <c r="X107" s="231"/>
      <c r="Y107" s="232"/>
      <c r="Z107" s="232"/>
      <c r="AA107" s="232"/>
      <c r="AB107" s="232"/>
      <c r="AC107" s="232"/>
      <c r="AD107" s="232"/>
      <c r="AE107" s="232"/>
      <c r="AF107" s="233"/>
      <c r="AG107" s="189"/>
      <c r="AH107" s="135"/>
    </row>
    <row r="108" spans="1:34" ht="17.399999999999999" hidden="1" customHeight="1">
      <c r="A108" s="135"/>
      <c r="B108" s="140"/>
      <c r="P108" s="27" t="s">
        <v>480</v>
      </c>
      <c r="R108" s="27" t="s">
        <v>481</v>
      </c>
      <c r="T108" s="27">
        <f>COUNTIFS('2. Status Detalhe Campos'!$H$7:$H$605,'1. Status Resumo'!$P108,'2. Status Detalhe Campos'!$C$7:$C$605,'1. Status Resumo'!$G$99,'2. Status Detalhe Campos'!$D$7:$D$605,"2. Campo")</f>
        <v>0</v>
      </c>
      <c r="U108" s="27">
        <f>COUNTIFS('2. Status Detalhe Campos'!$G$7:$G$605,'1. Status Resumo'!$P108,'2. Status Detalhe Campos'!$C$7:$C$605,'1. Status Resumo'!$G$99,'2. Status Detalhe Campos'!$D$7:$D$605,"2. Campo")</f>
        <v>0</v>
      </c>
      <c r="V108" s="27">
        <f t="shared" si="3"/>
        <v>0</v>
      </c>
      <c r="X108" s="231"/>
      <c r="Y108" s="232"/>
      <c r="Z108" s="232"/>
      <c r="AA108" s="232"/>
      <c r="AB108" s="232"/>
      <c r="AC108" s="232"/>
      <c r="AD108" s="232"/>
      <c r="AE108" s="232"/>
      <c r="AF108" s="233"/>
      <c r="AG108" s="189"/>
      <c r="AH108" s="135"/>
    </row>
    <row r="109" spans="1:34" ht="17.399999999999999" hidden="1" customHeight="1">
      <c r="A109" s="135"/>
      <c r="B109" s="140"/>
      <c r="P109" s="27" t="s">
        <v>482</v>
      </c>
      <c r="T109" s="27">
        <f>COUNTIFS('2. Status Detalhe Campos'!$H$7:$H$605,'1. Status Resumo'!$P109,'2. Status Detalhe Campos'!$C$7:$C$605,'1. Status Resumo'!$G$99,'2. Status Detalhe Campos'!$D$7:$D$605,"2. Campo")</f>
        <v>0</v>
      </c>
      <c r="U109" s="27">
        <f>COUNTIFS('2. Status Detalhe Campos'!$G$7:$G$605,'1. Status Resumo'!$P109,'2. Status Detalhe Campos'!$C$7:$C$605,'1. Status Resumo'!$G$99,'2. Status Detalhe Campos'!$D$7:$D$605,"2. Campo")</f>
        <v>0</v>
      </c>
      <c r="V109" s="27">
        <f t="shared" si="3"/>
        <v>0</v>
      </c>
      <c r="X109" s="231"/>
      <c r="Y109" s="232"/>
      <c r="Z109" s="232"/>
      <c r="AA109" s="232"/>
      <c r="AB109" s="232"/>
      <c r="AC109" s="232"/>
      <c r="AD109" s="232"/>
      <c r="AE109" s="232"/>
      <c r="AF109" s="233"/>
      <c r="AG109" s="189"/>
      <c r="AH109" s="135"/>
    </row>
    <row r="110" spans="1:34" ht="17.399999999999999" hidden="1" customHeight="1">
      <c r="A110" s="135"/>
      <c r="B110" s="140"/>
      <c r="P110" s="27" t="s">
        <v>30</v>
      </c>
      <c r="T110" s="27">
        <f>COUNTIFS('2. Status Detalhe Campos'!$H$7:$H$605,'1. Status Resumo'!$P110,'2. Status Detalhe Campos'!$C$7:$C$605,'1. Status Resumo'!$G$99,'2. Status Detalhe Campos'!$D$7:$D$605,"2. Campo")</f>
        <v>0</v>
      </c>
      <c r="U110" s="27">
        <f>COUNTIFS('2. Status Detalhe Campos'!$G$7:$G$605,'1. Status Resumo'!$P110,'2. Status Detalhe Campos'!$C$7:$C$605,'1. Status Resumo'!$G$99,'2. Status Detalhe Campos'!$D$7:$D$605,"2. Campo")</f>
        <v>0</v>
      </c>
      <c r="V110" s="27">
        <f t="shared" si="3"/>
        <v>0</v>
      </c>
      <c r="X110" s="231"/>
      <c r="Y110" s="232"/>
      <c r="Z110" s="232"/>
      <c r="AA110" s="232"/>
      <c r="AB110" s="232"/>
      <c r="AC110" s="232"/>
      <c r="AD110" s="232"/>
      <c r="AE110" s="232"/>
      <c r="AF110" s="233"/>
      <c r="AG110" s="189"/>
      <c r="AH110" s="135"/>
    </row>
    <row r="111" spans="1:34" ht="17.399999999999999" hidden="1" customHeight="1">
      <c r="A111" s="135"/>
      <c r="B111" s="140"/>
      <c r="T111" s="146">
        <f>SUM(T103:T110)</f>
        <v>50</v>
      </c>
      <c r="U111" s="146">
        <f>SUM(U103:U110)</f>
        <v>50</v>
      </c>
      <c r="X111" s="234"/>
      <c r="Y111" s="235"/>
      <c r="Z111" s="235"/>
      <c r="AA111" s="235"/>
      <c r="AB111" s="235"/>
      <c r="AC111" s="235"/>
      <c r="AD111" s="235"/>
      <c r="AE111" s="235"/>
      <c r="AF111" s="236"/>
      <c r="AG111" s="189"/>
      <c r="AH111" s="135"/>
    </row>
    <row r="112" spans="1:34" ht="17.399999999999999" hidden="1" customHeight="1">
      <c r="A112" s="135"/>
      <c r="B112" s="140"/>
      <c r="AG112" s="141"/>
      <c r="AH112" s="135"/>
    </row>
    <row r="113" spans="1:34" ht="17.399999999999999" hidden="1" customHeight="1">
      <c r="A113" s="135"/>
      <c r="B113" s="142"/>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4"/>
      <c r="AH113" s="135"/>
    </row>
    <row r="114" spans="1:34">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row>
    <row r="115" spans="1:34">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row>
    <row r="116" spans="1:34" ht="17.399999999999999" hidden="1" customHeight="1"/>
    <row r="117" spans="1:34" ht="17.399999999999999" hidden="1" customHeight="1"/>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idden="1">
      <c r="A126" s="27" t="s">
        <v>1824</v>
      </c>
    </row>
    <row r="127" spans="1:34"/>
    <row r="128" spans="1:34"/>
    <row r="133" hidden="1"/>
    <row r="134" hidden="1"/>
    <row r="135" hidden="1"/>
    <row r="136" hidden="1"/>
    <row r="137" hidden="1"/>
    <row r="138" hidden="1"/>
    <row r="139" hidden="1"/>
    <row r="140" hidden="1"/>
    <row r="141"/>
    <row r="142"/>
    <row r="143"/>
    <row r="144"/>
    <row r="145"/>
    <row r="146"/>
    <row r="147"/>
    <row r="148"/>
  </sheetData>
  <sortState ref="R21:R28">
    <sortCondition ref="R21:R28"/>
  </sortState>
  <mergeCells count="9">
    <mergeCell ref="B8:AG19"/>
    <mergeCell ref="X85:AF95"/>
    <mergeCell ref="X103:AF111"/>
    <mergeCell ref="D29:E30"/>
    <mergeCell ref="D55:E56"/>
    <mergeCell ref="D88:E89"/>
    <mergeCell ref="D106:E107"/>
    <mergeCell ref="X52:AF78"/>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F24" sqref="F24"/>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1876</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f>IF(VLOOKUP(A7,'Aux - pivots1'!$A:$E,3,0)=0, "",VLOOKUP(A7,'Aux - pivots1'!$A:$E,3,0))</f>
        <v>45510</v>
      </c>
      <c r="K7" s="175" t="str">
        <f>IF(VLOOKUP(A7,'Aux - pivots1'!$A:$E,4,0)=0, "",VLOOKUP(A7,'Aux - pivots1'!$A:$E,4,0))</f>
        <v/>
      </c>
      <c r="L7" s="175" t="str">
        <f>IF(VLOOKUP(A7,'Aux - pivots1'!$A:$E,5,0)=0, "",VLOOKUP(A7,'Aux - pivots1'!$A:$E,5,0))</f>
        <v/>
      </c>
      <c r="M7" s="203"/>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f>IF(VLOOKUP(A8,'Aux - pivots1'!$A:$E,3,0)=0, "",VLOOKUP(A8,'Aux - pivots1'!$A:$E,3,0))</f>
        <v>45510</v>
      </c>
      <c r="K8" s="175" t="str">
        <f>IF(VLOOKUP(A8,'Aux - pivots1'!$A:$E,4,0)=0, "",VLOOKUP(A8,'Aux - pivots1'!$A:$E,4,0))</f>
        <v/>
      </c>
      <c r="L8" s="175" t="str">
        <f>IF(VLOOKUP(A8,'Aux - pivots1'!$A:$E,5,0)=0, "",VLOOKUP(A8,'Aux - pivots1'!$A:$E,5,0))</f>
        <v/>
      </c>
      <c r="M8" s="202"/>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f>IF(VLOOKUP(A9,'Aux - pivots1'!$A:$E,3,0)=0, "",VLOOKUP(A9,'Aux - pivots1'!$A:$E,3,0))</f>
        <v>45510</v>
      </c>
      <c r="K9" s="175" t="str">
        <f>IF(VLOOKUP(A9,'Aux - pivots1'!$A:$E,4,0)=0, "",VLOOKUP(A9,'Aux - pivots1'!$A:$E,4,0))</f>
        <v/>
      </c>
      <c r="L9" s="175" t="str">
        <f>IF(VLOOKUP(A9,'Aux - pivots1'!$A:$E,5,0)=0, "",VLOOKUP(A9,'Aux - pivots1'!$A:$E,5,0))</f>
        <v/>
      </c>
      <c r="M9" s="202"/>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f>IF(VLOOKUP(A10,'Aux - pivots1'!$A:$E,3,0)=0, "",VLOOKUP(A10,'Aux - pivots1'!$A:$E,3,0))</f>
        <v>45510</v>
      </c>
      <c r="K10" s="175" t="str">
        <f>IF(VLOOKUP(A10,'Aux - pivots1'!$A:$E,4,0)=0, "",VLOOKUP(A10,'Aux - pivots1'!$A:$E,4,0))</f>
        <v/>
      </c>
      <c r="L10" s="175" t="str">
        <f>IF(VLOOKUP(A10,'Aux - pivots1'!$A:$E,5,0)=0, "",VLOOKUP(A10,'Aux - pivots1'!$A:$E,5,0))</f>
        <v/>
      </c>
      <c r="M10" s="202"/>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f>IF(VLOOKUP(A11,'Aux - pivots1'!$A:$E,3,0)=0, "",VLOOKUP(A11,'Aux - pivots1'!$A:$E,3,0))</f>
        <v>45510</v>
      </c>
      <c r="K11" s="175" t="str">
        <f>IF(VLOOKUP(A11,'Aux - pivots1'!$A:$E,4,0)=0, "",VLOOKUP(A11,'Aux - pivots1'!$A:$E,4,0))</f>
        <v/>
      </c>
      <c r="L11" s="175" t="str">
        <f>IF(VLOOKUP(A11,'Aux - pivots1'!$A:$E,5,0)=0, "",VLOOKUP(A11,'Aux - pivots1'!$A:$E,5,0))</f>
        <v/>
      </c>
      <c r="M11" s="202"/>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f>IF(VLOOKUP(A12,'Aux - pivots1'!$A:$E,3,0)=0, "",VLOOKUP(A12,'Aux - pivots1'!$A:$E,3,0))</f>
        <v>45510</v>
      </c>
      <c r="K12" s="175" t="str">
        <f>IF(VLOOKUP(A12,'Aux - pivots1'!$A:$E,4,0)=0, "",VLOOKUP(A12,'Aux - pivots1'!$A:$E,4,0))</f>
        <v/>
      </c>
      <c r="L12" s="175" t="str">
        <f>IF(VLOOKUP(A12,'Aux - pivots1'!$A:$E,5,0)=0, "",VLOOKUP(A12,'Aux - pivots1'!$A:$E,5,0))</f>
        <v/>
      </c>
      <c r="M12" s="202"/>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f>IF(VLOOKUP(A13,'Aux - pivots1'!$A:$E,3,0)=0, "",VLOOKUP(A13,'Aux - pivots1'!$A:$E,3,0))</f>
        <v>45510</v>
      </c>
      <c r="K13" s="175" t="str">
        <f>IF(VLOOKUP(A13,'Aux - pivots1'!$A:$E,4,0)=0, "",VLOOKUP(A13,'Aux - pivots1'!$A:$E,4,0))</f>
        <v/>
      </c>
      <c r="L13" s="175" t="str">
        <f>IF(VLOOKUP(A13,'Aux - pivots1'!$A:$E,5,0)=0, "",VLOOKUP(A13,'Aux - pivots1'!$A:$E,5,0))</f>
        <v/>
      </c>
      <c r="M13" s="202"/>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f>IF(VLOOKUP(A14,'Aux - pivots1'!$A:$E,3,0)=0, "",VLOOKUP(A14,'Aux - pivots1'!$A:$E,3,0))</f>
        <v>45510</v>
      </c>
      <c r="K14" s="175" t="str">
        <f>IF(VLOOKUP(A14,'Aux - pivots1'!$A:$E,4,0)=0, "",VLOOKUP(A14,'Aux - pivots1'!$A:$E,4,0))</f>
        <v/>
      </c>
      <c r="L14" s="175" t="str">
        <f>IF(VLOOKUP(A14,'Aux - pivots1'!$A:$E,5,0)=0, "",VLOOKUP(A14,'Aux - pivots1'!$A:$E,5,0))</f>
        <v/>
      </c>
      <c r="M14" s="202"/>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f>IF(VLOOKUP(A15,'Aux - pivots1'!$A:$E,3,0)=0, "",VLOOKUP(A15,'Aux - pivots1'!$A:$E,3,0))</f>
        <v>45510</v>
      </c>
      <c r="K15" s="175" t="str">
        <f>IF(VLOOKUP(A15,'Aux - pivots1'!$A:$E,4,0)=0, "",VLOOKUP(A15,'Aux - pivots1'!$A:$E,4,0))</f>
        <v/>
      </c>
      <c r="L15" s="175" t="str">
        <f>IF(VLOOKUP(A15,'Aux - pivots1'!$A:$E,5,0)=0, "",VLOOKUP(A15,'Aux - pivots1'!$A:$E,5,0))</f>
        <v/>
      </c>
      <c r="M15" s="202"/>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f>IF(VLOOKUP(A16,'Aux - pivots1'!$A:$E,3,0)=0, "",VLOOKUP(A16,'Aux - pivots1'!$A:$E,3,0))</f>
        <v>45510</v>
      </c>
      <c r="K16" s="175" t="str">
        <f>IF(VLOOKUP(A16,'Aux - pivots1'!$A:$E,4,0)=0, "",VLOOKUP(A16,'Aux - pivots1'!$A:$E,4,0))</f>
        <v/>
      </c>
      <c r="L16" s="175" t="str">
        <f>IF(VLOOKUP(A16,'Aux - pivots1'!$A:$E,5,0)=0, "",VLOOKUP(A16,'Aux - pivots1'!$A:$E,5,0))</f>
        <v/>
      </c>
      <c r="M16" s="202"/>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f>IF(VLOOKUP(A17,'Aux - pivots1'!$A:$E,3,0)=0, "",VLOOKUP(A17,'Aux - pivots1'!$A:$E,3,0))</f>
        <v>45510</v>
      </c>
      <c r="K17" s="175" t="str">
        <f>IF(VLOOKUP(A17,'Aux - pivots1'!$A:$E,4,0)=0, "",VLOOKUP(A17,'Aux - pivots1'!$A:$E,4,0))</f>
        <v/>
      </c>
      <c r="L17" s="175" t="str">
        <f>IF(VLOOKUP(A17,'Aux - pivots1'!$A:$E,5,0)=0, "",VLOOKUP(A17,'Aux - pivots1'!$A:$E,5,0))</f>
        <v/>
      </c>
      <c r="M17" s="202"/>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f>IF(VLOOKUP(A18,'Aux - pivots1'!$A:$E,3,0)=0, "",VLOOKUP(A18,'Aux - pivots1'!$A:$E,3,0))</f>
        <v>45510</v>
      </c>
      <c r="K18" s="175" t="str">
        <f>IF(VLOOKUP(A18,'Aux - pivots1'!$A:$E,4,0)=0, "",VLOOKUP(A18,'Aux - pivots1'!$A:$E,4,0))</f>
        <v/>
      </c>
      <c r="L18" s="175" t="str">
        <f>IF(VLOOKUP(A18,'Aux - pivots1'!$A:$E,5,0)=0, "",VLOOKUP(A18,'Aux - pivots1'!$A:$E,5,0))</f>
        <v/>
      </c>
      <c r="M18" s="202"/>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f>IF(VLOOKUP(A19,'Aux - pivots1'!$A:$E,3,0)=0, "",VLOOKUP(A19,'Aux - pivots1'!$A:$E,3,0))</f>
        <v>45510</v>
      </c>
      <c r="K19" s="175" t="str">
        <f>IF(VLOOKUP(A19,'Aux - pivots1'!$A:$E,4,0)=0, "",VLOOKUP(A19,'Aux - pivots1'!$A:$E,4,0))</f>
        <v/>
      </c>
      <c r="L19" s="175" t="str">
        <f>IF(VLOOKUP(A19,'Aux - pivots1'!$A:$E,5,0)=0, "",VLOOKUP(A19,'Aux - pivots1'!$A:$E,5,0))</f>
        <v/>
      </c>
      <c r="M19" s="202"/>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482</v>
      </c>
      <c r="I113" s="164"/>
      <c r="J113" s="175">
        <f>IF(VLOOKUP(A113,'Aux - pivots1'!$A:$E,3,0)=0, "",VLOOKUP(A113,'Aux - pivots1'!$A:$E,3,0))</f>
        <v>45562</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482</v>
      </c>
      <c r="I114" s="164"/>
      <c r="J114" s="175">
        <f>IF(VLOOKUP(A114,'Aux - pivots1'!$A:$E,3,0)=0, "",VLOOKUP(A114,'Aux - pivots1'!$A:$E,3,0))</f>
        <v>45562</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482</v>
      </c>
      <c r="I115" s="164"/>
      <c r="J115" s="175">
        <f>IF(VLOOKUP(A115,'Aux - pivots1'!$A:$E,3,0)=0, "",VLOOKUP(A115,'Aux - pivots1'!$A:$E,3,0))</f>
        <v>45562</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482</v>
      </c>
      <c r="I116" s="164"/>
      <c r="J116" s="175">
        <f>IF(VLOOKUP(A116,'Aux - pivots1'!$A:$E,3,0)=0, "",VLOOKUP(A116,'Aux - pivots1'!$A:$E,3,0))</f>
        <v>45562</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482</v>
      </c>
      <c r="I117" s="164"/>
      <c r="J117" s="175">
        <f>IF(VLOOKUP(A117,'Aux - pivots1'!$A:$E,3,0)=0, "",VLOOKUP(A117,'Aux - pivots1'!$A:$E,3,0))</f>
        <v>45562</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482</v>
      </c>
      <c r="I118" s="164"/>
      <c r="J118" s="175">
        <f>IF(VLOOKUP(A118,'Aux - pivots1'!$A:$E,3,0)=0, "",VLOOKUP(A118,'Aux - pivots1'!$A:$E,3,0))</f>
        <v>45562</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482</v>
      </c>
      <c r="I121" s="164"/>
      <c r="J121" s="175">
        <f>IF(VLOOKUP(A121,'Aux - pivots1'!$A:$E,3,0)=0, "",VLOOKUP(A121,'Aux - pivots1'!$A:$E,3,0))</f>
        <v>45562</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482</v>
      </c>
      <c r="I123" s="164"/>
      <c r="J123" s="175">
        <f>IF(VLOOKUP(A123,'Aux - pivots1'!$A:$E,3,0)=0, "",VLOOKUP(A123,'Aux - pivots1'!$A:$E,3,0))</f>
        <v>45562</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482</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482</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477</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482</v>
      </c>
      <c r="I128" s="164"/>
      <c r="J128" s="175">
        <f>IF(VLOOKUP(A128,'Aux - pivots1'!$A:$E,3,0)=0, "",VLOOKUP(A128,'Aux - pivots1'!$A:$E,3,0))</f>
        <v>45562</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482</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482</v>
      </c>
      <c r="I149" s="164"/>
      <c r="J149" s="175">
        <f>IF(VLOOKUP(A149,'Aux - pivots1'!$A:$E,3,0)=0, "",VLOOKUP(A149,'Aux - pivots1'!$A:$E,3,0))</f>
        <v>45562</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482</v>
      </c>
      <c r="I154" s="164"/>
      <c r="J154" s="175">
        <f>IF(VLOOKUP(A154,'Aux - pivots1'!$A:$E,3,0)=0, "",VLOOKUP(A154,'Aux - pivots1'!$A:$E,3,0))</f>
        <v>45562</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482</v>
      </c>
      <c r="I158" s="164"/>
      <c r="J158" s="175">
        <f>IF(VLOOKUP(A158,'Aux - pivots1'!$A:$E,3,0)=0, "",VLOOKUP(A158,'Aux - pivots1'!$A:$E,3,0))</f>
        <v>45562</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482</v>
      </c>
      <c r="I173" s="164"/>
      <c r="J173" s="175">
        <f>IF(VLOOKUP(A173,'Aux - pivots1'!$A:$E,3,0)=0, "",VLOOKUP(A173,'Aux - pivots1'!$A:$E,3,0))</f>
        <v>45562</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482</v>
      </c>
      <c r="I174" s="164"/>
      <c r="J174" s="175">
        <f>IF(VLOOKUP(A174,'Aux - pivots1'!$A:$E,3,0)=0, "",VLOOKUP(A174,'Aux - pivots1'!$A:$E,3,0))</f>
        <v>45562</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482</v>
      </c>
      <c r="I175" s="164"/>
      <c r="J175" s="175">
        <f>IF(VLOOKUP(A175,'Aux - pivots1'!$A:$E,3,0)=0, "",VLOOKUP(A175,'Aux - pivots1'!$A:$E,3,0))</f>
        <v>45562</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482</v>
      </c>
      <c r="I176" s="164"/>
      <c r="J176" s="175">
        <f>IF(VLOOKUP(A176,'Aux - pivots1'!$A:$E,3,0)=0, "",VLOOKUP(A176,'Aux - pivots1'!$A:$E,3,0))</f>
        <v>45562</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482</v>
      </c>
      <c r="I177" s="164"/>
      <c r="J177" s="175">
        <f>IF(VLOOKUP(A177,'Aux - pivots1'!$A:$E,3,0)=0, "",VLOOKUP(A177,'Aux - pivots1'!$A:$E,3,0))</f>
        <v>45562</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482</v>
      </c>
      <c r="I178" s="164"/>
      <c r="J178" s="175">
        <f>IF(VLOOKUP(A178,'Aux - pivots1'!$A:$E,3,0)=0, "",VLOOKUP(A178,'Aux - pivots1'!$A:$E,3,0))</f>
        <v>45562</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482</v>
      </c>
      <c r="I179" s="164"/>
      <c r="J179" s="175">
        <f>IF(VLOOKUP(A179,'Aux - pivots1'!$A:$E,3,0)=0, "",VLOOKUP(A179,'Aux - pivots1'!$A:$E,3,0))</f>
        <v>45562</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f>IF(VLOOKUP(A181,'Aux - pivots1'!$A:$E,3,0)=0, "",VLOOKUP(A181,'Aux - pivots1'!$A:$E,3,0))</f>
        <v>45563</v>
      </c>
      <c r="K181" s="175" t="str">
        <f>IF(VLOOKUP(A181,'Aux - pivots1'!$A:$E,4,0)=0, "",VLOOKUP(A181,'Aux - pivots1'!$A:$E,4,0))</f>
        <v/>
      </c>
      <c r="L181" s="175" t="str">
        <f>IF(VLOOKUP(A181,'Aux - pivots1'!$A:$E,5,0)=0, "",VLOOKUP(A181,'Aux - pivots1'!$A:$E,5,0))</f>
        <v/>
      </c>
      <c r="M181" s="202"/>
    </row>
    <row r="182" spans="1:13" ht="16.2">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f>IF(VLOOKUP(A190,'Aux - pivots1'!$A:$E,3,0)=0, "",VLOOKUP(A190,'Aux - pivots1'!$A:$E,3,0))</f>
        <v>45563</v>
      </c>
      <c r="K190" s="175" t="str">
        <f>IF(VLOOKUP(A190,'Aux - pivots1'!$A:$E,4,0)=0, "",VLOOKUP(A190,'Aux - pivots1'!$A:$E,4,0))</f>
        <v/>
      </c>
      <c r="L190" s="175" t="str">
        <f>IF(VLOOKUP(A190,'Aux - pivots1'!$A:$E,5,0)=0, "",VLOOKUP(A190,'Aux - pivots1'!$A:$E,5,0))</f>
        <v/>
      </c>
      <c r="M190" s="202"/>
    </row>
    <row r="191" spans="1:13" ht="16.2">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f>IF(VLOOKUP(A191,'Aux - pivots1'!$A:$E,3,0)=0, "",VLOOKUP(A191,'Aux - pivots1'!$A:$E,3,0))</f>
        <v>45563</v>
      </c>
      <c r="K191" s="175" t="str">
        <f>IF(VLOOKUP(A191,'Aux - pivots1'!$A:$E,4,0)=0, "",VLOOKUP(A191,'Aux - pivots1'!$A:$E,4,0))</f>
        <v/>
      </c>
      <c r="L191" s="175" t="str">
        <f>IF(VLOOKUP(A191,'Aux - pivots1'!$A:$E,5,0)=0, "",VLOOKUP(A191,'Aux - pivots1'!$A:$E,5,0))</f>
        <v/>
      </c>
      <c r="M191" s="202"/>
    </row>
    <row r="192" spans="1:13" ht="16.2">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f>IF(VLOOKUP(A192,'Aux - pivots1'!$A:$E,3,0)=0, "",VLOOKUP(A192,'Aux - pivots1'!$A:$E,3,0))</f>
        <v>45563</v>
      </c>
      <c r="K192" s="175" t="str">
        <f>IF(VLOOKUP(A192,'Aux - pivots1'!$A:$E,4,0)=0, "",VLOOKUP(A192,'Aux - pivots1'!$A:$E,4,0))</f>
        <v/>
      </c>
      <c r="L192" s="175" t="str">
        <f>IF(VLOOKUP(A192,'Aux - pivots1'!$A:$E,5,0)=0, "",VLOOKUP(A192,'Aux - pivots1'!$A:$E,5,0))</f>
        <v/>
      </c>
      <c r="M192" s="202"/>
    </row>
    <row r="193" spans="1:13" ht="16.2">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480</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480</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f>IF(VLOOKUP(A198,'Aux - pivots1'!$A:$E,3,0)=0, "",VLOOKUP(A198,'Aux - pivots1'!$A:$E,3,0))</f>
        <v>45563</v>
      </c>
      <c r="K198" s="175" t="str">
        <f>IF(VLOOKUP(A198,'Aux - pivots1'!$A:$E,4,0)=0, "",VLOOKUP(A198,'Aux - pivots1'!$A:$E,4,0))</f>
        <v/>
      </c>
      <c r="L198" s="175" t="str">
        <f>IF(VLOOKUP(A198,'Aux - pivots1'!$A:$E,5,0)=0, "",VLOOKUP(A198,'Aux - pivots1'!$A:$E,5,0))</f>
        <v/>
      </c>
      <c r="M198" s="202"/>
    </row>
    <row r="199" spans="1:13" ht="16.2">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f>IF(VLOOKUP(A199,'Aux - pivots1'!$A:$E,3,0)=0, "",VLOOKUP(A199,'Aux - pivots1'!$A:$E,3,0))</f>
        <v>45563</v>
      </c>
      <c r="K199" s="175" t="str">
        <f>IF(VLOOKUP(A199,'Aux - pivots1'!$A:$E,4,0)=0, "",VLOOKUP(A199,'Aux - pivots1'!$A:$E,4,0))</f>
        <v/>
      </c>
      <c r="L199" s="175" t="str">
        <f>IF(VLOOKUP(A199,'Aux - pivots1'!$A:$E,5,0)=0, "",VLOOKUP(A199,'Aux - pivots1'!$A:$E,5,0))</f>
        <v/>
      </c>
      <c r="M199" s="202"/>
    </row>
    <row r="200" spans="1:13" ht="16.2">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f>IF(VLOOKUP(A200,'Aux - pivots1'!$A:$E,3,0)=0, "",VLOOKUP(A200,'Aux - pivots1'!$A:$E,3,0))</f>
        <v>45563</v>
      </c>
      <c r="K200" s="175" t="str">
        <f>IF(VLOOKUP(A200,'Aux - pivots1'!$A:$E,4,0)=0, "",VLOOKUP(A200,'Aux - pivots1'!$A:$E,4,0))</f>
        <v/>
      </c>
      <c r="L200" s="175" t="str">
        <f>IF(VLOOKUP(A200,'Aux - pivots1'!$A:$E,5,0)=0, "",VLOOKUP(A200,'Aux - pivots1'!$A:$E,5,0))</f>
        <v/>
      </c>
      <c r="M200" s="202"/>
    </row>
    <row r="201" spans="1:13" ht="16.2">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f>IF(VLOOKUP(A201,'Aux - pivots1'!$A:$E,3,0)=0, "",VLOOKUP(A201,'Aux - pivots1'!$A:$E,3,0))</f>
        <v>45563</v>
      </c>
      <c r="K201" s="175" t="str">
        <f>IF(VLOOKUP(A201,'Aux - pivots1'!$A:$E,4,0)=0, "",VLOOKUP(A201,'Aux - pivots1'!$A:$E,4,0))</f>
        <v/>
      </c>
      <c r="L201" s="175" t="str">
        <f>IF(VLOOKUP(A201,'Aux - pivots1'!$A:$E,5,0)=0, "",VLOOKUP(A201,'Aux - pivots1'!$A:$E,5,0))</f>
        <v/>
      </c>
      <c r="M201" s="202"/>
    </row>
    <row r="202" spans="1:13" ht="16.2">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f>IF(VLOOKUP(A203,'Aux - pivots1'!$A:$E,3,0)=0, "",VLOOKUP(A203,'Aux - pivots1'!$A:$E,3,0))</f>
        <v>45563</v>
      </c>
      <c r="K203" s="175" t="str">
        <f>IF(VLOOKUP(A203,'Aux - pivots1'!$A:$E,4,0)=0, "",VLOOKUP(A203,'Aux - pivots1'!$A:$E,4,0))</f>
        <v/>
      </c>
      <c r="L203" s="175" t="str">
        <f>IF(VLOOKUP(A203,'Aux - pivots1'!$A:$E,5,0)=0, "",VLOOKUP(A203,'Aux - pivots1'!$A:$E,5,0))</f>
        <v/>
      </c>
      <c r="M203" s="202"/>
    </row>
    <row r="204" spans="1:13" ht="16.2">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f>IF(VLOOKUP(A204,'Aux - pivots1'!$A:$E,3,0)=0, "",VLOOKUP(A204,'Aux - pivots1'!$A:$E,3,0))</f>
        <v>45563</v>
      </c>
      <c r="K204" s="175" t="str">
        <f>IF(VLOOKUP(A204,'Aux - pivots1'!$A:$E,4,0)=0, "",VLOOKUP(A204,'Aux - pivots1'!$A:$E,4,0))</f>
        <v/>
      </c>
      <c r="L204" s="175" t="str">
        <f>IF(VLOOKUP(A204,'Aux - pivots1'!$A:$E,5,0)=0, "",VLOOKUP(A204,'Aux - pivots1'!$A:$E,5,0))</f>
        <v/>
      </c>
      <c r="M204" s="202"/>
    </row>
    <row r="205" spans="1:13" ht="16.2">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f>IF(VLOOKUP(A205,'Aux - pivots1'!$A:$E,3,0)=0, "",VLOOKUP(A205,'Aux - pivots1'!$A:$E,3,0))</f>
        <v>45563</v>
      </c>
      <c r="K205" s="175" t="str">
        <f>IF(VLOOKUP(A205,'Aux - pivots1'!$A:$E,4,0)=0, "",VLOOKUP(A205,'Aux - pivots1'!$A:$E,4,0))</f>
        <v/>
      </c>
      <c r="L205" s="175" t="str">
        <f>IF(VLOOKUP(A205,'Aux - pivots1'!$A:$E,5,0)=0, "",VLOOKUP(A205,'Aux - pivots1'!$A:$E,5,0))</f>
        <v/>
      </c>
      <c r="M205" s="202"/>
    </row>
    <row r="206" spans="1:13" ht="16.2">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f>IF(VLOOKUP(A206,'Aux - pivots1'!$A:$E,3,0)=0, "",VLOOKUP(A206,'Aux - pivots1'!$A:$E,3,0))</f>
        <v>45563</v>
      </c>
      <c r="K206" s="175" t="str">
        <f>IF(VLOOKUP(A206,'Aux - pivots1'!$A:$E,4,0)=0, "",VLOOKUP(A206,'Aux - pivots1'!$A:$E,4,0))</f>
        <v/>
      </c>
      <c r="L206" s="175" t="str">
        <f>IF(VLOOKUP(A206,'Aux - pivots1'!$A:$E,5,0)=0, "",VLOOKUP(A206,'Aux - pivots1'!$A:$E,5,0))</f>
        <v/>
      </c>
      <c r="M206" s="202"/>
    </row>
    <row r="207" spans="1:13" ht="16.2">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f>IF(VLOOKUP(A208,'Aux - pivots1'!$A:$E,3,0)=0, "",VLOOKUP(A208,'Aux - pivots1'!$A:$E,3,0))</f>
        <v>45563</v>
      </c>
      <c r="K208" s="175" t="str">
        <f>IF(VLOOKUP(A208,'Aux - pivots1'!$A:$E,4,0)=0, "",VLOOKUP(A208,'Aux - pivots1'!$A:$E,4,0))</f>
        <v/>
      </c>
      <c r="L208" s="175" t="str">
        <f>IF(VLOOKUP(A208,'Aux - pivots1'!$A:$E,5,0)=0, "",VLOOKUP(A208,'Aux - pivots1'!$A:$E,5,0))</f>
        <v/>
      </c>
      <c r="M208" s="202"/>
    </row>
    <row r="209" spans="1:13" ht="16.2">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f>IF(VLOOKUP(A209,'Aux - pivots1'!$A:$E,3,0)=0, "",VLOOKUP(A209,'Aux - pivots1'!$A:$E,3,0))</f>
        <v>45563</v>
      </c>
      <c r="K209" s="175" t="str">
        <f>IF(VLOOKUP(A209,'Aux - pivots1'!$A:$E,4,0)=0, "",VLOOKUP(A209,'Aux - pivots1'!$A:$E,4,0))</f>
        <v/>
      </c>
      <c r="L209" s="175" t="str">
        <f>IF(VLOOKUP(A209,'Aux - pivots1'!$A:$E,5,0)=0, "",VLOOKUP(A209,'Aux - pivots1'!$A:$E,5,0))</f>
        <v/>
      </c>
      <c r="M209" s="202"/>
    </row>
    <row r="210" spans="1:13" ht="16.2">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476</v>
      </c>
      <c r="I210" s="179" t="s">
        <v>1877</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476</v>
      </c>
      <c r="I211" s="179" t="s">
        <v>1877</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c r="A294" s="31" t="str">
        <f t="shared" si="7"/>
        <v>modesg_inp_risco_fisicocod_nace_esg</v>
      </c>
      <c r="B294" s="162" t="s">
        <v>28</v>
      </c>
      <c r="C294" s="157" t="s">
        <v>178</v>
      </c>
      <c r="D294" s="153" t="s">
        <v>40</v>
      </c>
      <c r="E294" s="154" t="s">
        <v>209</v>
      </c>
      <c r="F294" s="153" t="s">
        <v>272</v>
      </c>
      <c r="G294" s="155" t="str">
        <f>VLOOKUP(A294,Plano_V3!$A$27:$G$583,7,0)</f>
        <v>4. Validação EF</v>
      </c>
      <c r="H294" s="155" t="s">
        <v>479</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c r="A317" s="31" t="str">
        <f t="shared" si="7"/>
        <v>modesg_inp_emss_nacecod_nace_esg</v>
      </c>
      <c r="B317" s="162" t="s">
        <v>28</v>
      </c>
      <c r="C317" s="157" t="s">
        <v>178</v>
      </c>
      <c r="D317" s="153" t="s">
        <v>40</v>
      </c>
      <c r="E317" s="154" t="s">
        <v>211</v>
      </c>
      <c r="F317" s="153" t="s">
        <v>272</v>
      </c>
      <c r="G317" s="155" t="str">
        <f>VLOOKUP(A317,Plano_V3!$A$27:$G$583,7,0)</f>
        <v>1. Concluído</v>
      </c>
      <c r="H317" s="155" t="s">
        <v>477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c r="A325" s="31" t="str">
        <f t="shared" si="7"/>
        <v>modesg_inp_emss_nacescp1_ftr_emss</v>
      </c>
      <c r="B325" s="162" t="s">
        <v>28</v>
      </c>
      <c r="C325" s="157" t="s">
        <v>178</v>
      </c>
      <c r="D325" s="153" t="s">
        <v>40</v>
      </c>
      <c r="E325" s="154" t="s">
        <v>211</v>
      </c>
      <c r="F325" s="153" t="s">
        <v>225</v>
      </c>
      <c r="G325" s="155" t="str">
        <f>VLOOKUP(A325,Plano_V3!$A$27:$G$583,7,0)</f>
        <v>1. Concluído</v>
      </c>
      <c r="H325" s="155" t="s">
        <v>477</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c r="A326" s="31" t="str">
        <f t="shared" si="7"/>
        <v>modesg_inp_emss_nacescp2_ftr_emss</v>
      </c>
      <c r="B326" s="162" t="s">
        <v>28</v>
      </c>
      <c r="C326" s="157" t="s">
        <v>178</v>
      </c>
      <c r="D326" s="153" t="s">
        <v>40</v>
      </c>
      <c r="E326" s="154" t="s">
        <v>211</v>
      </c>
      <c r="F326" s="153" t="s">
        <v>226</v>
      </c>
      <c r="G326" s="155" t="str">
        <f>VLOOKUP(A326,Plano_V3!$A$27:$G$583,7,0)</f>
        <v>1. Concluído</v>
      </c>
      <c r="H326" s="155" t="s">
        <v>477</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c r="A327" s="31" t="str">
        <f t="shared" si="7"/>
        <v>modesg_inp_emss_nacescp3_ftr_emss</v>
      </c>
      <c r="B327" s="162" t="s">
        <v>28</v>
      </c>
      <c r="C327" s="157" t="s">
        <v>178</v>
      </c>
      <c r="D327" s="153" t="s">
        <v>40</v>
      </c>
      <c r="E327" s="154" t="s">
        <v>211</v>
      </c>
      <c r="F327" s="153" t="s">
        <v>227</v>
      </c>
      <c r="G327" s="155" t="str">
        <f>VLOOKUP(A327,Plano_V3!$A$27:$G$583,7,0)</f>
        <v>1. Concluído</v>
      </c>
      <c r="H327" s="155" t="s">
        <v>477</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c r="A351" s="31" t="str">
        <f t="shared" si="8"/>
        <v>modesg_out_bens_imoveisflg_rsc_fsc_agd</v>
      </c>
      <c r="B351" s="162" t="s">
        <v>28</v>
      </c>
      <c r="C351" s="157" t="s">
        <v>301</v>
      </c>
      <c r="D351" s="153" t="s">
        <v>40</v>
      </c>
      <c r="E351" s="154" t="s">
        <v>302</v>
      </c>
      <c r="F351" s="153" t="s">
        <v>273</v>
      </c>
      <c r="G351" s="155" t="str">
        <f>VLOOKUP(A351,Plano_V3!$A$27:$G$583,7,0)</f>
        <v>6. Em implementação (re-especificação)</v>
      </c>
      <c r="H351" s="155" t="s">
        <v>479</v>
      </c>
      <c r="I351" s="164" t="s">
        <v>1880</v>
      </c>
      <c r="J351" s="175">
        <f>IF(VLOOKUP(A351,'Aux - pivots1'!$A:$E,3,0)=0, "",VLOOKUP(A351,'Aux - pivots1'!$A:$E,3,0))</f>
        <v>45569</v>
      </c>
      <c r="K351" s="175" t="str">
        <f>IF(VLOOKUP(A351,'Aux - pivots1'!$A:$E,4,0)=0, "",VLOOKUP(A351,'Aux - pivots1'!$A:$E,4,0))</f>
        <v/>
      </c>
      <c r="L351" s="175" t="str">
        <f>IF(VLOOKUP(A351,'Aux - pivots1'!$A:$E,5,0)=0, "",VLOOKUP(A351,'Aux - pivots1'!$A:$E,5,0))</f>
        <v/>
      </c>
      <c r="M351" s="202"/>
    </row>
    <row r="352" spans="1:13" ht="16.2">
      <c r="A352" s="31" t="str">
        <f t="shared" si="8"/>
        <v>modesg_out_bens_imoveisflg_rsc_fsc_crnc</v>
      </c>
      <c r="B352" s="162" t="s">
        <v>28</v>
      </c>
      <c r="C352" s="157" t="s">
        <v>301</v>
      </c>
      <c r="D352" s="153" t="s">
        <v>40</v>
      </c>
      <c r="E352" s="154" t="s">
        <v>302</v>
      </c>
      <c r="F352" s="153" t="s">
        <v>274</v>
      </c>
      <c r="G352" s="155" t="str">
        <f>VLOOKUP(A352,Plano_V3!$A$27:$G$583,7,0)</f>
        <v>6. Em implementação (re-especificação)</v>
      </c>
      <c r="H352" s="155" t="s">
        <v>479</v>
      </c>
      <c r="I352" s="164" t="s">
        <v>1880</v>
      </c>
      <c r="J352" s="175">
        <f>IF(VLOOKUP(A352,'Aux - pivots1'!$A:$E,3,0)=0, "",VLOOKUP(A352,'Aux - pivots1'!$A:$E,3,0))</f>
        <v>45569</v>
      </c>
      <c r="K352" s="175" t="str">
        <f>IF(VLOOKUP(A352,'Aux - pivots1'!$A:$E,4,0)=0, "",VLOOKUP(A352,'Aux - pivots1'!$A:$E,4,0))</f>
        <v/>
      </c>
      <c r="L352" s="175" t="str">
        <f>IF(VLOOKUP(A352,'Aux - pivots1'!$A:$E,5,0)=0, "",VLOOKUP(A352,'Aux - pivots1'!$A:$E,5,0))</f>
        <v/>
      </c>
      <c r="M352" s="202"/>
    </row>
    <row r="353" spans="1:13" ht="16.2">
      <c r="A353" s="31" t="str">
        <f t="shared" si="8"/>
        <v>modesg_out_bens_imoveisorigem_flg_rsc_fsc_agd</v>
      </c>
      <c r="B353" s="162" t="s">
        <v>28</v>
      </c>
      <c r="C353" s="157" t="s">
        <v>301</v>
      </c>
      <c r="D353" s="153" t="s">
        <v>40</v>
      </c>
      <c r="E353" s="154" t="s">
        <v>302</v>
      </c>
      <c r="F353" s="153" t="s">
        <v>304</v>
      </c>
      <c r="G353" s="155" t="str">
        <f>VLOOKUP(A353,Plano_V3!$A$27:$G$583,7,0)</f>
        <v>6. Em implementação (re-especificação)</v>
      </c>
      <c r="H353" s="155" t="s">
        <v>479</v>
      </c>
      <c r="I353" s="164" t="s">
        <v>1880</v>
      </c>
      <c r="J353" s="175">
        <f>IF(VLOOKUP(A353,'Aux - pivots1'!$A:$E,3,0)=0, "",VLOOKUP(A353,'Aux - pivots1'!$A:$E,3,0))</f>
        <v>45569</v>
      </c>
      <c r="K353" s="175" t="str">
        <f>IF(VLOOKUP(A353,'Aux - pivots1'!$A:$E,4,0)=0, "",VLOOKUP(A353,'Aux - pivots1'!$A:$E,4,0))</f>
        <v/>
      </c>
      <c r="L353" s="175" t="str">
        <f>IF(VLOOKUP(A353,'Aux - pivots1'!$A:$E,5,0)=0, "",VLOOKUP(A353,'Aux - pivots1'!$A:$E,5,0))</f>
        <v/>
      </c>
      <c r="M353" s="202"/>
    </row>
    <row r="354" spans="1:13" ht="16.2">
      <c r="A354" s="31" t="str">
        <f t="shared" si="8"/>
        <v>modesg_out_bens_imoveisorigem_flg_rsc_fsc_crnc</v>
      </c>
      <c r="B354" s="162" t="s">
        <v>28</v>
      </c>
      <c r="C354" s="157" t="s">
        <v>301</v>
      </c>
      <c r="D354" s="153" t="s">
        <v>40</v>
      </c>
      <c r="E354" s="154" t="s">
        <v>302</v>
      </c>
      <c r="F354" s="153" t="s">
        <v>305</v>
      </c>
      <c r="G354" s="155" t="str">
        <f>VLOOKUP(A354,Plano_V3!$A$27:$G$583,7,0)</f>
        <v>6. Em implementação (re-especificação)</v>
      </c>
      <c r="H354" s="155" t="s">
        <v>479</v>
      </c>
      <c r="I354" s="164" t="s">
        <v>1880</v>
      </c>
      <c r="J354" s="175">
        <f>IF(VLOOKUP(A354,'Aux - pivots1'!$A:$E,3,0)=0, "",VLOOKUP(A354,'Aux - pivots1'!$A:$E,3,0))</f>
        <v>45569</v>
      </c>
      <c r="K354" s="175" t="str">
        <f>IF(VLOOKUP(A354,'Aux - pivots1'!$A:$E,4,0)=0, "",VLOOKUP(A354,'Aux - pivots1'!$A:$E,4,0))</f>
        <v/>
      </c>
      <c r="L354" s="175" t="str">
        <f>IF(VLOOKUP(A354,'Aux - pivots1'!$A:$E,5,0)=0, "",VLOOKUP(A354,'Aux - pivots1'!$A:$E,5,0))</f>
        <v/>
      </c>
      <c r="M354" s="202"/>
    </row>
    <row r="355" spans="1:13" ht="16.2">
      <c r="A355" s="31" t="str">
        <f t="shared" si="8"/>
        <v>modesg_out_bens_imoveisorigem_scp1_emss</v>
      </c>
      <c r="B355" s="162" t="s">
        <v>28</v>
      </c>
      <c r="C355" s="157" t="s">
        <v>301</v>
      </c>
      <c r="D355" s="153" t="s">
        <v>40</v>
      </c>
      <c r="E355" s="154" t="s">
        <v>302</v>
      </c>
      <c r="F355" s="153" t="s">
        <v>306</v>
      </c>
      <c r="G355" s="155" t="str">
        <f>VLOOKUP(A355,Plano_V3!$A$27:$G$583,7,0)</f>
        <v>4. Validação EF</v>
      </c>
      <c r="H355" s="155" t="s">
        <v>177</v>
      </c>
      <c r="I355" s="164" t="s">
        <v>1881</v>
      </c>
      <c r="J355" s="175">
        <f>IF(VLOOKUP(A355,'Aux - pivots1'!$A:$E,3,0)=0, "",VLOOKUP(A355,'Aux - pivots1'!$A:$E,3,0))</f>
        <v>45569</v>
      </c>
      <c r="K355" s="175" t="str">
        <f>IF(VLOOKUP(A355,'Aux - pivots1'!$A:$E,4,0)=0, "",VLOOKUP(A355,'Aux - pivots1'!$A:$E,4,0))</f>
        <v/>
      </c>
      <c r="L355" s="175">
        <f>IF(VLOOKUP(A355,'Aux - pivots1'!$A:$E,5,0)=0, "",VLOOKUP(A355,'Aux - pivots1'!$A:$E,5,0))</f>
        <v>45562</v>
      </c>
      <c r="M355" s="202"/>
    </row>
    <row r="356" spans="1:13" ht="16.2">
      <c r="A356" s="31" t="str">
        <f t="shared" si="8"/>
        <v>modesg_out_bens_imoveisorigem_scp2_emss</v>
      </c>
      <c r="B356" s="162" t="s">
        <v>28</v>
      </c>
      <c r="C356" s="157" t="s">
        <v>301</v>
      </c>
      <c r="D356" s="153" t="s">
        <v>40</v>
      </c>
      <c r="E356" s="154" t="s">
        <v>302</v>
      </c>
      <c r="F356" s="153" t="s">
        <v>307</v>
      </c>
      <c r="G356" s="155" t="str">
        <f>VLOOKUP(A356,Plano_V3!$A$27:$G$583,7,0)</f>
        <v>4. Validação EF</v>
      </c>
      <c r="H356" s="155" t="s">
        <v>177</v>
      </c>
      <c r="I356" s="164" t="s">
        <v>1881</v>
      </c>
      <c r="J356" s="175">
        <f>IF(VLOOKUP(A356,'Aux - pivots1'!$A:$E,3,0)=0, "",VLOOKUP(A356,'Aux - pivots1'!$A:$E,3,0))</f>
        <v>45569</v>
      </c>
      <c r="K356" s="175" t="str">
        <f>IF(VLOOKUP(A356,'Aux - pivots1'!$A:$E,4,0)=0, "",VLOOKUP(A356,'Aux - pivots1'!$A:$E,4,0))</f>
        <v/>
      </c>
      <c r="L356" s="175">
        <f>IF(VLOOKUP(A356,'Aux - pivots1'!$A:$E,5,0)=0, "",VLOOKUP(A356,'Aux - pivots1'!$A:$E,5,0))</f>
        <v>45562</v>
      </c>
      <c r="M356" s="202"/>
    </row>
    <row r="357" spans="1:13" ht="16.2">
      <c r="A357" s="31" t="str">
        <f t="shared" si="8"/>
        <v>modesg_out_bens_imoveisorigem_scp3_emss</v>
      </c>
      <c r="B357" s="162" t="s">
        <v>28</v>
      </c>
      <c r="C357" s="157" t="s">
        <v>301</v>
      </c>
      <c r="D357" s="153" t="s">
        <v>40</v>
      </c>
      <c r="E357" s="154" t="s">
        <v>302</v>
      </c>
      <c r="F357" s="153" t="s">
        <v>308</v>
      </c>
      <c r="G357" s="155" t="str">
        <f>VLOOKUP(A357,Plano_V3!$A$27:$G$583,7,0)</f>
        <v>4. Validação EF</v>
      </c>
      <c r="H357" s="155" t="s">
        <v>177</v>
      </c>
      <c r="I357" s="164" t="s">
        <v>1881</v>
      </c>
      <c r="J357" s="175">
        <f>IF(VLOOKUP(A357,'Aux - pivots1'!$A:$E,3,0)=0, "",VLOOKUP(A357,'Aux - pivots1'!$A:$E,3,0))</f>
        <v>45569</v>
      </c>
      <c r="K357" s="175" t="str">
        <f>IF(VLOOKUP(A357,'Aux - pivots1'!$A:$E,4,0)=0, "",VLOOKUP(A357,'Aux - pivots1'!$A:$E,4,0))</f>
        <v/>
      </c>
      <c r="L357" s="175">
        <f>IF(VLOOKUP(A357,'Aux - pivots1'!$A:$E,5,0)=0, "",VLOOKUP(A357,'Aux - pivots1'!$A:$E,5,0))</f>
        <v>45562</v>
      </c>
      <c r="M357" s="202"/>
    </row>
    <row r="358" spans="1:13" ht="16.2">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c r="A359" s="31" t="str">
        <f t="shared" si="8"/>
        <v>modesg_out_bens_imoveisscp1_emss</v>
      </c>
      <c r="B359" s="162" t="s">
        <v>28</v>
      </c>
      <c r="C359" s="157" t="s">
        <v>301</v>
      </c>
      <c r="D359" s="153" t="s">
        <v>40</v>
      </c>
      <c r="E359" s="154" t="s">
        <v>302</v>
      </c>
      <c r="F359" s="153" t="s">
        <v>276</v>
      </c>
      <c r="G359" s="155" t="str">
        <f>VLOOKUP(A359,Plano_V3!$A$27:$G$583,7,0)</f>
        <v>4. Validação EF</v>
      </c>
      <c r="H359" s="155" t="s">
        <v>177</v>
      </c>
      <c r="I359" s="164" t="s">
        <v>1881</v>
      </c>
      <c r="J359" s="175">
        <f>IF(VLOOKUP(A359,'Aux - pivots1'!$A:$E,3,0)=0, "",VLOOKUP(A359,'Aux - pivots1'!$A:$E,3,0))</f>
        <v>45569</v>
      </c>
      <c r="K359" s="175" t="str">
        <f>IF(VLOOKUP(A359,'Aux - pivots1'!$A:$E,4,0)=0, "",VLOOKUP(A359,'Aux - pivots1'!$A:$E,4,0))</f>
        <v/>
      </c>
      <c r="L359" s="175">
        <f>IF(VLOOKUP(A359,'Aux - pivots1'!$A:$E,5,0)=0, "",VLOOKUP(A359,'Aux - pivots1'!$A:$E,5,0))</f>
        <v>45562</v>
      </c>
      <c r="M359" s="202"/>
    </row>
    <row r="360" spans="1:13" ht="16.2">
      <c r="A360" s="31" t="str">
        <f t="shared" si="8"/>
        <v>modesg_out_bens_imoveisscp2_emss</v>
      </c>
      <c r="B360" s="162" t="s">
        <v>28</v>
      </c>
      <c r="C360" s="157" t="s">
        <v>301</v>
      </c>
      <c r="D360" s="153" t="s">
        <v>40</v>
      </c>
      <c r="E360" s="154" t="s">
        <v>302</v>
      </c>
      <c r="F360" s="153" t="s">
        <v>277</v>
      </c>
      <c r="G360" s="155" t="str">
        <f>VLOOKUP(A360,Plano_V3!$A$27:$G$583,7,0)</f>
        <v>4. Validação EF</v>
      </c>
      <c r="H360" s="155" t="s">
        <v>177</v>
      </c>
      <c r="I360" s="164" t="s">
        <v>1881</v>
      </c>
      <c r="J360" s="175">
        <f>IF(VLOOKUP(A360,'Aux - pivots1'!$A:$E,3,0)=0, "",VLOOKUP(A360,'Aux - pivots1'!$A:$E,3,0))</f>
        <v>45569</v>
      </c>
      <c r="K360" s="175" t="str">
        <f>IF(VLOOKUP(A360,'Aux - pivots1'!$A:$E,4,0)=0, "",VLOOKUP(A360,'Aux - pivots1'!$A:$E,4,0))</f>
        <v/>
      </c>
      <c r="L360" s="175">
        <f>IF(VLOOKUP(A360,'Aux - pivots1'!$A:$E,5,0)=0, "",VLOOKUP(A360,'Aux - pivots1'!$A:$E,5,0))</f>
        <v>45562</v>
      </c>
      <c r="M360" s="202"/>
    </row>
    <row r="361" spans="1:13" ht="16.2">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c r="A362" s="31" t="str">
        <f t="shared" si="8"/>
        <v>modesg_out_bens_imoveisunidade_funcional_scp1_emss</v>
      </c>
      <c r="B362" s="162" t="s">
        <v>28</v>
      </c>
      <c r="C362" s="157" t="s">
        <v>301</v>
      </c>
      <c r="D362" s="153" t="s">
        <v>40</v>
      </c>
      <c r="E362" s="154" t="s">
        <v>302</v>
      </c>
      <c r="F362" s="153" t="s">
        <v>309</v>
      </c>
      <c r="G362" s="155" t="str">
        <f>VLOOKUP(A362,Plano_V3!$A$27:$G$583,7,0)</f>
        <v>4. Validação EF</v>
      </c>
      <c r="H362" s="155" t="s">
        <v>177</v>
      </c>
      <c r="I362" s="164" t="s">
        <v>1881</v>
      </c>
      <c r="J362" s="175">
        <f>IF(VLOOKUP(A362,'Aux - pivots1'!$A:$E,3,0)=0, "",VLOOKUP(A362,'Aux - pivots1'!$A:$E,3,0))</f>
        <v>45569</v>
      </c>
      <c r="K362" s="175" t="str">
        <f>IF(VLOOKUP(A362,'Aux - pivots1'!$A:$E,4,0)=0, "",VLOOKUP(A362,'Aux - pivots1'!$A:$E,4,0))</f>
        <v/>
      </c>
      <c r="L362" s="175" t="str">
        <f>IF(VLOOKUP(A362,'Aux - pivots1'!$A:$E,5,0)=0, "",VLOOKUP(A362,'Aux - pivots1'!$A:$E,5,0))</f>
        <v/>
      </c>
      <c r="M362" s="202"/>
    </row>
    <row r="363" spans="1:13" ht="16.2">
      <c r="A363" s="31" t="str">
        <f t="shared" si="8"/>
        <v>modesg_out_bens_imoveisunidade_funcional_scp2_emss</v>
      </c>
      <c r="B363" s="162" t="s">
        <v>28</v>
      </c>
      <c r="C363" s="157" t="s">
        <v>301</v>
      </c>
      <c r="D363" s="153" t="s">
        <v>40</v>
      </c>
      <c r="E363" s="154" t="s">
        <v>302</v>
      </c>
      <c r="F363" s="153" t="s">
        <v>310</v>
      </c>
      <c r="G363" s="155" t="str">
        <f>VLOOKUP(A363,Plano_V3!$A$27:$G$583,7,0)</f>
        <v>4. Validação EF</v>
      </c>
      <c r="H363" s="155" t="s">
        <v>177</v>
      </c>
      <c r="I363" s="164" t="s">
        <v>1881</v>
      </c>
      <c r="J363" s="175">
        <f>IF(VLOOKUP(A363,'Aux - pivots1'!$A:$E,3,0)=0, "",VLOOKUP(A363,'Aux - pivots1'!$A:$E,3,0))</f>
        <v>45569</v>
      </c>
      <c r="K363" s="175" t="str">
        <f>IF(VLOOKUP(A363,'Aux - pivots1'!$A:$E,4,0)=0, "",VLOOKUP(A363,'Aux - pivots1'!$A:$E,4,0))</f>
        <v/>
      </c>
      <c r="L363" s="175" t="str">
        <f>IF(VLOOKUP(A363,'Aux - pivots1'!$A:$E,5,0)=0, "",VLOOKUP(A363,'Aux - pivots1'!$A:$E,5,0))</f>
        <v/>
      </c>
      <c r="M363" s="202"/>
    </row>
    <row r="364" spans="1:13" ht="16.2">
      <c r="A364" s="31" t="str">
        <f t="shared" si="8"/>
        <v>modesg_out_bens_imoveisunidade_funcional_scp3_emss</v>
      </c>
      <c r="B364" s="162" t="s">
        <v>28</v>
      </c>
      <c r="C364" s="157" t="s">
        <v>301</v>
      </c>
      <c r="D364" s="153" t="s">
        <v>40</v>
      </c>
      <c r="E364" s="154" t="s">
        <v>302</v>
      </c>
      <c r="F364" s="153" t="s">
        <v>311</v>
      </c>
      <c r="G364" s="155" t="str">
        <f>VLOOKUP(A364,Plano_V3!$A$27:$G$583,7,0)</f>
        <v>4. Validação EF</v>
      </c>
      <c r="H364" s="155" t="s">
        <v>177</v>
      </c>
      <c r="I364" s="164" t="s">
        <v>1881</v>
      </c>
      <c r="J364" s="175">
        <f>IF(VLOOKUP(A364,'Aux - pivots1'!$A:$E,3,0)=0, "",VLOOKUP(A364,'Aux - pivots1'!$A:$E,3,0))</f>
        <v>45569</v>
      </c>
      <c r="K364" s="175" t="str">
        <f>IF(VLOOKUP(A364,'Aux - pivots1'!$A:$E,4,0)=0, "",VLOOKUP(A364,'Aux - pivots1'!$A:$E,4,0))</f>
        <v/>
      </c>
      <c r="L364" s="175" t="str">
        <f>IF(VLOOKUP(A364,'Aux - pivots1'!$A:$E,5,0)=0, "",VLOOKUP(A364,'Aux - pivots1'!$A:$E,5,0))</f>
        <v/>
      </c>
      <c r="M364" s="202"/>
    </row>
    <row r="365" spans="1:13" ht="16.2">
      <c r="A365" s="31" t="str">
        <f t="shared" si="8"/>
        <v>modesg_out_empr_info_nfinn.a.</v>
      </c>
      <c r="B365" s="162" t="s">
        <v>28</v>
      </c>
      <c r="C365" s="157" t="s">
        <v>301</v>
      </c>
      <c r="D365" s="153" t="s">
        <v>36</v>
      </c>
      <c r="E365" s="154" t="s">
        <v>312</v>
      </c>
      <c r="F365" s="153" t="s">
        <v>38</v>
      </c>
      <c r="G365" s="155" t="str">
        <f>VLOOKUP(A365,Plano_V3!$A$27:$G$583,7,0)</f>
        <v>1. Concluído</v>
      </c>
      <c r="H365" s="155" t="s">
        <v>477</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482</v>
      </c>
      <c r="I366" s="179" t="s">
        <v>1880</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482</v>
      </c>
      <c r="I367" s="179" t="s">
        <v>1880</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482</v>
      </c>
      <c r="I368" s="179" t="s">
        <v>1880</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482</v>
      </c>
      <c r="I369" s="179" t="s">
        <v>1880</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482</v>
      </c>
      <c r="I370" s="179" t="s">
        <v>1880</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482</v>
      </c>
      <c r="I371" s="179" t="s">
        <v>1880</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482</v>
      </c>
      <c r="I372" s="179" t="s">
        <v>1880</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482</v>
      </c>
      <c r="I373" s="179" t="s">
        <v>1880</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482</v>
      </c>
      <c r="I374" s="179" t="s">
        <v>1880</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482</v>
      </c>
      <c r="I375" s="179" t="s">
        <v>1880</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482</v>
      </c>
      <c r="I376" s="179" t="s">
        <v>1880</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482</v>
      </c>
      <c r="I377" s="179" t="s">
        <v>1880</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482</v>
      </c>
      <c r="I378" s="179" t="s">
        <v>1880</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482</v>
      </c>
      <c r="I379" s="179" t="s">
        <v>1880</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482</v>
      </c>
      <c r="I380" s="179" t="s">
        <v>1880</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482</v>
      </c>
      <c r="I381" s="179" t="s">
        <v>1880</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482</v>
      </c>
      <c r="I382" s="179" t="s">
        <v>1880</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c r="A383" s="31" t="str">
        <f t="shared" si="8"/>
        <v>modesg_out_empr_info_nfinflg_rsc_fsc_agd</v>
      </c>
      <c r="B383" s="162" t="s">
        <v>28</v>
      </c>
      <c r="C383" s="157" t="s">
        <v>301</v>
      </c>
      <c r="D383" s="153" t="s">
        <v>40</v>
      </c>
      <c r="E383" s="154" t="s">
        <v>312</v>
      </c>
      <c r="F383" s="153" t="s">
        <v>273</v>
      </c>
      <c r="G383" s="155" t="str">
        <f>VLOOKUP(A383,Plano_V3!$A$27:$G$583,7,0)</f>
        <v>6. Em implementação (re-especificação)</v>
      </c>
      <c r="H383" s="155" t="s">
        <v>479</v>
      </c>
      <c r="I383" s="179" t="s">
        <v>1880</v>
      </c>
      <c r="J383" s="175">
        <f>IF(VLOOKUP(A383,'Aux - pivots1'!$A:$E,3,0)=0, "",VLOOKUP(A383,'Aux - pivots1'!$A:$E,3,0))</f>
        <v>45569</v>
      </c>
      <c r="K383" s="175" t="str">
        <f>IF(VLOOKUP(A383,'Aux - pivots1'!$A:$E,4,0)=0, "",VLOOKUP(A383,'Aux - pivots1'!$A:$E,4,0))</f>
        <v/>
      </c>
      <c r="L383" s="175" t="str">
        <f>IF(VLOOKUP(A383,'Aux - pivots1'!$A:$E,5,0)=0, "",VLOOKUP(A383,'Aux - pivots1'!$A:$E,5,0))</f>
        <v/>
      </c>
      <c r="M383" s="202"/>
    </row>
    <row r="384" spans="1:13" ht="16.2">
      <c r="A384" s="31" t="str">
        <f t="shared" si="8"/>
        <v>modesg_out_empr_info_nfinflg_rsc_fsc_crnc</v>
      </c>
      <c r="B384" s="162" t="s">
        <v>28</v>
      </c>
      <c r="C384" s="157" t="s">
        <v>301</v>
      </c>
      <c r="D384" s="153" t="s">
        <v>40</v>
      </c>
      <c r="E384" s="154" t="s">
        <v>312</v>
      </c>
      <c r="F384" s="153" t="s">
        <v>274</v>
      </c>
      <c r="G384" s="155" t="str">
        <f>VLOOKUP(A384,Plano_V3!$A$27:$G$583,7,0)</f>
        <v>6. Em implementação (re-especificação)</v>
      </c>
      <c r="H384" s="155" t="s">
        <v>479</v>
      </c>
      <c r="I384" s="179" t="s">
        <v>1880</v>
      </c>
      <c r="J384" s="175">
        <f>IF(VLOOKUP(A384,'Aux - pivots1'!$A:$E,3,0)=0, "",VLOOKUP(A384,'Aux - pivots1'!$A:$E,3,0))</f>
        <v>45569</v>
      </c>
      <c r="K384" s="175" t="str">
        <f>IF(VLOOKUP(A384,'Aux - pivots1'!$A:$E,4,0)=0, "",VLOOKUP(A384,'Aux - pivots1'!$A:$E,4,0))</f>
        <v/>
      </c>
      <c r="L384" s="175" t="str">
        <f>IF(VLOOKUP(A384,'Aux - pivots1'!$A:$E,5,0)=0, "",VLOOKUP(A384,'Aux - pivots1'!$A:$E,5,0))</f>
        <v/>
      </c>
      <c r="M384" s="202"/>
    </row>
    <row r="385" spans="1:13" ht="16.2">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482</v>
      </c>
      <c r="I385" s="179" t="s">
        <v>1880</v>
      </c>
      <c r="J385" s="175">
        <f>IF(VLOOKUP(A385,'Aux - pivots1'!$A:$E,3,0)=0, "",VLOOKUP(A385,'Aux - pivots1'!$A:$E,3,0))</f>
        <v>45569</v>
      </c>
      <c r="K385" s="175" t="str">
        <f>IF(VLOOKUP(A385,'Aux - pivots1'!$A:$E,4,0)=0, "",VLOOKUP(A385,'Aux - pivots1'!$A:$E,4,0))</f>
        <v/>
      </c>
      <c r="L385" s="175" t="str">
        <f>IF(VLOOKUP(A385,'Aux - pivots1'!$A:$E,5,0)=0, "",VLOOKUP(A385,'Aux - pivots1'!$A:$E,5,0))</f>
        <v/>
      </c>
      <c r="M385" s="202"/>
    </row>
    <row r="386" spans="1:13" ht="16.2">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482</v>
      </c>
      <c r="I386" s="179" t="s">
        <v>1880</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482</v>
      </c>
      <c r="I387" s="179" t="s">
        <v>1880</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c r="A388" s="31" t="str">
        <f t="shared" si="8"/>
        <v>modesg_out_empr_info_nfinorigem_flg_rsc_fsc_agd</v>
      </c>
      <c r="B388" s="162" t="s">
        <v>28</v>
      </c>
      <c r="C388" s="157" t="s">
        <v>301</v>
      </c>
      <c r="D388" s="153" t="s">
        <v>40</v>
      </c>
      <c r="E388" s="154" t="s">
        <v>312</v>
      </c>
      <c r="F388" s="153" t="s">
        <v>304</v>
      </c>
      <c r="G388" s="155" t="str">
        <f>VLOOKUP(A388,Plano_V3!$A$27:$G$583,7,0)</f>
        <v>6. Em implementação (re-especificação)</v>
      </c>
      <c r="H388" s="155" t="s">
        <v>479</v>
      </c>
      <c r="I388" s="179" t="s">
        <v>1880</v>
      </c>
      <c r="J388" s="175">
        <f>IF(VLOOKUP(A388,'Aux - pivots1'!$A:$E,3,0)=0, "",VLOOKUP(A388,'Aux - pivots1'!$A:$E,3,0))</f>
        <v>45569</v>
      </c>
      <c r="K388" s="175" t="str">
        <f>IF(VLOOKUP(A388,'Aux - pivots1'!$A:$E,4,0)=0, "",VLOOKUP(A388,'Aux - pivots1'!$A:$E,4,0))</f>
        <v/>
      </c>
      <c r="L388" s="175" t="str">
        <f>IF(VLOOKUP(A388,'Aux - pivots1'!$A:$E,5,0)=0, "",VLOOKUP(A388,'Aux - pivots1'!$A:$E,5,0))</f>
        <v/>
      </c>
      <c r="M388" s="202"/>
    </row>
    <row r="389" spans="1:13" ht="16.2">
      <c r="A389" s="31" t="str">
        <f t="shared" si="8"/>
        <v>modesg_out_empr_info_nfinorigem_flg_rsc_fsc_crnc</v>
      </c>
      <c r="B389" s="162" t="s">
        <v>28</v>
      </c>
      <c r="C389" s="157" t="s">
        <v>301</v>
      </c>
      <c r="D389" s="153" t="s">
        <v>40</v>
      </c>
      <c r="E389" s="154" t="s">
        <v>312</v>
      </c>
      <c r="F389" s="153" t="s">
        <v>305</v>
      </c>
      <c r="G389" s="155" t="str">
        <f>VLOOKUP(A389,Plano_V3!$A$27:$G$583,7,0)</f>
        <v>6. Em implementação (re-especificação)</v>
      </c>
      <c r="H389" s="155" t="s">
        <v>479</v>
      </c>
      <c r="I389" s="179" t="s">
        <v>1880</v>
      </c>
      <c r="J389" s="175">
        <f>IF(VLOOKUP(A389,'Aux - pivots1'!$A:$E,3,0)=0, "",VLOOKUP(A389,'Aux - pivots1'!$A:$E,3,0))</f>
        <v>45569</v>
      </c>
      <c r="K389" s="175" t="str">
        <f>IF(VLOOKUP(A389,'Aux - pivots1'!$A:$E,4,0)=0, "",VLOOKUP(A389,'Aux - pivots1'!$A:$E,4,0))</f>
        <v/>
      </c>
      <c r="L389" s="175" t="str">
        <f>IF(VLOOKUP(A389,'Aux - pivots1'!$A:$E,5,0)=0, "",VLOOKUP(A389,'Aux - pivots1'!$A:$E,5,0))</f>
        <v/>
      </c>
      <c r="M389" s="202"/>
    </row>
    <row r="390" spans="1:13" ht="16.2">
      <c r="A390" s="31" t="str">
        <f t="shared" si="8"/>
        <v>modesg_out_empr_info_nfinorigem_scp1_emss</v>
      </c>
      <c r="B390" s="162" t="s">
        <v>28</v>
      </c>
      <c r="C390" s="157" t="s">
        <v>301</v>
      </c>
      <c r="D390" s="153" t="s">
        <v>40</v>
      </c>
      <c r="E390" s="154" t="s">
        <v>312</v>
      </c>
      <c r="F390" s="153" t="s">
        <v>306</v>
      </c>
      <c r="G390" s="155" t="str">
        <f>VLOOKUP(A390,Plano_V3!$A$27:$G$583,7,0)</f>
        <v>4. Validação EF</v>
      </c>
      <c r="H390" s="155" t="s">
        <v>177</v>
      </c>
      <c r="I390" s="179" t="s">
        <v>1881</v>
      </c>
      <c r="J390" s="175">
        <f>IF(VLOOKUP(A390,'Aux - pivots1'!$A:$E,3,0)=0, "",VLOOKUP(A390,'Aux - pivots1'!$A:$E,3,0))</f>
        <v>45569</v>
      </c>
      <c r="K390" s="175" t="str">
        <f>IF(VLOOKUP(A390,'Aux - pivots1'!$A:$E,4,0)=0, "",VLOOKUP(A390,'Aux - pivots1'!$A:$E,4,0))</f>
        <v/>
      </c>
      <c r="L390" s="175" t="str">
        <f>IF(VLOOKUP(A390,'Aux - pivots1'!$A:$E,5,0)=0, "",VLOOKUP(A390,'Aux - pivots1'!$A:$E,5,0))</f>
        <v/>
      </c>
      <c r="M390" s="202"/>
    </row>
    <row r="391" spans="1:13" ht="16.2">
      <c r="A391" s="31" t="str">
        <f t="shared" si="8"/>
        <v>modesg_out_empr_info_nfinorigem_scp2_emss</v>
      </c>
      <c r="B391" s="162" t="s">
        <v>28</v>
      </c>
      <c r="C391" s="157" t="s">
        <v>301</v>
      </c>
      <c r="D391" s="153" t="s">
        <v>40</v>
      </c>
      <c r="E391" s="154" t="s">
        <v>312</v>
      </c>
      <c r="F391" s="153" t="s">
        <v>307</v>
      </c>
      <c r="G391" s="155" t="str">
        <f>VLOOKUP(A391,Plano_V3!$A$27:$G$583,7,0)</f>
        <v>4. Validação EF</v>
      </c>
      <c r="H391" s="155" t="s">
        <v>177</v>
      </c>
      <c r="I391" s="179" t="s">
        <v>1881</v>
      </c>
      <c r="J391" s="175">
        <f>IF(VLOOKUP(A391,'Aux - pivots1'!$A:$E,3,0)=0, "",VLOOKUP(A391,'Aux - pivots1'!$A:$E,3,0))</f>
        <v>45569</v>
      </c>
      <c r="K391" s="175" t="str">
        <f>IF(VLOOKUP(A391,'Aux - pivots1'!$A:$E,4,0)=0, "",VLOOKUP(A391,'Aux - pivots1'!$A:$E,4,0))</f>
        <v/>
      </c>
      <c r="L391" s="175" t="str">
        <f>IF(VLOOKUP(A391,'Aux - pivots1'!$A:$E,5,0)=0, "",VLOOKUP(A391,'Aux - pivots1'!$A:$E,5,0))</f>
        <v/>
      </c>
      <c r="M391" s="202"/>
    </row>
    <row r="392" spans="1:13" ht="16.2">
      <c r="A392" s="31" t="str">
        <f t="shared" si="8"/>
        <v>modesg_out_empr_info_nfinorigem_scp3_emss</v>
      </c>
      <c r="B392" s="162" t="s">
        <v>28</v>
      </c>
      <c r="C392" s="157" t="s">
        <v>301</v>
      </c>
      <c r="D392" s="153" t="s">
        <v>40</v>
      </c>
      <c r="E392" s="154" t="s">
        <v>312</v>
      </c>
      <c r="F392" s="153" t="s">
        <v>308</v>
      </c>
      <c r="G392" s="155" t="str">
        <f>VLOOKUP(A392,Plano_V3!$A$27:$G$583,7,0)</f>
        <v>4. Validação EF</v>
      </c>
      <c r="H392" s="155" t="s">
        <v>177</v>
      </c>
      <c r="I392" s="179" t="s">
        <v>1881</v>
      </c>
      <c r="J392" s="175">
        <f>IF(VLOOKUP(A392,'Aux - pivots1'!$A:$E,3,0)=0, "",VLOOKUP(A392,'Aux - pivots1'!$A:$E,3,0))</f>
        <v>45569</v>
      </c>
      <c r="K392" s="175" t="str">
        <f>IF(VLOOKUP(A392,'Aux - pivots1'!$A:$E,4,0)=0, "",VLOOKUP(A392,'Aux - pivots1'!$A:$E,4,0))</f>
        <v/>
      </c>
      <c r="L392" s="175" t="str">
        <f>IF(VLOOKUP(A392,'Aux - pivots1'!$A:$E,5,0)=0, "",VLOOKUP(A392,'Aux - pivots1'!$A:$E,5,0))</f>
        <v/>
      </c>
      <c r="M392" s="202"/>
    </row>
    <row r="393" spans="1:13" ht="16.2">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c r="A394" s="31" t="str">
        <f t="shared" si="8"/>
        <v>modesg_out_empr_info_nfinscp1_emss</v>
      </c>
      <c r="B394" s="162" t="s">
        <v>28</v>
      </c>
      <c r="C394" s="157" t="s">
        <v>301</v>
      </c>
      <c r="D394" s="153" t="s">
        <v>40</v>
      </c>
      <c r="E394" s="154" t="s">
        <v>312</v>
      </c>
      <c r="F394" s="153" t="s">
        <v>276</v>
      </c>
      <c r="G394" s="155" t="str">
        <f>VLOOKUP(A394,Plano_V3!$A$27:$G$583,7,0)</f>
        <v>4. Validação EF</v>
      </c>
      <c r="H394" s="155" t="s">
        <v>177</v>
      </c>
      <c r="I394" s="179" t="s">
        <v>1881</v>
      </c>
      <c r="J394" s="175">
        <f>IF(VLOOKUP(A394,'Aux - pivots1'!$A:$E,3,0)=0, "",VLOOKUP(A394,'Aux - pivots1'!$A:$E,3,0))</f>
        <v>45569</v>
      </c>
      <c r="K394" s="175" t="str">
        <f>IF(VLOOKUP(A394,'Aux - pivots1'!$A:$E,4,0)=0, "",VLOOKUP(A394,'Aux - pivots1'!$A:$E,4,0))</f>
        <v/>
      </c>
      <c r="L394" s="175" t="str">
        <f>IF(VLOOKUP(A394,'Aux - pivots1'!$A:$E,5,0)=0, "",VLOOKUP(A394,'Aux - pivots1'!$A:$E,5,0))</f>
        <v/>
      </c>
      <c r="M394" s="202"/>
    </row>
    <row r="395" spans="1:13" ht="16.2">
      <c r="A395" s="31" t="str">
        <f t="shared" si="8"/>
        <v>modesg_out_empr_info_nfinscp2_emss</v>
      </c>
      <c r="B395" s="162" t="s">
        <v>28</v>
      </c>
      <c r="C395" s="157" t="s">
        <v>301</v>
      </c>
      <c r="D395" s="153" t="s">
        <v>40</v>
      </c>
      <c r="E395" s="154" t="s">
        <v>312</v>
      </c>
      <c r="F395" s="153" t="s">
        <v>277</v>
      </c>
      <c r="G395" s="155" t="str">
        <f>VLOOKUP(A395,Plano_V3!$A$27:$G$583,7,0)</f>
        <v>4. Validação EF</v>
      </c>
      <c r="H395" s="155" t="s">
        <v>177</v>
      </c>
      <c r="I395" s="179" t="s">
        <v>1881</v>
      </c>
      <c r="J395" s="175">
        <f>IF(VLOOKUP(A395,'Aux - pivots1'!$A:$E,3,0)=0, "",VLOOKUP(A395,'Aux - pivots1'!$A:$E,3,0))</f>
        <v>45569</v>
      </c>
      <c r="K395" s="175" t="str">
        <f>IF(VLOOKUP(A395,'Aux - pivots1'!$A:$E,4,0)=0, "",VLOOKUP(A395,'Aux - pivots1'!$A:$E,4,0))</f>
        <v/>
      </c>
      <c r="L395" s="175" t="str">
        <f>IF(VLOOKUP(A395,'Aux - pivots1'!$A:$E,5,0)=0, "",VLOOKUP(A395,'Aux - pivots1'!$A:$E,5,0))</f>
        <v/>
      </c>
      <c r="M395" s="202"/>
    </row>
    <row r="396" spans="1:13" ht="16.2">
      <c r="A396" s="31" t="str">
        <f t="shared" si="8"/>
        <v>modesg_out_empr_info_nfinscp3_emss</v>
      </c>
      <c r="B396" s="162" t="s">
        <v>28</v>
      </c>
      <c r="C396" s="157" t="s">
        <v>301</v>
      </c>
      <c r="D396" s="153" t="s">
        <v>40</v>
      </c>
      <c r="E396" s="154" t="s">
        <v>312</v>
      </c>
      <c r="F396" s="153" t="s">
        <v>278</v>
      </c>
      <c r="G396" s="155" t="str">
        <f>VLOOKUP(A396,Plano_V3!$A$27:$G$583,7,0)</f>
        <v>4. Validação EF</v>
      </c>
      <c r="H396" s="155" t="s">
        <v>177</v>
      </c>
      <c r="I396" s="179" t="s">
        <v>1881</v>
      </c>
      <c r="J396" s="175">
        <f>IF(VLOOKUP(A396,'Aux - pivots1'!$A:$E,3,0)=0, "",VLOOKUP(A396,'Aux - pivots1'!$A:$E,3,0))</f>
        <v>45569</v>
      </c>
      <c r="K396" s="175" t="str">
        <f>IF(VLOOKUP(A396,'Aux - pivots1'!$A:$E,4,0)=0, "",VLOOKUP(A396,'Aux - pivots1'!$A:$E,4,0))</f>
        <v/>
      </c>
      <c r="L396" s="175" t="str">
        <f>IF(VLOOKUP(A396,'Aux - pivots1'!$A:$E,5,0)=0, "",VLOOKUP(A396,'Aux - pivots1'!$A:$E,5,0))</f>
        <v/>
      </c>
      <c r="M396" s="202"/>
    </row>
    <row r="397" spans="1:13" ht="16.2">
      <c r="A397" s="31" t="str">
        <f t="shared" si="8"/>
        <v>modesg_out_empr_info_nfinzcliente</v>
      </c>
      <c r="B397" s="162" t="s">
        <v>28</v>
      </c>
      <c r="C397" s="157" t="s">
        <v>301</v>
      </c>
      <c r="D397" s="153" t="s">
        <v>40</v>
      </c>
      <c r="E397" s="154" t="s">
        <v>312</v>
      </c>
      <c r="F397" s="153" t="s">
        <v>203</v>
      </c>
      <c r="G397" s="155" t="str">
        <f>VLOOKUP(A397,Plano_V3!$A$27:$G$583,7,0)</f>
        <v>1. Concluído</v>
      </c>
      <c r="H397" s="155" t="s">
        <v>477</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482</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482</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c r="A404" s="31" t="str">
        <f t="shared" si="9"/>
        <v>modesg_out_emss_vclsorigem_scp1_emss</v>
      </c>
      <c r="B404" s="162" t="s">
        <v>28</v>
      </c>
      <c r="C404" s="157" t="s">
        <v>301</v>
      </c>
      <c r="D404" s="153" t="s">
        <v>40</v>
      </c>
      <c r="E404" s="154" t="s">
        <v>318</v>
      </c>
      <c r="F404" s="153" t="s">
        <v>306</v>
      </c>
      <c r="G404" s="155" t="str">
        <f>VLOOKUP(A404,Plano_V3!$A$27:$G$583,7,0)</f>
        <v>4. Validação EF</v>
      </c>
      <c r="H404" s="155" t="s">
        <v>177</v>
      </c>
      <c r="I404" s="164" t="s">
        <v>1865</v>
      </c>
      <c r="J404" s="175">
        <f>IF(VLOOKUP(A404,'Aux - pivots1'!$A:$E,3,0)=0, "",VLOOKUP(A404,'Aux - pivots1'!$A:$E,3,0))</f>
        <v>45566</v>
      </c>
      <c r="K404" s="175" t="str">
        <f>IF(VLOOKUP(A404,'Aux - pivots1'!$A:$E,4,0)=0, "",VLOOKUP(A404,'Aux - pivots1'!$A:$E,4,0))</f>
        <v/>
      </c>
      <c r="L404" s="175" t="str">
        <f>IF(VLOOKUP(A404,'Aux - pivots1'!$A:$E,5,0)=0, "",VLOOKUP(A404,'Aux - pivots1'!$A:$E,5,0))</f>
        <v/>
      </c>
      <c r="M404" s="202"/>
    </row>
    <row r="405" spans="1:13" ht="16.2">
      <c r="A405" s="31" t="str">
        <f t="shared" si="9"/>
        <v>modesg_out_emss_vclsorigem_scp2_emss</v>
      </c>
      <c r="B405" s="162" t="s">
        <v>28</v>
      </c>
      <c r="C405" s="157" t="s">
        <v>301</v>
      </c>
      <c r="D405" s="153" t="s">
        <v>40</v>
      </c>
      <c r="E405" s="154" t="s">
        <v>318</v>
      </c>
      <c r="F405" s="153" t="s">
        <v>307</v>
      </c>
      <c r="G405" s="155" t="str">
        <f>VLOOKUP(A405,Plano_V3!$A$27:$G$583,7,0)</f>
        <v>4. Validação EF</v>
      </c>
      <c r="H405" s="155" t="s">
        <v>177</v>
      </c>
      <c r="I405" s="164" t="s">
        <v>1865</v>
      </c>
      <c r="J405" s="175">
        <f>IF(VLOOKUP(A405,'Aux - pivots1'!$A:$E,3,0)=0, "",VLOOKUP(A405,'Aux - pivots1'!$A:$E,3,0))</f>
        <v>45566</v>
      </c>
      <c r="K405" s="175" t="str">
        <f>IF(VLOOKUP(A405,'Aux - pivots1'!$A:$E,4,0)=0, "",VLOOKUP(A405,'Aux - pivots1'!$A:$E,4,0))</f>
        <v/>
      </c>
      <c r="L405" s="175" t="str">
        <f>IF(VLOOKUP(A405,'Aux - pivots1'!$A:$E,5,0)=0, "",VLOOKUP(A405,'Aux - pivots1'!$A:$E,5,0))</f>
        <v/>
      </c>
      <c r="M405" s="202"/>
    </row>
    <row r="406" spans="1:13" ht="16.2">
      <c r="A406" s="31" t="str">
        <f t="shared" si="9"/>
        <v>modesg_out_emss_vclsorigem_scp3_emss</v>
      </c>
      <c r="B406" s="162" t="s">
        <v>28</v>
      </c>
      <c r="C406" s="157" t="s">
        <v>301</v>
      </c>
      <c r="D406" s="153" t="s">
        <v>40</v>
      </c>
      <c r="E406" s="154" t="s">
        <v>318</v>
      </c>
      <c r="F406" s="153" t="s">
        <v>308</v>
      </c>
      <c r="G406" s="155" t="str">
        <f>VLOOKUP(A406,Plano_V3!$A$27:$G$583,7,0)</f>
        <v>4. Validação EF</v>
      </c>
      <c r="H406" s="155" t="s">
        <v>177</v>
      </c>
      <c r="I406" s="164" t="s">
        <v>1865</v>
      </c>
      <c r="J406" s="175">
        <f>IF(VLOOKUP(A406,'Aux - pivots1'!$A:$E,3,0)=0, "",VLOOKUP(A406,'Aux - pivots1'!$A:$E,3,0))</f>
        <v>45566</v>
      </c>
      <c r="K406" s="175" t="str">
        <f>IF(VLOOKUP(A406,'Aux - pivots1'!$A:$E,4,0)=0, "",VLOOKUP(A406,'Aux - pivots1'!$A:$E,4,0))</f>
        <v/>
      </c>
      <c r="L406" s="175" t="str">
        <f>IF(VLOOKUP(A406,'Aux - pivots1'!$A:$E,5,0)=0, "",VLOOKUP(A406,'Aux - pivots1'!$A:$E,5,0))</f>
        <v/>
      </c>
      <c r="M406" s="202"/>
    </row>
    <row r="407" spans="1:13" ht="16.2">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c r="A408" s="31" t="str">
        <f t="shared" si="9"/>
        <v>modesg_out_emss_vclsscp1_emss</v>
      </c>
      <c r="B408" s="162" t="s">
        <v>28</v>
      </c>
      <c r="C408" s="157" t="s">
        <v>301</v>
      </c>
      <c r="D408" s="153" t="s">
        <v>40</v>
      </c>
      <c r="E408" s="154" t="s">
        <v>318</v>
      </c>
      <c r="F408" s="153" t="s">
        <v>276</v>
      </c>
      <c r="G408" s="155" t="str">
        <f>VLOOKUP(A408,Plano_V3!$A$27:$G$583,7,0)</f>
        <v>4. Validação EF</v>
      </c>
      <c r="H408" s="155" t="s">
        <v>177</v>
      </c>
      <c r="I408" s="164" t="s">
        <v>1865</v>
      </c>
      <c r="J408" s="175">
        <f>IF(VLOOKUP(A408,'Aux - pivots1'!$A:$E,3,0)=0, "",VLOOKUP(A408,'Aux - pivots1'!$A:$E,3,0))</f>
        <v>45566</v>
      </c>
      <c r="K408" s="175" t="str">
        <f>IF(VLOOKUP(A408,'Aux - pivots1'!$A:$E,4,0)=0, "",VLOOKUP(A408,'Aux - pivots1'!$A:$E,4,0))</f>
        <v/>
      </c>
      <c r="L408" s="175" t="str">
        <f>IF(VLOOKUP(A408,'Aux - pivots1'!$A:$E,5,0)=0, "",VLOOKUP(A408,'Aux - pivots1'!$A:$E,5,0))</f>
        <v/>
      </c>
      <c r="M408" s="202"/>
    </row>
    <row r="409" spans="1:13" ht="16.2">
      <c r="A409" s="31" t="str">
        <f t="shared" si="9"/>
        <v>modesg_out_emss_vclsscp2_emss</v>
      </c>
      <c r="B409" s="162" t="s">
        <v>28</v>
      </c>
      <c r="C409" s="157" t="s">
        <v>301</v>
      </c>
      <c r="D409" s="153" t="s">
        <v>40</v>
      </c>
      <c r="E409" s="154" t="s">
        <v>318</v>
      </c>
      <c r="F409" s="153" t="s">
        <v>277</v>
      </c>
      <c r="G409" s="155" t="str">
        <f>VLOOKUP(A409,Plano_V3!$A$27:$G$583,7,0)</f>
        <v>4. Validação EF</v>
      </c>
      <c r="H409" s="155" t="s">
        <v>177</v>
      </c>
      <c r="I409" s="164" t="s">
        <v>1865</v>
      </c>
      <c r="J409" s="175">
        <f>IF(VLOOKUP(A409,'Aux - pivots1'!$A:$E,3,0)=0, "",VLOOKUP(A409,'Aux - pivots1'!$A:$E,3,0))</f>
        <v>45566</v>
      </c>
      <c r="K409" s="175" t="str">
        <f>IF(VLOOKUP(A409,'Aux - pivots1'!$A:$E,4,0)=0, "",VLOOKUP(A409,'Aux - pivots1'!$A:$E,4,0))</f>
        <v/>
      </c>
      <c r="L409" s="175" t="str">
        <f>IF(VLOOKUP(A409,'Aux - pivots1'!$A:$E,5,0)=0, "",VLOOKUP(A409,'Aux - pivots1'!$A:$E,5,0))</f>
        <v/>
      </c>
      <c r="M409" s="202"/>
    </row>
    <row r="410" spans="1:13" ht="16.2">
      <c r="A410" s="31" t="str">
        <f t="shared" si="9"/>
        <v>modesg_out_emss_vclsscp3_emss</v>
      </c>
      <c r="B410" s="162" t="s">
        <v>28</v>
      </c>
      <c r="C410" s="157" t="s">
        <v>301</v>
      </c>
      <c r="D410" s="153" t="s">
        <v>40</v>
      </c>
      <c r="E410" s="154" t="s">
        <v>318</v>
      </c>
      <c r="F410" s="153" t="s">
        <v>278</v>
      </c>
      <c r="G410" s="155" t="str">
        <f>VLOOKUP(A410,Plano_V3!$A$27:$G$583,7,0)</f>
        <v>4. Validação EF</v>
      </c>
      <c r="H410" s="155" t="s">
        <v>177</v>
      </c>
      <c r="I410" s="164" t="s">
        <v>1865</v>
      </c>
      <c r="J410" s="175">
        <f>IF(VLOOKUP(A410,'Aux - pivots1'!$A:$E,3,0)=0, "",VLOOKUP(A410,'Aux - pivots1'!$A:$E,3,0))</f>
        <v>45566</v>
      </c>
      <c r="K410" s="175" t="str">
        <f>IF(VLOOKUP(A410,'Aux - pivots1'!$A:$E,4,0)=0, "",VLOOKUP(A410,'Aux - pivots1'!$A:$E,4,0))</f>
        <v/>
      </c>
      <c r="L410" s="175" t="str">
        <f>IF(VLOOKUP(A410,'Aux - pivots1'!$A:$E,5,0)=0, "",VLOOKUP(A410,'Aux - pivots1'!$A:$E,5,0))</f>
        <v/>
      </c>
      <c r="M410" s="202"/>
    </row>
    <row r="411" spans="1:13" ht="16.2">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1880</v>
      </c>
      <c r="J414" s="175">
        <f>IF(VLOOKUP(A414,'Aux - pivots1'!$A:$E,3,0)=0, "",VLOOKUP(A414,'Aux - pivots1'!$A:$E,3,0))</f>
        <v>45563</v>
      </c>
      <c r="K414" s="175" t="str">
        <f>IF(VLOOKUP(A414,'Aux - pivots1'!$A:$E,4,0)=0, "",VLOOKUP(A414,'Aux - pivots1'!$A:$E,4,0))</f>
        <v/>
      </c>
      <c r="L414" s="175" t="str">
        <f>IF(VLOOKUP(A414,'Aux - pivots1'!$A:$E,5,0)=0, "",VLOOKUP(A414,'Aux - pivots1'!$A:$E,5,0))</f>
        <v/>
      </c>
      <c r="M414" s="202"/>
    </row>
    <row r="415" spans="1:13" ht="16.2">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1880</v>
      </c>
      <c r="J415" s="175">
        <f>IF(VLOOKUP(A415,'Aux - pivots1'!$A:$E,3,0)=0, "",VLOOKUP(A415,'Aux - pivots1'!$A:$E,3,0))</f>
        <v>45563</v>
      </c>
      <c r="K415" s="175" t="str">
        <f>IF(VLOOKUP(A415,'Aux - pivots1'!$A:$E,4,0)=0, "",VLOOKUP(A415,'Aux - pivots1'!$A:$E,4,0))</f>
        <v/>
      </c>
      <c r="L415" s="175" t="str">
        <f>IF(VLOOKUP(A415,'Aux - pivots1'!$A:$E,5,0)=0, "",VLOOKUP(A415,'Aux - pivots1'!$A:$E,5,0))</f>
        <v/>
      </c>
      <c r="M415" s="202"/>
    </row>
    <row r="416" spans="1:13" ht="16.2">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1880</v>
      </c>
      <c r="J416" s="175">
        <f>IF(VLOOKUP(A416,'Aux - pivots1'!$A:$E,3,0)=0, "",VLOOKUP(A416,'Aux - pivots1'!$A:$E,3,0))</f>
        <v>45563</v>
      </c>
      <c r="K416" s="175" t="str">
        <f>IF(VLOOKUP(A416,'Aux - pivots1'!$A:$E,4,0)=0, "",VLOOKUP(A416,'Aux - pivots1'!$A:$E,4,0))</f>
        <v/>
      </c>
      <c r="L416" s="175" t="str">
        <f>IF(VLOOKUP(A416,'Aux - pivots1'!$A:$E,5,0)=0, "",VLOOKUP(A416,'Aux - pivots1'!$A:$E,5,0))</f>
        <v/>
      </c>
      <c r="M416" s="202"/>
    </row>
    <row r="417" spans="1:13" ht="16.2">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1880</v>
      </c>
      <c r="J417" s="175">
        <f>IF(VLOOKUP(A417,'Aux - pivots1'!$A:$E,3,0)=0, "",VLOOKUP(A417,'Aux - pivots1'!$A:$E,3,0))</f>
        <v>45563</v>
      </c>
      <c r="K417" s="175" t="str">
        <f>IF(VLOOKUP(A417,'Aux - pivots1'!$A:$E,4,0)=0, "",VLOOKUP(A417,'Aux - pivots1'!$A:$E,4,0))</f>
        <v/>
      </c>
      <c r="L417" s="175" t="str">
        <f>IF(VLOOKUP(A417,'Aux - pivots1'!$A:$E,5,0)=0, "",VLOOKUP(A417,'Aux - pivots1'!$A:$E,5,0))</f>
        <v/>
      </c>
      <c r="M417" s="202"/>
    </row>
    <row r="418" spans="1:13" ht="16.2">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1880</v>
      </c>
      <c r="J418" s="175">
        <f>IF(VLOOKUP(A418,'Aux - pivots1'!$A:$E,3,0)=0, "",VLOOKUP(A418,'Aux - pivots1'!$A:$E,3,0))</f>
        <v>45563</v>
      </c>
      <c r="K418" s="175" t="str">
        <f>IF(VLOOKUP(A418,'Aux - pivots1'!$A:$E,4,0)=0, "",VLOOKUP(A418,'Aux - pivots1'!$A:$E,4,0))</f>
        <v/>
      </c>
      <c r="L418" s="175" t="str">
        <f>IF(VLOOKUP(A418,'Aux - pivots1'!$A:$E,5,0)=0, "",VLOOKUP(A418,'Aux - pivots1'!$A:$E,5,0))</f>
        <v/>
      </c>
      <c r="M418" s="202"/>
    </row>
    <row r="419" spans="1:13" ht="16.2">
      <c r="A419" s="31" t="str">
        <f t="shared" si="9"/>
        <v>modesg_out_sfcs_taxon_europeiaordem</v>
      </c>
      <c r="B419" s="162" t="s">
        <v>28</v>
      </c>
      <c r="C419" s="157" t="s">
        <v>301</v>
      </c>
      <c r="D419" s="153" t="s">
        <v>40</v>
      </c>
      <c r="E419" s="154" t="s">
        <v>320</v>
      </c>
      <c r="F419" s="153" t="s">
        <v>322</v>
      </c>
      <c r="G419" s="155" t="str">
        <f>VLOOKUP(A419,Plano_V3!$A$27:$G$583,7,0)</f>
        <v>0. Cancelado</v>
      </c>
      <c r="H419" s="155" t="s">
        <v>476</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1880</v>
      </c>
      <c r="J420" s="175">
        <f>IF(VLOOKUP(A420,'Aux - pivots1'!$A:$E,3,0)=0, "",VLOOKUP(A420,'Aux - pivots1'!$A:$E,3,0))</f>
        <v>45563</v>
      </c>
      <c r="K420" s="175" t="str">
        <f>IF(VLOOKUP(A420,'Aux - pivots1'!$A:$E,4,0)=0, "",VLOOKUP(A420,'Aux - pivots1'!$A:$E,4,0))</f>
        <v/>
      </c>
      <c r="L420" s="175" t="str">
        <f>IF(VLOOKUP(A420,'Aux - pivots1'!$A:$E,5,0)=0, "",VLOOKUP(A420,'Aux - pivots1'!$A:$E,5,0))</f>
        <v/>
      </c>
      <c r="M420" s="202"/>
    </row>
    <row r="421" spans="1:13" ht="16.2">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1880</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1880</v>
      </c>
      <c r="J422" s="175">
        <f>IF(VLOOKUP(A422,'Aux - pivots1'!$A:$E,3,0)=0, "",VLOOKUP(A422,'Aux - pivots1'!$A:$E,3,0))</f>
        <v>45563</v>
      </c>
      <c r="K422" s="175" t="str">
        <f>IF(VLOOKUP(A422,'Aux - pivots1'!$A:$E,4,0)=0, "",VLOOKUP(A422,'Aux - pivots1'!$A:$E,4,0))</f>
        <v/>
      </c>
      <c r="L422" s="175" t="str">
        <f>IF(VLOOKUP(A422,'Aux - pivots1'!$A:$E,5,0)=0, "",VLOOKUP(A422,'Aux - pivots1'!$A:$E,5,0))</f>
        <v/>
      </c>
      <c r="M422" s="202"/>
    </row>
    <row r="423" spans="1:13" ht="16.2">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1880</v>
      </c>
      <c r="J423" s="175">
        <f>IF(VLOOKUP(A423,'Aux - pivots1'!$A:$E,3,0)=0, "",VLOOKUP(A423,'Aux - pivots1'!$A:$E,3,0))</f>
        <v>45563</v>
      </c>
      <c r="K423" s="175" t="str">
        <f>IF(VLOOKUP(A423,'Aux - pivots1'!$A:$E,4,0)=0, "",VLOOKUP(A423,'Aux - pivots1'!$A:$E,4,0))</f>
        <v/>
      </c>
      <c r="L423" s="175" t="str">
        <f>IF(VLOOKUP(A423,'Aux - pivots1'!$A:$E,5,0)=0, "",VLOOKUP(A423,'Aux - pivots1'!$A:$E,5,0))</f>
        <v/>
      </c>
      <c r="M423" s="202"/>
    </row>
    <row r="424" spans="1:13" ht="16.2">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1880</v>
      </c>
      <c r="J424" s="175">
        <f>IF(VLOOKUP(A424,'Aux - pivots1'!$A:$E,3,0)=0, "",VLOOKUP(A424,'Aux - pivots1'!$A:$E,3,0))</f>
        <v>45563</v>
      </c>
      <c r="K424" s="175" t="str">
        <f>IF(VLOOKUP(A424,'Aux - pivots1'!$A:$E,4,0)=0, "",VLOOKUP(A424,'Aux - pivots1'!$A:$E,4,0))</f>
        <v/>
      </c>
      <c r="L424" s="175" t="str">
        <f>IF(VLOOKUP(A424,'Aux - pivots1'!$A:$E,5,0)=0, "",VLOOKUP(A424,'Aux - pivots1'!$A:$E,5,0))</f>
        <v/>
      </c>
      <c r="M424" s="202"/>
    </row>
    <row r="425" spans="1:13" ht="16.2">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1880</v>
      </c>
      <c r="J425" s="175">
        <f>IF(VLOOKUP(A425,'Aux - pivots1'!$A:$E,3,0)=0, "",VLOOKUP(A425,'Aux - pivots1'!$A:$E,3,0))</f>
        <v>45563</v>
      </c>
      <c r="K425" s="175" t="str">
        <f>IF(VLOOKUP(A425,'Aux - pivots1'!$A:$E,4,0)=0, "",VLOOKUP(A425,'Aux - pivots1'!$A:$E,4,0))</f>
        <v/>
      </c>
      <c r="L425" s="175" t="str">
        <f>IF(VLOOKUP(A425,'Aux - pivots1'!$A:$E,5,0)=0, "",VLOOKUP(A425,'Aux - pivots1'!$A:$E,5,0))</f>
        <v/>
      </c>
      <c r="M425" s="202"/>
    </row>
    <row r="426" spans="1:13" ht="16.2">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1880</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1880</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1">
        <v>45510</v>
      </c>
      <c r="D4" s="209"/>
      <c r="E4" s="209"/>
    </row>
    <row r="5" spans="1:5">
      <c r="A5" t="s">
        <v>518</v>
      </c>
      <c r="B5" s="209">
        <v>6</v>
      </c>
      <c r="C5" s="201">
        <v>45510</v>
      </c>
      <c r="D5" s="209"/>
      <c r="E5" s="209"/>
    </row>
    <row r="6" spans="1:5">
      <c r="A6" t="s">
        <v>519</v>
      </c>
      <c r="B6" s="209">
        <v>6</v>
      </c>
      <c r="C6" s="201">
        <v>45510</v>
      </c>
      <c r="D6" s="209"/>
      <c r="E6" s="209"/>
    </row>
    <row r="7" spans="1:5">
      <c r="A7" t="s">
        <v>520</v>
      </c>
      <c r="B7" s="209">
        <v>6</v>
      </c>
      <c r="C7" s="201">
        <v>45510</v>
      </c>
      <c r="D7" s="209"/>
      <c r="E7" s="209"/>
    </row>
    <row r="8" spans="1:5">
      <c r="A8" t="s">
        <v>521</v>
      </c>
      <c r="B8" s="209">
        <v>6</v>
      </c>
      <c r="C8" s="201">
        <v>45510</v>
      </c>
      <c r="D8" s="209"/>
      <c r="E8" s="209"/>
    </row>
    <row r="9" spans="1:5">
      <c r="A9" t="s">
        <v>522</v>
      </c>
      <c r="B9" s="209">
        <v>6</v>
      </c>
      <c r="C9" s="201">
        <v>45510</v>
      </c>
      <c r="D9" s="209"/>
      <c r="E9" s="209"/>
    </row>
    <row r="10" spans="1:5">
      <c r="A10" t="s">
        <v>523</v>
      </c>
      <c r="B10" s="209">
        <v>6</v>
      </c>
      <c r="C10" s="201">
        <v>45510</v>
      </c>
      <c r="D10" s="209"/>
      <c r="E10" s="209"/>
    </row>
    <row r="11" spans="1:5">
      <c r="A11" t="s">
        <v>524</v>
      </c>
      <c r="B11" s="209">
        <v>6</v>
      </c>
      <c r="C11" s="201">
        <v>45510</v>
      </c>
      <c r="D11" s="209"/>
      <c r="E11" s="209"/>
    </row>
    <row r="12" spans="1:5">
      <c r="A12" t="s">
        <v>525</v>
      </c>
      <c r="B12" s="209">
        <v>6</v>
      </c>
      <c r="C12" s="201">
        <v>45510</v>
      </c>
      <c r="D12" s="209"/>
      <c r="E12" s="209"/>
    </row>
    <row r="13" spans="1:5">
      <c r="A13" t="s">
        <v>526</v>
      </c>
      <c r="B13" s="209">
        <v>6</v>
      </c>
      <c r="C13" s="201">
        <v>45510</v>
      </c>
      <c r="D13" s="209"/>
      <c r="E13" s="209"/>
    </row>
    <row r="14" spans="1:5">
      <c r="A14" t="s">
        <v>527</v>
      </c>
      <c r="B14" s="209">
        <v>6</v>
      </c>
      <c r="C14" s="201">
        <v>45510</v>
      </c>
      <c r="D14" s="209"/>
      <c r="E14" s="209"/>
    </row>
    <row r="15" spans="1:5">
      <c r="A15" t="s">
        <v>528</v>
      </c>
      <c r="B15" s="209">
        <v>6</v>
      </c>
      <c r="C15" s="201">
        <v>45510</v>
      </c>
      <c r="D15" s="209"/>
      <c r="E15" s="209"/>
    </row>
    <row r="16" spans="1:5">
      <c r="A16" t="s">
        <v>529</v>
      </c>
      <c r="B16" s="209">
        <v>6</v>
      </c>
      <c r="C16" s="201">
        <v>45510</v>
      </c>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1869</v>
      </c>
      <c r="B50" s="209">
        <v>6</v>
      </c>
      <c r="C50" s="201">
        <v>45562</v>
      </c>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1870</v>
      </c>
      <c r="B55" s="209">
        <v>6</v>
      </c>
      <c r="C55" s="201">
        <v>45562</v>
      </c>
      <c r="D55" s="209"/>
      <c r="E55" s="209"/>
    </row>
    <row r="56" spans="1:5">
      <c r="A56" t="s">
        <v>567</v>
      </c>
      <c r="B56" s="209">
        <v>6</v>
      </c>
      <c r="C56" s="201">
        <v>45562</v>
      </c>
      <c r="D56" s="209"/>
      <c r="E56" s="209"/>
    </row>
    <row r="57" spans="1:5">
      <c r="A57" t="s">
        <v>1871</v>
      </c>
      <c r="B57" s="209">
        <v>6</v>
      </c>
      <c r="C57" s="201">
        <v>45562</v>
      </c>
      <c r="D57" s="209"/>
      <c r="E57" s="209"/>
    </row>
    <row r="58" spans="1:5">
      <c r="A58" t="s">
        <v>1872</v>
      </c>
      <c r="B58" s="209">
        <v>6</v>
      </c>
      <c r="C58" s="201">
        <v>45562</v>
      </c>
      <c r="D58" s="209"/>
      <c r="E58" s="209"/>
    </row>
    <row r="59" spans="1:5">
      <c r="A59" t="s">
        <v>568</v>
      </c>
      <c r="B59" s="209">
        <v>6</v>
      </c>
      <c r="C59" s="201">
        <v>45562</v>
      </c>
      <c r="D59" s="209"/>
      <c r="E59" s="209"/>
    </row>
    <row r="60" spans="1:5">
      <c r="A60" t="s">
        <v>1873</v>
      </c>
      <c r="B60" s="209">
        <v>6</v>
      </c>
      <c r="C60" s="201">
        <v>45562</v>
      </c>
      <c r="D60" s="209"/>
      <c r="E60" s="209"/>
    </row>
    <row r="61" spans="1:5">
      <c r="A61" t="s">
        <v>569</v>
      </c>
      <c r="B61" s="209">
        <v>6</v>
      </c>
      <c r="C61" s="201">
        <v>45562</v>
      </c>
      <c r="D61" s="209"/>
      <c r="E61" s="209"/>
    </row>
    <row r="62" spans="1:5">
      <c r="A62" t="s">
        <v>570</v>
      </c>
      <c r="B62" s="209">
        <v>6</v>
      </c>
      <c r="C62" s="201">
        <v>45562</v>
      </c>
      <c r="D62" s="209"/>
      <c r="E62" s="209"/>
    </row>
    <row r="63" spans="1:5">
      <c r="A63" t="s">
        <v>571</v>
      </c>
      <c r="B63" s="209">
        <v>6</v>
      </c>
      <c r="C63" s="201">
        <v>45562</v>
      </c>
      <c r="D63" s="209"/>
      <c r="E63" s="209"/>
    </row>
    <row r="64" spans="1:5">
      <c r="A64" t="s">
        <v>572</v>
      </c>
      <c r="B64" s="209">
        <v>6</v>
      </c>
      <c r="C64" s="201">
        <v>45562</v>
      </c>
      <c r="D64" s="209"/>
      <c r="E64" s="209"/>
    </row>
    <row r="65" spans="1:5">
      <c r="A65" t="s">
        <v>573</v>
      </c>
      <c r="B65" s="209">
        <v>1</v>
      </c>
      <c r="C65" s="209"/>
      <c r="D65" s="209"/>
      <c r="E65" s="209"/>
    </row>
    <row r="66" spans="1:5">
      <c r="A66" t="s">
        <v>574</v>
      </c>
      <c r="B66" s="209">
        <v>1</v>
      </c>
      <c r="C66" s="209"/>
      <c r="D66" s="209"/>
      <c r="E66" s="209"/>
    </row>
    <row r="67" spans="1:5">
      <c r="A67" t="s">
        <v>575</v>
      </c>
      <c r="B67" s="209">
        <v>6</v>
      </c>
      <c r="C67" s="201">
        <v>45562</v>
      </c>
      <c r="D67" s="209"/>
      <c r="E67" s="209"/>
    </row>
    <row r="68" spans="1:5">
      <c r="A68" t="s">
        <v>576</v>
      </c>
      <c r="B68" s="209">
        <v>1</v>
      </c>
      <c r="C68" s="209"/>
      <c r="D68" s="209"/>
      <c r="E68" s="209"/>
    </row>
    <row r="69" spans="1:5">
      <c r="A69" t="s">
        <v>577</v>
      </c>
      <c r="B69" s="209">
        <v>6</v>
      </c>
      <c r="C69" s="201">
        <v>45562</v>
      </c>
      <c r="D69" s="209"/>
      <c r="E69" s="209"/>
    </row>
    <row r="70" spans="1:5">
      <c r="A70" t="s">
        <v>1874</v>
      </c>
      <c r="B70" s="209">
        <v>6</v>
      </c>
      <c r="C70" s="201">
        <v>45562</v>
      </c>
      <c r="D70" s="209"/>
      <c r="E70" s="209"/>
    </row>
    <row r="71" spans="1:5">
      <c r="A71" t="s">
        <v>1875</v>
      </c>
      <c r="B71" s="209">
        <v>6</v>
      </c>
      <c r="C71" s="201">
        <v>45562</v>
      </c>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1">
        <v>45562</v>
      </c>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1">
        <v>45562</v>
      </c>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1">
        <v>45562</v>
      </c>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1">
        <v>45562</v>
      </c>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6</v>
      </c>
      <c r="C507" s="201">
        <v>45569</v>
      </c>
      <c r="D507" s="209"/>
      <c r="E507" s="209"/>
    </row>
    <row r="508" spans="1:5">
      <c r="A508" t="s">
        <v>1004</v>
      </c>
      <c r="B508" s="209">
        <v>6</v>
      </c>
      <c r="C508" s="201">
        <v>45569</v>
      </c>
      <c r="D508" s="209"/>
      <c r="E508" s="209"/>
    </row>
    <row r="509" spans="1:5">
      <c r="A509" t="s">
        <v>1005</v>
      </c>
      <c r="B509" s="209">
        <v>1</v>
      </c>
      <c r="C509" s="209"/>
      <c r="D509" s="209"/>
      <c r="E509" s="209"/>
    </row>
    <row r="510" spans="1:5">
      <c r="A510" t="s">
        <v>1006</v>
      </c>
      <c r="B510" s="209">
        <v>6</v>
      </c>
      <c r="C510" s="201">
        <v>45569</v>
      </c>
      <c r="D510" s="209"/>
      <c r="E510" s="209"/>
    </row>
    <row r="511" spans="1:5">
      <c r="A511" t="s">
        <v>1007</v>
      </c>
      <c r="B511" s="209">
        <v>6</v>
      </c>
      <c r="C511" s="201">
        <v>45569</v>
      </c>
      <c r="D511" s="209"/>
      <c r="E511" s="209"/>
    </row>
    <row r="512" spans="1:5">
      <c r="A512" t="s">
        <v>1008</v>
      </c>
      <c r="B512" s="209">
        <v>4</v>
      </c>
      <c r="C512" s="201">
        <v>45569</v>
      </c>
      <c r="D512" s="209"/>
      <c r="E512" s="201">
        <v>45562</v>
      </c>
    </row>
    <row r="513" spans="1:5">
      <c r="A513" t="s">
        <v>1009</v>
      </c>
      <c r="B513" s="209">
        <v>4</v>
      </c>
      <c r="C513" s="201">
        <v>45569</v>
      </c>
      <c r="D513" s="209"/>
      <c r="E513" s="201">
        <v>45562</v>
      </c>
    </row>
    <row r="514" spans="1:5">
      <c r="A514" t="s">
        <v>1010</v>
      </c>
      <c r="B514" s="209">
        <v>4</v>
      </c>
      <c r="C514" s="201">
        <v>45569</v>
      </c>
      <c r="D514" s="209"/>
      <c r="E514" s="201">
        <v>45562</v>
      </c>
    </row>
    <row r="515" spans="1:5">
      <c r="A515" t="s">
        <v>1011</v>
      </c>
      <c r="B515" s="209">
        <v>1</v>
      </c>
      <c r="C515" s="209"/>
      <c r="D515" s="209"/>
      <c r="E515" s="209"/>
    </row>
    <row r="516" spans="1:5">
      <c r="A516" t="s">
        <v>1012</v>
      </c>
      <c r="B516" s="209">
        <v>4</v>
      </c>
      <c r="C516" s="201">
        <v>45569</v>
      </c>
      <c r="D516" s="209"/>
      <c r="E516" s="201">
        <v>45562</v>
      </c>
    </row>
    <row r="517" spans="1:5">
      <c r="A517" t="s">
        <v>1013</v>
      </c>
      <c r="B517" s="209">
        <v>4</v>
      </c>
      <c r="C517" s="201">
        <v>45569</v>
      </c>
      <c r="D517" s="209"/>
      <c r="E517" s="201">
        <v>45562</v>
      </c>
    </row>
    <row r="518" spans="1:5">
      <c r="A518" t="s">
        <v>1014</v>
      </c>
      <c r="B518" s="209">
        <v>1</v>
      </c>
      <c r="C518" s="209"/>
      <c r="D518" s="209"/>
      <c r="E518" s="209"/>
    </row>
    <row r="519" spans="1:5">
      <c r="A519" t="s">
        <v>1015</v>
      </c>
      <c r="B519" s="209">
        <v>4</v>
      </c>
      <c r="C519" s="201">
        <v>45569</v>
      </c>
      <c r="D519" s="209"/>
      <c r="E519" s="209"/>
    </row>
    <row r="520" spans="1:5">
      <c r="A520" t="s">
        <v>1016</v>
      </c>
      <c r="B520" s="209">
        <v>4</v>
      </c>
      <c r="C520" s="201">
        <v>45569</v>
      </c>
      <c r="D520" s="209"/>
      <c r="E520" s="209"/>
    </row>
    <row r="521" spans="1:5">
      <c r="A521" t="s">
        <v>1017</v>
      </c>
      <c r="B521" s="209">
        <v>4</v>
      </c>
      <c r="C521" s="201">
        <v>45569</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6</v>
      </c>
      <c r="C539" s="201">
        <v>45569</v>
      </c>
      <c r="D539" s="209"/>
      <c r="E539" s="209"/>
    </row>
    <row r="540" spans="1:5">
      <c r="A540" t="s">
        <v>1036</v>
      </c>
      <c r="B540" s="209">
        <v>6</v>
      </c>
      <c r="C540" s="201">
        <v>45569</v>
      </c>
      <c r="D540" s="209"/>
      <c r="E540" s="209"/>
    </row>
    <row r="541" spans="1:5">
      <c r="A541" t="s">
        <v>1037</v>
      </c>
      <c r="B541" s="209">
        <v>1</v>
      </c>
      <c r="C541" s="201">
        <v>45512</v>
      </c>
      <c r="D541" s="209"/>
      <c r="E541" s="209"/>
    </row>
    <row r="542" spans="1:5">
      <c r="A542" t="s">
        <v>1038</v>
      </c>
      <c r="B542" s="209">
        <v>6</v>
      </c>
      <c r="C542" s="201">
        <v>45569</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6</v>
      </c>
      <c r="C545" s="201">
        <v>45569</v>
      </c>
      <c r="D545" s="209"/>
      <c r="E545" s="209"/>
    </row>
    <row r="546" spans="1:5">
      <c r="A546" t="s">
        <v>1042</v>
      </c>
      <c r="B546" s="209">
        <v>6</v>
      </c>
      <c r="C546" s="201">
        <v>45569</v>
      </c>
      <c r="D546" s="209"/>
      <c r="E546" s="209"/>
    </row>
    <row r="547" spans="1:5">
      <c r="A547" t="s">
        <v>1043</v>
      </c>
      <c r="B547" s="209">
        <v>4</v>
      </c>
      <c r="C547" s="201">
        <v>45569</v>
      </c>
      <c r="D547" s="209"/>
      <c r="E547" s="209"/>
    </row>
    <row r="548" spans="1:5">
      <c r="A548" t="s">
        <v>1044</v>
      </c>
      <c r="B548" s="209">
        <v>4</v>
      </c>
      <c r="C548" s="201">
        <v>45569</v>
      </c>
      <c r="D548" s="209"/>
      <c r="E548" s="209"/>
    </row>
    <row r="549" spans="1:5">
      <c r="A549" t="s">
        <v>1045</v>
      </c>
      <c r="B549" s="209">
        <v>4</v>
      </c>
      <c r="C549" s="201">
        <v>45569</v>
      </c>
      <c r="D549" s="209"/>
      <c r="E549" s="209"/>
    </row>
    <row r="550" spans="1:5">
      <c r="A550" t="s">
        <v>1046</v>
      </c>
      <c r="B550" s="209">
        <v>1</v>
      </c>
      <c r="C550" s="209"/>
      <c r="D550" s="209"/>
      <c r="E550" s="209"/>
    </row>
    <row r="551" spans="1:5">
      <c r="A551" t="s">
        <v>1047</v>
      </c>
      <c r="B551" s="209">
        <v>4</v>
      </c>
      <c r="C551" s="201">
        <v>45569</v>
      </c>
      <c r="D551" s="209"/>
      <c r="E551" s="209"/>
    </row>
    <row r="552" spans="1:5">
      <c r="A552" t="s">
        <v>1048</v>
      </c>
      <c r="B552" s="209">
        <v>4</v>
      </c>
      <c r="C552" s="201">
        <v>45569</v>
      </c>
      <c r="D552" s="209"/>
      <c r="E552" s="209"/>
    </row>
    <row r="553" spans="1:5">
      <c r="A553" t="s">
        <v>1049</v>
      </c>
      <c r="B553" s="209">
        <v>4</v>
      </c>
      <c r="C553" s="201">
        <v>45569</v>
      </c>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4</v>
      </c>
      <c r="C561" s="201">
        <v>45566</v>
      </c>
      <c r="D561" s="209"/>
      <c r="E561" s="209"/>
    </row>
    <row r="562" spans="1:5">
      <c r="A562" t="s">
        <v>1058</v>
      </c>
      <c r="B562" s="209">
        <v>4</v>
      </c>
      <c r="C562" s="201">
        <v>45566</v>
      </c>
      <c r="D562" s="209"/>
      <c r="E562" s="209"/>
    </row>
    <row r="563" spans="1:5">
      <c r="A563" t="s">
        <v>1059</v>
      </c>
      <c r="B563" s="209">
        <v>4</v>
      </c>
      <c r="C563" s="201">
        <v>45566</v>
      </c>
      <c r="D563" s="209"/>
      <c r="E563" s="209"/>
    </row>
    <row r="564" spans="1:5">
      <c r="A564" t="s">
        <v>1060</v>
      </c>
      <c r="B564" s="209">
        <v>1</v>
      </c>
      <c r="C564" s="209"/>
      <c r="D564" s="209"/>
      <c r="E564" s="209"/>
    </row>
    <row r="565" spans="1:5">
      <c r="A565" t="s">
        <v>1061</v>
      </c>
      <c r="B565" s="209">
        <v>4</v>
      </c>
      <c r="C565" s="201">
        <v>45566</v>
      </c>
      <c r="D565" s="209"/>
      <c r="E565" s="209"/>
    </row>
    <row r="566" spans="1:5">
      <c r="A566" t="s">
        <v>1062</v>
      </c>
      <c r="B566" s="209">
        <v>4</v>
      </c>
      <c r="C566" s="201">
        <v>45566</v>
      </c>
      <c r="D566" s="209"/>
      <c r="E566" s="209"/>
    </row>
    <row r="567" spans="1:5">
      <c r="A567" t="s">
        <v>1063</v>
      </c>
      <c r="B567" s="209">
        <v>4</v>
      </c>
      <c r="C567" s="201">
        <v>45566</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45563</v>
      </c>
      <c r="D571" s="209"/>
      <c r="E571" s="209"/>
    </row>
    <row r="572" spans="1:5">
      <c r="A572" t="s">
        <v>1068</v>
      </c>
      <c r="B572" s="209">
        <v>6</v>
      </c>
      <c r="C572" s="201">
        <v>45563</v>
      </c>
      <c r="D572" s="209"/>
      <c r="E572" s="209"/>
    </row>
    <row r="573" spans="1:5">
      <c r="A573" t="s">
        <v>1069</v>
      </c>
      <c r="B573" s="209">
        <v>6</v>
      </c>
      <c r="C573" s="201">
        <v>45563</v>
      </c>
      <c r="D573" s="209"/>
      <c r="E573" s="209"/>
    </row>
    <row r="574" spans="1:5">
      <c r="A574" t="s">
        <v>1070</v>
      </c>
      <c r="B574" s="209">
        <v>6</v>
      </c>
      <c r="C574" s="201">
        <v>45563</v>
      </c>
      <c r="D574" s="209"/>
      <c r="E574" s="209"/>
    </row>
    <row r="575" spans="1:5">
      <c r="A575" t="s">
        <v>1071</v>
      </c>
      <c r="B575" s="209">
        <v>6</v>
      </c>
      <c r="C575" s="201">
        <v>45563</v>
      </c>
      <c r="D575" s="209"/>
      <c r="E575" s="209"/>
    </row>
    <row r="576" spans="1:5">
      <c r="A576" t="s">
        <v>1072</v>
      </c>
      <c r="B576" s="209">
        <v>6</v>
      </c>
      <c r="C576" s="201">
        <v>45563</v>
      </c>
      <c r="D576" s="209"/>
      <c r="E576" s="209"/>
    </row>
    <row r="577" spans="1:5">
      <c r="A577" t="s">
        <v>1073</v>
      </c>
      <c r="B577" s="209">
        <v>4</v>
      </c>
      <c r="C577" s="201">
        <v>45562</v>
      </c>
      <c r="D577" s="201">
        <v>45565</v>
      </c>
      <c r="E577" s="209"/>
    </row>
    <row r="578" spans="1:5">
      <c r="A578" t="s">
        <v>1074</v>
      </c>
      <c r="B578" s="209">
        <v>6</v>
      </c>
      <c r="C578" s="201">
        <v>45563</v>
      </c>
      <c r="D578" s="209"/>
      <c r="E578" s="209"/>
    </row>
    <row r="579" spans="1:5">
      <c r="A579" t="s">
        <v>1075</v>
      </c>
      <c r="B579" s="209">
        <v>6</v>
      </c>
      <c r="C579" s="201">
        <v>45563</v>
      </c>
      <c r="D579" s="209"/>
      <c r="E579" s="209"/>
    </row>
    <row r="580" spans="1:5">
      <c r="A580" t="s">
        <v>1076</v>
      </c>
      <c r="B580" s="209">
        <v>6</v>
      </c>
      <c r="C580" s="201">
        <v>45563</v>
      </c>
      <c r="D580" s="209"/>
      <c r="E580" s="209"/>
    </row>
    <row r="581" spans="1:5">
      <c r="A581" t="s">
        <v>1077</v>
      </c>
      <c r="B581" s="209">
        <v>6</v>
      </c>
      <c r="C581" s="201">
        <v>45563</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1">
        <v>45563</v>
      </c>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1">
        <v>45563</v>
      </c>
      <c r="D595" s="209"/>
      <c r="E595" s="209"/>
    </row>
    <row r="596" spans="1:5">
      <c r="A596" t="s">
        <v>1092</v>
      </c>
      <c r="B596" s="209">
        <v>6</v>
      </c>
      <c r="C596" s="201">
        <v>45563</v>
      </c>
      <c r="D596" s="209"/>
      <c r="E596" s="209"/>
    </row>
    <row r="597" spans="1:5">
      <c r="A597" t="s">
        <v>1093</v>
      </c>
      <c r="B597" s="209">
        <v>6</v>
      </c>
      <c r="C597" s="201">
        <v>45563</v>
      </c>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1">
        <v>45563</v>
      </c>
      <c r="D603" s="209"/>
      <c r="E603" s="209"/>
    </row>
    <row r="604" spans="1:5">
      <c r="A604" t="s">
        <v>1100</v>
      </c>
      <c r="B604" s="209">
        <v>6</v>
      </c>
      <c r="C604" s="201">
        <v>45563</v>
      </c>
      <c r="D604" s="209"/>
      <c r="E604" s="209"/>
    </row>
    <row r="605" spans="1:5">
      <c r="A605" t="s">
        <v>1101</v>
      </c>
      <c r="B605" s="209">
        <v>6</v>
      </c>
      <c r="C605" s="201">
        <v>45563</v>
      </c>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1">
        <v>45563</v>
      </c>
      <c r="D608" s="209"/>
      <c r="E608" s="209"/>
    </row>
    <row r="609" spans="1:5">
      <c r="A609" t="s">
        <v>1104</v>
      </c>
      <c r="B609" s="209">
        <v>6</v>
      </c>
      <c r="C609" s="201">
        <v>45563</v>
      </c>
      <c r="D609" s="209"/>
      <c r="E609" s="209"/>
    </row>
    <row r="610" spans="1:5">
      <c r="A610" t="s">
        <v>1105</v>
      </c>
      <c r="B610" s="209">
        <v>6</v>
      </c>
      <c r="C610" s="201">
        <v>45563</v>
      </c>
      <c r="D610" s="209"/>
      <c r="E610" s="209"/>
    </row>
    <row r="611" spans="1:5">
      <c r="A611" t="s">
        <v>1106</v>
      </c>
      <c r="B611" s="209">
        <v>6</v>
      </c>
      <c r="C611" s="201">
        <v>45563</v>
      </c>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1">
        <v>45563</v>
      </c>
      <c r="D614" s="209"/>
      <c r="E614" s="209"/>
    </row>
    <row r="615" spans="1:5">
      <c r="A615" t="s">
        <v>1109</v>
      </c>
      <c r="B615" s="209">
        <v>6</v>
      </c>
      <c r="C615" s="201">
        <v>45563</v>
      </c>
      <c r="D615" s="209"/>
      <c r="E615" s="209"/>
    </row>
    <row r="616" spans="1:5">
      <c r="A616" t="s">
        <v>1110</v>
      </c>
      <c r="B616" s="209">
        <v>6</v>
      </c>
      <c r="C616" s="201">
        <v>45563</v>
      </c>
      <c r="D616" s="209"/>
      <c r="E616" s="209"/>
    </row>
    <row r="617" spans="1:5">
      <c r="A617" t="s">
        <v>1111</v>
      </c>
      <c r="B617" s="209">
        <v>7</v>
      </c>
      <c r="C617" s="201">
        <v>45569</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37.19921875" customWidth="1"/>
    <col min="8" max="8" width="11.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8">
      <c r="B49" s="55" t="s">
        <v>1116</v>
      </c>
      <c r="C49" t="s">
        <v>476</v>
      </c>
      <c r="D49" t="s">
        <v>477</v>
      </c>
      <c r="E49" t="s">
        <v>479</v>
      </c>
      <c r="F49" t="s">
        <v>480</v>
      </c>
      <c r="G49" t="s">
        <v>482</v>
      </c>
      <c r="H49" t="s">
        <v>1111</v>
      </c>
    </row>
    <row r="50" spans="2:8">
      <c r="B50" s="56" t="s">
        <v>179</v>
      </c>
      <c r="C50" s="209">
        <v>2</v>
      </c>
      <c r="D50" s="209">
        <v>12</v>
      </c>
      <c r="E50" s="209">
        <v>1</v>
      </c>
      <c r="F50" s="209">
        <v>2</v>
      </c>
      <c r="G50" s="209">
        <v>13</v>
      </c>
      <c r="H50" s="209">
        <v>30</v>
      </c>
    </row>
    <row r="51" spans="2:8">
      <c r="B51" s="56" t="s">
        <v>320</v>
      </c>
      <c r="C51" s="209">
        <v>1</v>
      </c>
      <c r="D51" s="209">
        <v>1</v>
      </c>
      <c r="E51" s="209">
        <v>1</v>
      </c>
      <c r="F51" s="209"/>
      <c r="G51" s="209">
        <v>11</v>
      </c>
      <c r="H51" s="209">
        <v>14</v>
      </c>
    </row>
    <row r="52" spans="2:8">
      <c r="B52" s="56" t="s">
        <v>318</v>
      </c>
      <c r="C52" s="209"/>
      <c r="D52" s="209">
        <v>8</v>
      </c>
      <c r="E52" s="209">
        <v>6</v>
      </c>
      <c r="F52" s="209"/>
      <c r="G52" s="209">
        <v>1</v>
      </c>
      <c r="H52" s="209">
        <v>15</v>
      </c>
    </row>
    <row r="53" spans="2:8">
      <c r="B53" s="56" t="s">
        <v>312</v>
      </c>
      <c r="C53" s="209"/>
      <c r="D53" s="209">
        <v>2</v>
      </c>
      <c r="E53" s="209">
        <v>6</v>
      </c>
      <c r="F53" s="209"/>
      <c r="G53" s="209">
        <v>24</v>
      </c>
      <c r="H53" s="209">
        <v>32</v>
      </c>
    </row>
    <row r="54" spans="2:8">
      <c r="B54" s="56" t="s">
        <v>302</v>
      </c>
      <c r="C54" s="209"/>
      <c r="D54" s="209">
        <v>6</v>
      </c>
      <c r="E54" s="209">
        <v>8</v>
      </c>
      <c r="F54" s="209"/>
      <c r="G54" s="209">
        <v>4</v>
      </c>
      <c r="H54" s="209">
        <v>18</v>
      </c>
    </row>
    <row r="55" spans="2:8">
      <c r="B55" s="56" t="s">
        <v>209</v>
      </c>
      <c r="C55" s="209"/>
      <c r="D55" s="209">
        <v>5</v>
      </c>
      <c r="E55" s="209">
        <v>1</v>
      </c>
      <c r="F55" s="209"/>
      <c r="G55" s="209"/>
      <c r="H55" s="209">
        <v>6</v>
      </c>
    </row>
    <row r="56" spans="2:8">
      <c r="B56" s="56" t="s">
        <v>208</v>
      </c>
      <c r="C56" s="209"/>
      <c r="D56" s="209">
        <v>41</v>
      </c>
      <c r="E56" s="209"/>
      <c r="F56" s="209"/>
      <c r="G56" s="209"/>
      <c r="H56" s="209">
        <v>41</v>
      </c>
    </row>
    <row r="57" spans="2:8">
      <c r="B57" s="56" t="s">
        <v>206</v>
      </c>
      <c r="C57" s="209">
        <v>3</v>
      </c>
      <c r="D57" s="209">
        <v>6</v>
      </c>
      <c r="E57" s="209"/>
      <c r="F57" s="209"/>
      <c r="G57" s="209"/>
      <c r="H57" s="209">
        <v>9</v>
      </c>
    </row>
    <row r="58" spans="2:8">
      <c r="B58" s="56" t="s">
        <v>205</v>
      </c>
      <c r="C58" s="209"/>
      <c r="D58" s="209">
        <v>17</v>
      </c>
      <c r="E58" s="209"/>
      <c r="F58" s="209"/>
      <c r="G58" s="209"/>
      <c r="H58" s="209">
        <v>17</v>
      </c>
    </row>
    <row r="59" spans="2:8">
      <c r="B59" s="56" t="s">
        <v>210</v>
      </c>
      <c r="C59" s="209"/>
      <c r="D59" s="209">
        <v>17</v>
      </c>
      <c r="E59" s="209"/>
      <c r="F59" s="209"/>
      <c r="G59" s="209"/>
      <c r="H59" s="209">
        <v>17</v>
      </c>
    </row>
    <row r="60" spans="2:8">
      <c r="B60" s="56" t="s">
        <v>211</v>
      </c>
      <c r="C60" s="209">
        <v>7</v>
      </c>
      <c r="D60" s="209">
        <v>14</v>
      </c>
      <c r="E60" s="209"/>
      <c r="F60" s="209"/>
      <c r="G60" s="209"/>
      <c r="H60" s="209">
        <v>21</v>
      </c>
    </row>
    <row r="61" spans="2:8">
      <c r="B61" s="56" t="s">
        <v>212</v>
      </c>
      <c r="C61" s="209">
        <v>1</v>
      </c>
      <c r="D61" s="209">
        <v>17</v>
      </c>
      <c r="E61" s="209"/>
      <c r="F61" s="209"/>
      <c r="G61" s="209"/>
      <c r="H61" s="209">
        <v>18</v>
      </c>
    </row>
    <row r="62" spans="2:8">
      <c r="B62" s="56" t="s">
        <v>207</v>
      </c>
      <c r="C62" s="209"/>
      <c r="D62" s="209">
        <v>7</v>
      </c>
      <c r="E62" s="209"/>
      <c r="F62" s="209"/>
      <c r="G62" s="209"/>
      <c r="H62" s="209">
        <v>7</v>
      </c>
    </row>
    <row r="63" spans="2:8">
      <c r="B63" s="56" t="s">
        <v>1111</v>
      </c>
      <c r="C63" s="209">
        <v>14</v>
      </c>
      <c r="D63" s="209">
        <v>153</v>
      </c>
      <c r="E63" s="209">
        <v>23</v>
      </c>
      <c r="F63" s="209">
        <v>2</v>
      </c>
      <c r="G63" s="209">
        <v>53</v>
      </c>
      <c r="H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479</v>
      </c>
      <c r="C75" s="209">
        <v>23</v>
      </c>
    </row>
    <row r="76" spans="2:3">
      <c r="B76" s="56" t="s">
        <v>480</v>
      </c>
      <c r="C76" s="209">
        <v>2</v>
      </c>
    </row>
    <row r="77" spans="2:3">
      <c r="B77" s="56" t="s">
        <v>482</v>
      </c>
      <c r="C77" s="209">
        <v>53</v>
      </c>
    </row>
    <row r="78" spans="2:3">
      <c r="B78" s="56" t="s">
        <v>1111</v>
      </c>
      <c r="C78"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zoomScale="60" zoomScaleNormal="60" workbookViewId="0">
      <selection activeCell="G651" sqref="G651"/>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v>45510</v>
      </c>
      <c r="U150" s="173"/>
      <c r="V150" s="173"/>
      <c r="W150" s="3">
        <f>VLOOKUP(Table1[[#This Row],[Status]],Auxiliar!$B$16:$D$23,3,0)*Table1[[#This Row],[Estimação (horas)]]</f>
        <v>2</v>
      </c>
      <c r="X150" s="195"/>
      <c r="Y150" s="199"/>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v>45510</v>
      </c>
      <c r="U151" s="173"/>
      <c r="V151" s="173"/>
      <c r="W151" s="3">
        <f>VLOOKUP(Table1[[#This Row],[Status]],Auxiliar!$B$16:$D$23,3,0)*Table1[[#This Row],[Estimação (horas)]]</f>
        <v>2.5000000000000001E-2</v>
      </c>
      <c r="X151" s="195"/>
      <c r="Y151" s="199"/>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v>45510</v>
      </c>
      <c r="U152" s="173"/>
      <c r="V152" s="173"/>
      <c r="W152" s="3">
        <f>VLOOKUP(Table1[[#This Row],[Status]],Auxiliar!$B$16:$D$23,3,0)*Table1[[#This Row],[Estimação (horas)]]</f>
        <v>0.125</v>
      </c>
      <c r="X152" s="195"/>
      <c r="Y152" s="199"/>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v>45510</v>
      </c>
      <c r="U153" s="173"/>
      <c r="V153" s="173"/>
      <c r="W153" s="3">
        <f>VLOOKUP(Table1[[#This Row],[Status]],Auxiliar!$B$16:$D$23,3,0)*Table1[[#This Row],[Estimação (horas)]]</f>
        <v>2.5000000000000001E-2</v>
      </c>
      <c r="X153" s="196"/>
      <c r="Y153" s="200"/>
      <c r="Z153" s="198"/>
      <c r="AA153" s="198"/>
      <c r="AB153" s="198"/>
      <c r="AC153" s="198"/>
      <c r="AD153" s="198"/>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v>45510</v>
      </c>
      <c r="U154" s="173"/>
      <c r="V154" s="173"/>
      <c r="W154" s="3">
        <f>VLOOKUP(Table1[[#This Row],[Status]],Auxiliar!$B$16:$D$23,3,0)*Table1[[#This Row],[Estimação (horas)]]</f>
        <v>0.125</v>
      </c>
      <c r="X154" s="196"/>
      <c r="Y154" s="200"/>
      <c r="Z154" s="198"/>
      <c r="AA154" s="198"/>
      <c r="AB154" s="198"/>
      <c r="AC154" s="198"/>
      <c r="AD154" s="198"/>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v>45510</v>
      </c>
      <c r="U155" s="173"/>
      <c r="V155" s="173"/>
      <c r="W155" s="3">
        <f>VLOOKUP(Table1[[#This Row],[Status]],Auxiliar!$B$16:$D$23,3,0)*Table1[[#This Row],[Estimação (horas)]]</f>
        <v>2.5000000000000001E-2</v>
      </c>
      <c r="X155" s="195"/>
      <c r="Y155" s="199"/>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v>45510</v>
      </c>
      <c r="U156" s="173"/>
      <c r="V156" s="173"/>
      <c r="W156" s="3">
        <f>VLOOKUP(Table1[[#This Row],[Status]],Auxiliar!$B$16:$D$23,3,0)*Table1[[#This Row],[Estimação (horas)]]</f>
        <v>0.125</v>
      </c>
      <c r="X156" s="195"/>
      <c r="Y156" s="199"/>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v>45510</v>
      </c>
      <c r="U157" s="173"/>
      <c r="V157" s="173"/>
      <c r="W157" s="3">
        <f>VLOOKUP(Table1[[#This Row],[Status]],Auxiliar!$B$16:$D$23,3,0)*Table1[[#This Row],[Estimação (horas)]]</f>
        <v>2.5000000000000001E-2</v>
      </c>
      <c r="X157" s="195"/>
      <c r="Y157" s="199"/>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v>45510</v>
      </c>
      <c r="U158" s="173"/>
      <c r="V158" s="173"/>
      <c r="W158" s="3">
        <f>VLOOKUP(Table1[[#This Row],[Status]],Auxiliar!$B$16:$D$23,3,0)*Table1[[#This Row],[Estimação (horas)]]</f>
        <v>0.125</v>
      </c>
      <c r="X158" s="195"/>
      <c r="Y158" s="199"/>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v>45510</v>
      </c>
      <c r="U159" s="173"/>
      <c r="V159" s="173"/>
      <c r="W159" s="3">
        <f>VLOOKUP(Table1[[#This Row],[Status]],Auxiliar!$B$16:$D$23,3,0)*Table1[[#This Row],[Estimação (horas)]]</f>
        <v>2.5000000000000001E-2</v>
      </c>
      <c r="X159" s="195"/>
      <c r="Y159" s="199"/>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v>45510</v>
      </c>
      <c r="U160" s="173"/>
      <c r="V160" s="173"/>
      <c r="W160" s="3">
        <f>VLOOKUP(Table1[[#This Row],[Status]],Auxiliar!$B$16:$D$23,3,0)*Table1[[#This Row],[Estimação (horas)]]</f>
        <v>0.125</v>
      </c>
      <c r="X160" s="195"/>
      <c r="Y160" s="199"/>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v>45510</v>
      </c>
      <c r="U161" s="173"/>
      <c r="V161" s="173"/>
      <c r="W161" s="3">
        <f>VLOOKUP(Table1[[#This Row],[Status]],Auxiliar!$B$16:$D$23,3,0)*Table1[[#This Row],[Estimação (horas)]]</f>
        <v>2.5000000000000001E-2</v>
      </c>
      <c r="X161" s="195"/>
      <c r="Y161" s="199"/>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v>45510</v>
      </c>
      <c r="U162" s="173"/>
      <c r="V162" s="173"/>
      <c r="W162" s="3">
        <f>VLOOKUP(Table1[[#This Row],[Status]],Auxiliar!$B$16:$D$23,3,0)*Table1[[#This Row],[Estimação (horas)]]</f>
        <v>0.125</v>
      </c>
      <c r="X162" s="195"/>
      <c r="Y162" s="199"/>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v>45510</v>
      </c>
      <c r="U163" s="173"/>
      <c r="V163" s="173"/>
      <c r="W163" s="3">
        <f>VLOOKUP(Table1[[#This Row],[Status]],Auxiliar!$B$16:$D$23,3,0)*Table1[[#This Row],[Estimação (horas)]]</f>
        <v>2.5000000000000001E-2</v>
      </c>
      <c r="X163" s="195"/>
      <c r="Y163" s="199"/>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v>45510</v>
      </c>
      <c r="U164" s="173"/>
      <c r="V164" s="173"/>
      <c r="W164" s="3">
        <f>VLOOKUP(Table1[[#This Row],[Status]],Auxiliar!$B$16:$D$23,3,0)*Table1[[#This Row],[Estimação (horas)]]</f>
        <v>0.125</v>
      </c>
      <c r="X164" s="195"/>
      <c r="Y164" s="199"/>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v>45510</v>
      </c>
      <c r="U165" s="173"/>
      <c r="V165" s="173"/>
      <c r="W165" s="3">
        <f>VLOOKUP(Table1[[#This Row],[Status]],Auxiliar!$B$16:$D$23,3,0)*Table1[[#This Row],[Estimação (horas)]]</f>
        <v>2.5000000000000001E-2</v>
      </c>
      <c r="X165" s="196"/>
      <c r="Y165" s="200"/>
      <c r="Z165" s="198"/>
      <c r="AA165" s="198"/>
      <c r="AB165" s="198"/>
      <c r="AC165" s="198"/>
      <c r="AD165" s="198"/>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v>45510</v>
      </c>
      <c r="U166" s="173"/>
      <c r="V166" s="173"/>
      <c r="W166" s="3">
        <f>VLOOKUP(Table1[[#This Row],[Status]],Auxiliar!$B$16:$D$23,3,0)*Table1[[#This Row],[Estimação (horas)]]</f>
        <v>0.125</v>
      </c>
      <c r="X166" s="196"/>
      <c r="Y166" s="200"/>
      <c r="Z166" s="198"/>
      <c r="AA166" s="198"/>
      <c r="AB166" s="198"/>
      <c r="AC166" s="198"/>
      <c r="AD166" s="198"/>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v>45510</v>
      </c>
      <c r="U167" s="173"/>
      <c r="V167" s="173"/>
      <c r="W167" s="3">
        <f>VLOOKUP(Table1[[#This Row],[Status]],Auxiliar!$B$16:$D$23,3,0)*Table1[[#This Row],[Estimação (horas)]]</f>
        <v>2.5000000000000001E-2</v>
      </c>
      <c r="X167" s="195"/>
      <c r="Y167" s="199"/>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v>45510</v>
      </c>
      <c r="U168" s="173"/>
      <c r="V168" s="173"/>
      <c r="W168" s="3">
        <f>VLOOKUP(Table1[[#This Row],[Status]],Auxiliar!$B$16:$D$23,3,0)*Table1[[#This Row],[Estimação (horas)]]</f>
        <v>0.125</v>
      </c>
      <c r="X168" s="195"/>
      <c r="Y168" s="199"/>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v>45510</v>
      </c>
      <c r="U169" s="173"/>
      <c r="V169" s="173"/>
      <c r="W169" s="3">
        <f>VLOOKUP(Table1[[#This Row],[Status]],Auxiliar!$B$16:$D$23,3,0)*Table1[[#This Row],[Estimação (horas)]]</f>
        <v>2.5000000000000001E-2</v>
      </c>
      <c r="X169" s="195"/>
      <c r="Y169" s="199"/>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v>45510</v>
      </c>
      <c r="U170" s="173"/>
      <c r="V170" s="173"/>
      <c r="W170" s="3">
        <f>VLOOKUP(Table1[[#This Row],[Status]],Auxiliar!$B$16:$D$23,3,0)*Table1[[#This Row],[Estimação (horas)]]</f>
        <v>0.125</v>
      </c>
      <c r="X170" s="195"/>
      <c r="Y170" s="199"/>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v>45510</v>
      </c>
      <c r="U171" s="173"/>
      <c r="V171" s="173"/>
      <c r="W171" s="3">
        <f>VLOOKUP(Table1[[#This Row],[Status]],Auxiliar!$B$16:$D$23,3,0)*Table1[[#This Row],[Estimação (horas)]]</f>
        <v>2.5000000000000001E-2</v>
      </c>
      <c r="X171" s="195"/>
      <c r="Y171" s="199"/>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v>45510</v>
      </c>
      <c r="U172" s="173"/>
      <c r="V172" s="173"/>
      <c r="W172" s="3">
        <f>VLOOKUP(Table1[[#This Row],[Status]],Auxiliar!$B$16:$D$23,3,0)*Table1[[#This Row],[Estimação (horas)]]</f>
        <v>0.125</v>
      </c>
      <c r="X172" s="195"/>
      <c r="Y172" s="199"/>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v>45510</v>
      </c>
      <c r="U173" s="173"/>
      <c r="V173" s="173"/>
      <c r="W173" s="3">
        <f>VLOOKUP(Table1[[#This Row],[Status]],Auxiliar!$B$16:$D$23,3,0)*Table1[[#This Row],[Estimação (horas)]]</f>
        <v>2.5000000000000001E-2</v>
      </c>
      <c r="X173" s="195"/>
      <c r="Y173" s="199"/>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v>45510</v>
      </c>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hidden="1">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hidden="1">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hidden="1">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hidden="1">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hidden="1">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hidden="1">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hidden="1">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hidden="1">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hidden="1">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hidden="1">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hidden="1">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hidden="1">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hidden="1">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hidden="1">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hidden="1">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hidden="1">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hidden="1">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hidden="1">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hidden="1">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hidden="1">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hidden="1">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customHeight="1">
      <c r="B643" s="3" t="s">
        <v>28</v>
      </c>
      <c r="C643" s="3" t="s">
        <v>301</v>
      </c>
      <c r="D643" s="3" t="s">
        <v>303</v>
      </c>
      <c r="E643" s="3" t="s">
        <v>38</v>
      </c>
      <c r="F643" s="3" t="s">
        <v>302</v>
      </c>
      <c r="G643" s="3" t="s">
        <v>273</v>
      </c>
      <c r="H643" s="63" t="str">
        <f>Table1[[#This Row],[Tabela]]&amp;Table1[[#This Row],[Campo]]</f>
        <v>modesg_out_bens_imoveisflg_rsc_fsc_agd</v>
      </c>
      <c r="I643" s="3" t="s">
        <v>482</v>
      </c>
      <c r="J643" s="45">
        <f>VLOOKUP(Table1[[#This Row],[Status]],Auxiliar!$B$16:$C$23,2,0)</f>
        <v>6</v>
      </c>
      <c r="K643" s="3" t="s">
        <v>1137</v>
      </c>
      <c r="L643" s="3" t="s">
        <v>1144</v>
      </c>
      <c r="M643" s="22" t="s">
        <v>1136</v>
      </c>
      <c r="N643" s="53">
        <v>45569</v>
      </c>
      <c r="O643" s="22">
        <f>INDEX(Auxiliar!$D$5:$F$13,MATCH(Table1[[#This Row],[Tipologia_Testes]],Auxiliar!$B$5:$B$13,0),MATCH(Table1[[#This Row],[Complexidade]],Auxiliar!$D$4:$F$4,0))</f>
        <v>8</v>
      </c>
      <c r="P643" s="3"/>
      <c r="Q643" s="3"/>
      <c r="R643" s="173">
        <v>45561</v>
      </c>
      <c r="S643" s="173"/>
      <c r="T643" s="173">
        <v>45569</v>
      </c>
      <c r="U643" s="173"/>
      <c r="V643" s="173"/>
      <c r="W643" s="3">
        <f>VLOOKUP(Table1[[#This Row],[Status]],Auxiliar!$B$16:$D$23,3,0)*Table1[[#This Row],[Estimação (horas)]]</f>
        <v>2</v>
      </c>
      <c r="X643" s="3"/>
    </row>
    <row r="644" spans="2:24" ht="17.399999999999999" customHeight="1">
      <c r="B644" s="3" t="s">
        <v>28</v>
      </c>
      <c r="C644" s="3" t="s">
        <v>301</v>
      </c>
      <c r="D644" s="3" t="s">
        <v>303</v>
      </c>
      <c r="E644" s="3" t="s">
        <v>38</v>
      </c>
      <c r="F644" s="3" t="s">
        <v>302</v>
      </c>
      <c r="G644" s="3" t="s">
        <v>273</v>
      </c>
      <c r="H644" s="63" t="str">
        <f>Table1[[#This Row],[Tabela]]&amp;Table1[[#This Row],[Campo]]</f>
        <v>modesg_out_bens_imoveisflg_rsc_fsc_agd</v>
      </c>
      <c r="I644" s="3" t="s">
        <v>482</v>
      </c>
      <c r="J644" s="45">
        <f>VLOOKUP(Table1[[#This Row],[Status]],Auxiliar!$B$16:$C$23,2,0)</f>
        <v>6</v>
      </c>
      <c r="K644" s="3" t="s">
        <v>1138</v>
      </c>
      <c r="L644" s="3" t="s">
        <v>1144</v>
      </c>
      <c r="M644" s="22" t="s">
        <v>1136</v>
      </c>
      <c r="N644" s="53">
        <v>45569</v>
      </c>
      <c r="O644" s="22">
        <f>INDEX(Auxiliar!$D$5:$F$13,MATCH(Table1[[#This Row],[Tipologia_Testes]],Auxiliar!$B$5:$B$13,0),MATCH(Table1[[#This Row],[Complexidade]],Auxiliar!$D$4:$F$4,0))</f>
        <v>8</v>
      </c>
      <c r="P644" s="3"/>
      <c r="Q644" s="3"/>
      <c r="R644" s="173">
        <v>45561</v>
      </c>
      <c r="S644" s="173"/>
      <c r="T644" s="173">
        <v>45569</v>
      </c>
      <c r="U644" s="173"/>
      <c r="V644" s="173"/>
      <c r="W644" s="3">
        <f>VLOOKUP(Table1[[#This Row],[Status]],Auxiliar!$B$16:$D$23,3,0)*Table1[[#This Row],[Estimação (horas)]]</f>
        <v>2</v>
      </c>
      <c r="X644" s="3"/>
    </row>
    <row r="645" spans="2:24" ht="17.399999999999999" customHeight="1">
      <c r="B645" s="3" t="s">
        <v>28</v>
      </c>
      <c r="C645" s="3" t="s">
        <v>301</v>
      </c>
      <c r="D645" s="3" t="s">
        <v>303</v>
      </c>
      <c r="E645" s="3" t="s">
        <v>38</v>
      </c>
      <c r="F645" s="3" t="s">
        <v>302</v>
      </c>
      <c r="G645" s="3" t="s">
        <v>273</v>
      </c>
      <c r="H645" s="63" t="str">
        <f>Table1[[#This Row],[Tabela]]&amp;Table1[[#This Row],[Campo]]</f>
        <v>modesg_out_bens_imoveisflg_rsc_fsc_agd</v>
      </c>
      <c r="I645" s="3" t="s">
        <v>482</v>
      </c>
      <c r="J645" s="45">
        <f>VLOOKUP(Table1[[#This Row],[Status]],Auxiliar!$B$16:$C$23,2,0)</f>
        <v>6</v>
      </c>
      <c r="K645" s="3" t="s">
        <v>1141</v>
      </c>
      <c r="L645" s="3" t="s">
        <v>1144</v>
      </c>
      <c r="M645" s="22" t="s">
        <v>1136</v>
      </c>
      <c r="N645" s="53">
        <v>45569</v>
      </c>
      <c r="O645" s="22">
        <f>INDEX(Auxiliar!$D$5:$F$13,MATCH(Table1[[#This Row],[Tipologia_Testes]],Auxiliar!$B$5:$B$13,0),MATCH(Table1[[#This Row],[Complexidade]],Auxiliar!$D$4:$F$4,0))</f>
        <v>0.1</v>
      </c>
      <c r="P645" s="3"/>
      <c r="Q645" s="3"/>
      <c r="R645" s="173">
        <v>45561</v>
      </c>
      <c r="S645" s="173"/>
      <c r="T645" s="173">
        <v>45569</v>
      </c>
      <c r="U645" s="173"/>
      <c r="V645" s="173"/>
      <c r="W645" s="3">
        <f>VLOOKUP(Table1[[#This Row],[Status]],Auxiliar!$B$16:$D$23,3,0)*Table1[[#This Row],[Estimação (horas)]]</f>
        <v>2.5000000000000001E-2</v>
      </c>
      <c r="X645" s="3"/>
    </row>
    <row r="646" spans="2:24" ht="17.399999999999999" customHeight="1">
      <c r="B646" s="3" t="s">
        <v>28</v>
      </c>
      <c r="C646" s="3" t="s">
        <v>301</v>
      </c>
      <c r="D646" s="3" t="s">
        <v>303</v>
      </c>
      <c r="E646" s="3" t="s">
        <v>38</v>
      </c>
      <c r="F646" s="3" t="s">
        <v>302</v>
      </c>
      <c r="G646" s="3" t="s">
        <v>274</v>
      </c>
      <c r="H646" s="63" t="str">
        <f>Table1[[#This Row],[Tabela]]&amp;Table1[[#This Row],[Campo]]</f>
        <v>modesg_out_bens_imoveisflg_rsc_fsc_crnc</v>
      </c>
      <c r="I646" s="3" t="s">
        <v>482</v>
      </c>
      <c r="J646" s="45">
        <f>VLOOKUP(Table1[[#This Row],[Status]],Auxiliar!$B$16:$C$23,2,0)</f>
        <v>6</v>
      </c>
      <c r="K646" s="3" t="s">
        <v>1137</v>
      </c>
      <c r="L646" s="3" t="s">
        <v>1144</v>
      </c>
      <c r="M646" s="22" t="s">
        <v>1136</v>
      </c>
      <c r="N646" s="53">
        <v>45569</v>
      </c>
      <c r="O646" s="22">
        <f>INDEX(Auxiliar!$D$5:$F$13,MATCH(Table1[[#This Row],[Tipologia_Testes]],Auxiliar!$B$5:$B$13,0),MATCH(Table1[[#This Row],[Complexidade]],Auxiliar!$D$4:$F$4,0))</f>
        <v>8</v>
      </c>
      <c r="P646" s="3"/>
      <c r="Q646" s="3"/>
      <c r="R646" s="173">
        <v>45561</v>
      </c>
      <c r="S646" s="173"/>
      <c r="T646" s="173">
        <v>45569</v>
      </c>
      <c r="U646" s="173"/>
      <c r="V646" s="173"/>
      <c r="W646" s="3">
        <f>VLOOKUP(Table1[[#This Row],[Status]],Auxiliar!$B$16:$D$23,3,0)*Table1[[#This Row],[Estimação (horas)]]</f>
        <v>2</v>
      </c>
      <c r="X646" s="3"/>
    </row>
    <row r="647" spans="2:24" ht="17.399999999999999" customHeight="1">
      <c r="B647" s="3" t="s">
        <v>28</v>
      </c>
      <c r="C647" s="3" t="s">
        <v>301</v>
      </c>
      <c r="D647" s="3" t="s">
        <v>303</v>
      </c>
      <c r="E647" s="3" t="s">
        <v>38</v>
      </c>
      <c r="F647" s="3" t="s">
        <v>302</v>
      </c>
      <c r="G647" s="3" t="s">
        <v>274</v>
      </c>
      <c r="H647" s="63" t="str">
        <f>Table1[[#This Row],[Tabela]]&amp;Table1[[#This Row],[Campo]]</f>
        <v>modesg_out_bens_imoveisflg_rsc_fsc_crnc</v>
      </c>
      <c r="I647" s="3" t="s">
        <v>482</v>
      </c>
      <c r="J647" s="45">
        <f>VLOOKUP(Table1[[#This Row],[Status]],Auxiliar!$B$16:$C$23,2,0)</f>
        <v>6</v>
      </c>
      <c r="K647" s="3" t="s">
        <v>1138</v>
      </c>
      <c r="L647" s="3" t="s">
        <v>1144</v>
      </c>
      <c r="M647" s="22" t="s">
        <v>1136</v>
      </c>
      <c r="N647" s="53">
        <v>45569</v>
      </c>
      <c r="O647" s="22">
        <f>INDEX(Auxiliar!$D$5:$F$13,MATCH(Table1[[#This Row],[Tipologia_Testes]],Auxiliar!$B$5:$B$13,0),MATCH(Table1[[#This Row],[Complexidade]],Auxiliar!$D$4:$F$4,0))</f>
        <v>8</v>
      </c>
      <c r="P647" s="3"/>
      <c r="Q647" s="3"/>
      <c r="R647" s="173">
        <v>45561</v>
      </c>
      <c r="S647" s="173"/>
      <c r="T647" s="173">
        <v>45569</v>
      </c>
      <c r="U647" s="173"/>
      <c r="V647" s="173"/>
      <c r="W647" s="3">
        <f>VLOOKUP(Table1[[#This Row],[Status]],Auxiliar!$B$16:$D$23,3,0)*Table1[[#This Row],[Estimação (horas)]]</f>
        <v>2</v>
      </c>
      <c r="X647" s="3"/>
    </row>
    <row r="648" spans="2:24" ht="17.399999999999999" customHeight="1">
      <c r="B648" s="3" t="s">
        <v>28</v>
      </c>
      <c r="C648" s="3" t="s">
        <v>301</v>
      </c>
      <c r="D648" s="3" t="s">
        <v>303</v>
      </c>
      <c r="E648" s="3" t="s">
        <v>38</v>
      </c>
      <c r="F648" s="3" t="s">
        <v>302</v>
      </c>
      <c r="G648" s="3" t="s">
        <v>274</v>
      </c>
      <c r="H648" s="63" t="str">
        <f>Table1[[#This Row],[Tabela]]&amp;Table1[[#This Row],[Campo]]</f>
        <v>modesg_out_bens_imoveisflg_rsc_fsc_crnc</v>
      </c>
      <c r="I648" s="3" t="s">
        <v>482</v>
      </c>
      <c r="J648" s="45">
        <f>VLOOKUP(Table1[[#This Row],[Status]],Auxiliar!$B$16:$C$23,2,0)</f>
        <v>6</v>
      </c>
      <c r="K648" s="3" t="s">
        <v>1141</v>
      </c>
      <c r="L648" s="3" t="s">
        <v>1144</v>
      </c>
      <c r="M648" s="22" t="s">
        <v>1136</v>
      </c>
      <c r="N648" s="53">
        <v>45569</v>
      </c>
      <c r="O648" s="22">
        <f>INDEX(Auxiliar!$D$5:$F$13,MATCH(Table1[[#This Row],[Tipologia_Testes]],Auxiliar!$B$5:$B$13,0),MATCH(Table1[[#This Row],[Complexidade]],Auxiliar!$D$4:$F$4,0))</f>
        <v>0.1</v>
      </c>
      <c r="P648" s="3"/>
      <c r="Q648" s="3"/>
      <c r="R648" s="173">
        <v>45561</v>
      </c>
      <c r="S648" s="173"/>
      <c r="T648" s="173">
        <v>45569</v>
      </c>
      <c r="U648" s="173"/>
      <c r="V648" s="173"/>
      <c r="W648" s="3">
        <f>VLOOKUP(Table1[[#This Row],[Status]],Auxiliar!$B$16:$D$23,3,0)*Table1[[#This Row],[Estimação (horas)]]</f>
        <v>2.5000000000000001E-2</v>
      </c>
      <c r="X648" s="3"/>
    </row>
    <row r="649" spans="2:24" ht="52.2" customHeight="1">
      <c r="B649" s="3" t="s">
        <v>28</v>
      </c>
      <c r="C649" s="3" t="s">
        <v>301</v>
      </c>
      <c r="D649" s="3" t="s">
        <v>303</v>
      </c>
      <c r="E649" s="3" t="s">
        <v>38</v>
      </c>
      <c r="F649" s="3" t="s">
        <v>302</v>
      </c>
      <c r="G649" s="3" t="s">
        <v>304</v>
      </c>
      <c r="H649" s="63" t="str">
        <f>Table1[[#This Row],[Tabela]]&amp;Table1[[#This Row],[Campo]]</f>
        <v>modesg_out_bens_imoveisorigem_flg_rsc_fsc_agd</v>
      </c>
      <c r="I649" s="3" t="s">
        <v>482</v>
      </c>
      <c r="J649" s="45">
        <f>VLOOKUP(Table1[[#This Row],[Status]],Auxiliar!$B$16:$C$23,2,0)</f>
        <v>6</v>
      </c>
      <c r="K649" s="3" t="s">
        <v>1137</v>
      </c>
      <c r="L649" s="3" t="s">
        <v>1135</v>
      </c>
      <c r="M649" s="22" t="s">
        <v>1145</v>
      </c>
      <c r="N649" s="53">
        <v>45569</v>
      </c>
      <c r="O649" s="22">
        <f>INDEX(Auxiliar!$D$5:$F$13,MATCH(Table1[[#This Row],[Tipologia_Testes]],Auxiliar!$B$5:$B$13,0),MATCH(Table1[[#This Row],[Complexidade]],Auxiliar!$D$4:$F$4,0))</f>
        <v>2</v>
      </c>
      <c r="P649" s="24" t="s">
        <v>1181</v>
      </c>
      <c r="Q649" s="3"/>
      <c r="R649" s="173">
        <v>45561</v>
      </c>
      <c r="S649" s="173"/>
      <c r="T649" s="173">
        <v>45569</v>
      </c>
      <c r="U649" s="173"/>
      <c r="V649" s="173"/>
      <c r="W649" s="3">
        <f>VLOOKUP(Table1[[#This Row],[Status]],Auxiliar!$B$16:$D$23,3,0)*Table1[[#This Row],[Estimação (horas)]]</f>
        <v>0.5</v>
      </c>
      <c r="X649" s="3"/>
    </row>
    <row r="650" spans="2:24" ht="52.2" customHeight="1">
      <c r="B650" s="3" t="s">
        <v>28</v>
      </c>
      <c r="C650" s="3" t="s">
        <v>301</v>
      </c>
      <c r="D650" s="3" t="s">
        <v>303</v>
      </c>
      <c r="E650" s="3" t="s">
        <v>38</v>
      </c>
      <c r="F650" s="3" t="s">
        <v>302</v>
      </c>
      <c r="G650" s="3" t="s">
        <v>304</v>
      </c>
      <c r="H650" s="63" t="str">
        <f>Table1[[#This Row],[Tabela]]&amp;Table1[[#This Row],[Campo]]</f>
        <v>modesg_out_bens_imoveisorigem_flg_rsc_fsc_agd</v>
      </c>
      <c r="I650" s="3" t="s">
        <v>482</v>
      </c>
      <c r="J650" s="45">
        <f>VLOOKUP(Table1[[#This Row],[Status]],Auxiliar!$B$16:$C$23,2,0)</f>
        <v>6</v>
      </c>
      <c r="K650" s="3" t="s">
        <v>1138</v>
      </c>
      <c r="L650" s="3" t="s">
        <v>1135</v>
      </c>
      <c r="M650" s="22" t="s">
        <v>1145</v>
      </c>
      <c r="N650" s="53">
        <v>45569</v>
      </c>
      <c r="O650" s="22">
        <f>INDEX(Auxiliar!$D$5:$F$13,MATCH(Table1[[#This Row],[Tipologia_Testes]],Auxiliar!$B$5:$B$13,0),MATCH(Table1[[#This Row],[Complexidade]],Auxiliar!$D$4:$F$4,0))</f>
        <v>2</v>
      </c>
      <c r="P650" s="24" t="s">
        <v>1181</v>
      </c>
      <c r="Q650" s="3"/>
      <c r="R650" s="173">
        <v>45561</v>
      </c>
      <c r="S650" s="173"/>
      <c r="T650" s="173">
        <v>45569</v>
      </c>
      <c r="U650" s="173"/>
      <c r="V650" s="173"/>
      <c r="W650" s="3">
        <f>VLOOKUP(Table1[[#This Row],[Status]],Auxiliar!$B$16:$D$23,3,0)*Table1[[#This Row],[Estimação (horas)]]</f>
        <v>0.5</v>
      </c>
      <c r="X650" s="3"/>
    </row>
    <row r="651" spans="2:24" ht="52.2" customHeight="1">
      <c r="B651" s="3" t="s">
        <v>28</v>
      </c>
      <c r="C651" s="3" t="s">
        <v>301</v>
      </c>
      <c r="D651" s="3" t="s">
        <v>303</v>
      </c>
      <c r="E651" s="3" t="s">
        <v>38</v>
      </c>
      <c r="F651" s="3" t="s">
        <v>302</v>
      </c>
      <c r="G651" s="3" t="s">
        <v>304</v>
      </c>
      <c r="H651" s="63" t="str">
        <f>Table1[[#This Row],[Tabela]]&amp;Table1[[#This Row],[Campo]]</f>
        <v>modesg_out_bens_imoveisorigem_flg_rsc_fsc_agd</v>
      </c>
      <c r="I651" s="3" t="s">
        <v>482</v>
      </c>
      <c r="J651" s="45">
        <f>VLOOKUP(Table1[[#This Row],[Status]],Auxiliar!$B$16:$C$23,2,0)</f>
        <v>6</v>
      </c>
      <c r="K651" s="3" t="s">
        <v>1141</v>
      </c>
      <c r="L651" s="3" t="s">
        <v>1135</v>
      </c>
      <c r="M651" s="22" t="s">
        <v>1145</v>
      </c>
      <c r="N651" s="53">
        <v>45569</v>
      </c>
      <c r="O651" s="22">
        <f>INDEX(Auxiliar!$D$5:$F$13,MATCH(Table1[[#This Row],[Tipologia_Testes]],Auxiliar!$B$5:$B$13,0),MATCH(Table1[[#This Row],[Complexidade]],Auxiliar!$D$4:$F$4,0))</f>
        <v>0.1</v>
      </c>
      <c r="P651" s="24" t="s">
        <v>1181</v>
      </c>
      <c r="Q651" s="3"/>
      <c r="R651" s="173">
        <v>45561</v>
      </c>
      <c r="S651" s="173"/>
      <c r="T651" s="173">
        <v>45569</v>
      </c>
      <c r="U651" s="173"/>
      <c r="V651" s="173"/>
      <c r="W651" s="3">
        <f>VLOOKUP(Table1[[#This Row],[Status]],Auxiliar!$B$16:$D$23,3,0)*Table1[[#This Row],[Estimação (horas)]]</f>
        <v>2.5000000000000001E-2</v>
      </c>
      <c r="X651" s="3"/>
    </row>
    <row r="652" spans="2:24" ht="52.2" customHeight="1">
      <c r="B652" s="3" t="s">
        <v>28</v>
      </c>
      <c r="C652" s="3" t="s">
        <v>301</v>
      </c>
      <c r="D652" s="3" t="s">
        <v>303</v>
      </c>
      <c r="E652" s="3" t="s">
        <v>38</v>
      </c>
      <c r="F652" s="3" t="s">
        <v>302</v>
      </c>
      <c r="G652" s="3" t="s">
        <v>305</v>
      </c>
      <c r="H652" s="63" t="str">
        <f>Table1[[#This Row],[Tabela]]&amp;Table1[[#This Row],[Campo]]</f>
        <v>modesg_out_bens_imoveisorigem_flg_rsc_fsc_crnc</v>
      </c>
      <c r="I652" s="3" t="s">
        <v>482</v>
      </c>
      <c r="J652" s="45">
        <f>VLOOKUP(Table1[[#This Row],[Status]],Auxiliar!$B$16:$C$23,2,0)</f>
        <v>6</v>
      </c>
      <c r="K652" s="3" t="s">
        <v>1137</v>
      </c>
      <c r="L652" s="3" t="s">
        <v>1135</v>
      </c>
      <c r="M652" s="22" t="s">
        <v>1145</v>
      </c>
      <c r="N652" s="53">
        <v>45569</v>
      </c>
      <c r="O652" s="22">
        <f>INDEX(Auxiliar!$D$5:$F$13,MATCH(Table1[[#This Row],[Tipologia_Testes]],Auxiliar!$B$5:$B$13,0),MATCH(Table1[[#This Row],[Complexidade]],Auxiliar!$D$4:$F$4,0))</f>
        <v>2</v>
      </c>
      <c r="P652" s="24" t="s">
        <v>1181</v>
      </c>
      <c r="Q652" s="3"/>
      <c r="R652" s="173">
        <v>45561</v>
      </c>
      <c r="S652" s="173"/>
      <c r="T652" s="173">
        <v>45569</v>
      </c>
      <c r="U652" s="173"/>
      <c r="V652" s="173"/>
      <c r="W652" s="3">
        <f>VLOOKUP(Table1[[#This Row],[Status]],Auxiliar!$B$16:$D$23,3,0)*Table1[[#This Row],[Estimação (horas)]]</f>
        <v>0.5</v>
      </c>
      <c r="X652" s="3"/>
    </row>
    <row r="653" spans="2:24" ht="52.2" customHeight="1">
      <c r="B653" s="3" t="s">
        <v>28</v>
      </c>
      <c r="C653" s="3" t="s">
        <v>301</v>
      </c>
      <c r="D653" s="3" t="s">
        <v>303</v>
      </c>
      <c r="E653" s="3" t="s">
        <v>38</v>
      </c>
      <c r="F653" s="3" t="s">
        <v>302</v>
      </c>
      <c r="G653" s="3" t="s">
        <v>305</v>
      </c>
      <c r="H653" s="63" t="str">
        <f>Table1[[#This Row],[Tabela]]&amp;Table1[[#This Row],[Campo]]</f>
        <v>modesg_out_bens_imoveisorigem_flg_rsc_fsc_crnc</v>
      </c>
      <c r="I653" s="3" t="s">
        <v>482</v>
      </c>
      <c r="J653" s="45">
        <f>VLOOKUP(Table1[[#This Row],[Status]],Auxiliar!$B$16:$C$23,2,0)</f>
        <v>6</v>
      </c>
      <c r="K653" s="3" t="s">
        <v>1138</v>
      </c>
      <c r="L653" s="3" t="s">
        <v>1135</v>
      </c>
      <c r="M653" s="22" t="s">
        <v>1145</v>
      </c>
      <c r="N653" s="53">
        <v>45569</v>
      </c>
      <c r="O653" s="22">
        <f>INDEX(Auxiliar!$D$5:$F$13,MATCH(Table1[[#This Row],[Tipologia_Testes]],Auxiliar!$B$5:$B$13,0),MATCH(Table1[[#This Row],[Complexidade]],Auxiliar!$D$4:$F$4,0))</f>
        <v>2</v>
      </c>
      <c r="P653" s="24" t="s">
        <v>1181</v>
      </c>
      <c r="Q653" s="3"/>
      <c r="R653" s="173">
        <v>45561</v>
      </c>
      <c r="S653" s="173"/>
      <c r="T653" s="173">
        <v>45569</v>
      </c>
      <c r="U653" s="173"/>
      <c r="V653" s="173"/>
      <c r="W653" s="3">
        <f>VLOOKUP(Table1[[#This Row],[Status]],Auxiliar!$B$16:$D$23,3,0)*Table1[[#This Row],[Estimação (horas)]]</f>
        <v>0.5</v>
      </c>
      <c r="X653" s="3"/>
    </row>
    <row r="654" spans="2:24" ht="52.2" customHeight="1">
      <c r="B654" s="3" t="s">
        <v>28</v>
      </c>
      <c r="C654" s="3" t="s">
        <v>301</v>
      </c>
      <c r="D654" s="3" t="s">
        <v>303</v>
      </c>
      <c r="E654" s="3" t="s">
        <v>38</v>
      </c>
      <c r="F654" s="3" t="s">
        <v>302</v>
      </c>
      <c r="G654" s="3" t="s">
        <v>305</v>
      </c>
      <c r="H654" s="63" t="str">
        <f>Table1[[#This Row],[Tabela]]&amp;Table1[[#This Row],[Campo]]</f>
        <v>modesg_out_bens_imoveisorigem_flg_rsc_fsc_crnc</v>
      </c>
      <c r="I654" s="3" t="s">
        <v>482</v>
      </c>
      <c r="J654" s="45">
        <f>VLOOKUP(Table1[[#This Row],[Status]],Auxiliar!$B$16:$C$23,2,0)</f>
        <v>6</v>
      </c>
      <c r="K654" s="3" t="s">
        <v>1141</v>
      </c>
      <c r="L654" s="3" t="s">
        <v>1135</v>
      </c>
      <c r="M654" s="22" t="s">
        <v>1145</v>
      </c>
      <c r="N654" s="53">
        <v>45569</v>
      </c>
      <c r="O654" s="22">
        <f>INDEX(Auxiliar!$D$5:$F$13,MATCH(Table1[[#This Row],[Tipologia_Testes]],Auxiliar!$B$5:$B$13,0),MATCH(Table1[[#This Row],[Complexidade]],Auxiliar!$D$4:$F$4,0))</f>
        <v>0.1</v>
      </c>
      <c r="P654" s="24" t="s">
        <v>1181</v>
      </c>
      <c r="Q654" s="3"/>
      <c r="R654" s="173">
        <v>45561</v>
      </c>
      <c r="S654" s="173"/>
      <c r="T654" s="173">
        <v>45569</v>
      </c>
      <c r="U654" s="173"/>
      <c r="V654" s="173"/>
      <c r="W654" s="3">
        <f>VLOOKUP(Table1[[#This Row],[Status]],Auxiliar!$B$16:$D$23,3,0)*Table1[[#This Row],[Estimação (horas)]]</f>
        <v>2.5000000000000001E-2</v>
      </c>
      <c r="X654" s="3"/>
    </row>
    <row r="655" spans="2:24" ht="52.2" customHeight="1">
      <c r="B655" s="3" t="s">
        <v>28</v>
      </c>
      <c r="C655" s="3" t="s">
        <v>301</v>
      </c>
      <c r="D655" s="3" t="s">
        <v>303</v>
      </c>
      <c r="E655" s="3" t="s">
        <v>38</v>
      </c>
      <c r="F655" s="3" t="s">
        <v>302</v>
      </c>
      <c r="G655" s="3" t="s">
        <v>306</v>
      </c>
      <c r="H655" s="63" t="str">
        <f>Table1[[#This Row],[Tabela]]&amp;Table1[[#This Row],[Campo]]</f>
        <v>modesg_out_bens_imoveisorigem_scp1_emss</v>
      </c>
      <c r="I655" s="3" t="s">
        <v>479</v>
      </c>
      <c r="J655" s="45">
        <f>VLOOKUP(Table1[[#This Row],[Status]],Auxiliar!$B$16:$C$23,2,0)</f>
        <v>4</v>
      </c>
      <c r="K655" s="3" t="s">
        <v>1137</v>
      </c>
      <c r="L655" s="3" t="s">
        <v>1135</v>
      </c>
      <c r="M655" s="22" t="s">
        <v>1145</v>
      </c>
      <c r="N655" s="53">
        <v>45569</v>
      </c>
      <c r="O655" s="22">
        <f>INDEX(Auxiliar!$D$5:$F$13,MATCH(Table1[[#This Row],[Tipologia_Testes]],Auxiliar!$B$5:$B$13,0),MATCH(Table1[[#This Row],[Complexidade]],Auxiliar!$D$4:$F$4,0))</f>
        <v>2</v>
      </c>
      <c r="P655" s="24" t="s">
        <v>1886</v>
      </c>
      <c r="Q655" s="3"/>
      <c r="R655" s="173">
        <v>45569</v>
      </c>
      <c r="S655" s="173"/>
      <c r="T655" s="173">
        <v>45569</v>
      </c>
      <c r="U655" s="173"/>
      <c r="V655" s="173">
        <v>45562</v>
      </c>
      <c r="W655" s="3">
        <f>VLOOKUP(Table1[[#This Row],[Status]],Auxiliar!$B$16:$D$23,3,0)*Table1[[#This Row],[Estimação (horas)]]</f>
        <v>0.5</v>
      </c>
      <c r="X655" s="3"/>
    </row>
    <row r="656" spans="2:24" ht="52.2" customHeight="1">
      <c r="B656" s="3" t="s">
        <v>28</v>
      </c>
      <c r="C656" s="3" t="s">
        <v>301</v>
      </c>
      <c r="D656" s="3" t="s">
        <v>303</v>
      </c>
      <c r="E656" s="3" t="s">
        <v>38</v>
      </c>
      <c r="F656" s="3" t="s">
        <v>302</v>
      </c>
      <c r="G656" s="3" t="s">
        <v>306</v>
      </c>
      <c r="H656" s="63" t="str">
        <f>Table1[[#This Row],[Tabela]]&amp;Table1[[#This Row],[Campo]]</f>
        <v>modesg_out_bens_imoveisorigem_scp1_emss</v>
      </c>
      <c r="I656" s="3" t="s">
        <v>479</v>
      </c>
      <c r="J656" s="45">
        <f>VLOOKUP(Table1[[#This Row],[Status]],Auxiliar!$B$16:$C$23,2,0)</f>
        <v>4</v>
      </c>
      <c r="K656" s="3" t="s">
        <v>1138</v>
      </c>
      <c r="L656" s="3" t="s">
        <v>1135</v>
      </c>
      <c r="M656" s="22" t="s">
        <v>1145</v>
      </c>
      <c r="N656" s="53">
        <v>45569</v>
      </c>
      <c r="O656" s="22">
        <f>INDEX(Auxiliar!$D$5:$F$13,MATCH(Table1[[#This Row],[Tipologia_Testes]],Auxiliar!$B$5:$B$13,0),MATCH(Table1[[#This Row],[Complexidade]],Auxiliar!$D$4:$F$4,0))</f>
        <v>2</v>
      </c>
      <c r="P656" s="24" t="s">
        <v>1886</v>
      </c>
      <c r="Q656" s="3"/>
      <c r="R656" s="173">
        <v>45569</v>
      </c>
      <c r="S656" s="173"/>
      <c r="T656" s="173">
        <v>45569</v>
      </c>
      <c r="U656" s="173"/>
      <c r="V656" s="173">
        <v>45562</v>
      </c>
      <c r="W656" s="3">
        <f>VLOOKUP(Table1[[#This Row],[Status]],Auxiliar!$B$16:$D$23,3,0)*Table1[[#This Row],[Estimação (horas)]]</f>
        <v>0.5</v>
      </c>
      <c r="X656" s="3"/>
    </row>
    <row r="657" spans="2:24" ht="52.2" customHeight="1">
      <c r="B657" s="3" t="s">
        <v>28</v>
      </c>
      <c r="C657" s="3" t="s">
        <v>301</v>
      </c>
      <c r="D657" s="3" t="s">
        <v>303</v>
      </c>
      <c r="E657" s="3" t="s">
        <v>38</v>
      </c>
      <c r="F657" s="3" t="s">
        <v>302</v>
      </c>
      <c r="G657" s="3" t="s">
        <v>306</v>
      </c>
      <c r="H657" s="63" t="str">
        <f>Table1[[#This Row],[Tabela]]&amp;Table1[[#This Row],[Campo]]</f>
        <v>modesg_out_bens_imoveisorigem_scp1_emss</v>
      </c>
      <c r="I657" s="3" t="s">
        <v>479</v>
      </c>
      <c r="J657" s="45">
        <f>VLOOKUP(Table1[[#This Row],[Status]],Auxiliar!$B$16:$C$23,2,0)</f>
        <v>4</v>
      </c>
      <c r="K657" s="3" t="s">
        <v>1141</v>
      </c>
      <c r="L657" s="3" t="s">
        <v>1135</v>
      </c>
      <c r="M657" s="22" t="s">
        <v>1145</v>
      </c>
      <c r="N657" s="53">
        <v>45569</v>
      </c>
      <c r="O657" s="22">
        <f>INDEX(Auxiliar!$D$5:$F$13,MATCH(Table1[[#This Row],[Tipologia_Testes]],Auxiliar!$B$5:$B$13,0),MATCH(Table1[[#This Row],[Complexidade]],Auxiliar!$D$4:$F$4,0))</f>
        <v>0.1</v>
      </c>
      <c r="P657" s="24" t="s">
        <v>1886</v>
      </c>
      <c r="Q657" s="3"/>
      <c r="R657" s="173">
        <v>45569</v>
      </c>
      <c r="S657" s="173"/>
      <c r="T657" s="173">
        <v>45569</v>
      </c>
      <c r="U657" s="173"/>
      <c r="V657" s="173">
        <v>45562</v>
      </c>
      <c r="W657" s="3">
        <f>VLOOKUP(Table1[[#This Row],[Status]],Auxiliar!$B$16:$D$23,3,0)*Table1[[#This Row],[Estimação (horas)]]</f>
        <v>2.5000000000000001E-2</v>
      </c>
      <c r="X657" s="3"/>
    </row>
    <row r="658" spans="2:24" ht="52.2" customHeight="1">
      <c r="B658" s="3" t="s">
        <v>28</v>
      </c>
      <c r="C658" s="3" t="s">
        <v>301</v>
      </c>
      <c r="D658" s="3" t="s">
        <v>303</v>
      </c>
      <c r="E658" s="3" t="s">
        <v>38</v>
      </c>
      <c r="F658" s="3" t="s">
        <v>302</v>
      </c>
      <c r="G658" s="3" t="s">
        <v>307</v>
      </c>
      <c r="H658" s="63" t="str">
        <f>Table1[[#This Row],[Tabela]]&amp;Table1[[#This Row],[Campo]]</f>
        <v>modesg_out_bens_imoveisorigem_scp2_emss</v>
      </c>
      <c r="I658" s="3" t="s">
        <v>479</v>
      </c>
      <c r="J658" s="45">
        <f>VLOOKUP(Table1[[#This Row],[Status]],Auxiliar!$B$16:$C$23,2,0)</f>
        <v>4</v>
      </c>
      <c r="K658" s="3" t="s">
        <v>1137</v>
      </c>
      <c r="L658" s="3" t="s">
        <v>1135</v>
      </c>
      <c r="M658" s="22" t="s">
        <v>1145</v>
      </c>
      <c r="N658" s="53">
        <v>45569</v>
      </c>
      <c r="O658" s="22">
        <f>INDEX(Auxiliar!$D$5:$F$13,MATCH(Table1[[#This Row],[Tipologia_Testes]],Auxiliar!$B$5:$B$13,0),MATCH(Table1[[#This Row],[Complexidade]],Auxiliar!$D$4:$F$4,0))</f>
        <v>2</v>
      </c>
      <c r="P658" s="24" t="s">
        <v>1886</v>
      </c>
      <c r="Q658" s="3"/>
      <c r="R658" s="173">
        <v>45569</v>
      </c>
      <c r="S658" s="173"/>
      <c r="T658" s="173">
        <v>45569</v>
      </c>
      <c r="U658" s="173"/>
      <c r="V658" s="173">
        <v>45562</v>
      </c>
      <c r="W658" s="3">
        <f>VLOOKUP(Table1[[#This Row],[Status]],Auxiliar!$B$16:$D$23,3,0)*Table1[[#This Row],[Estimação (horas)]]</f>
        <v>0.5</v>
      </c>
      <c r="X658" s="3"/>
    </row>
    <row r="659" spans="2:24" ht="52.2" customHeight="1">
      <c r="B659" s="3" t="s">
        <v>28</v>
      </c>
      <c r="C659" s="3" t="s">
        <v>301</v>
      </c>
      <c r="D659" s="3" t="s">
        <v>303</v>
      </c>
      <c r="E659" s="3" t="s">
        <v>38</v>
      </c>
      <c r="F659" s="3" t="s">
        <v>302</v>
      </c>
      <c r="G659" s="3" t="s">
        <v>307</v>
      </c>
      <c r="H659" s="63" t="str">
        <f>Table1[[#This Row],[Tabela]]&amp;Table1[[#This Row],[Campo]]</f>
        <v>modesg_out_bens_imoveisorigem_scp2_emss</v>
      </c>
      <c r="I659" s="3" t="s">
        <v>479</v>
      </c>
      <c r="J659" s="45">
        <f>VLOOKUP(Table1[[#This Row],[Status]],Auxiliar!$B$16:$C$23,2,0)</f>
        <v>4</v>
      </c>
      <c r="K659" s="3" t="s">
        <v>1138</v>
      </c>
      <c r="L659" s="3" t="s">
        <v>1135</v>
      </c>
      <c r="M659" s="22" t="s">
        <v>1145</v>
      </c>
      <c r="N659" s="53">
        <v>45569</v>
      </c>
      <c r="O659" s="22">
        <f>INDEX(Auxiliar!$D$5:$F$13,MATCH(Table1[[#This Row],[Tipologia_Testes]],Auxiliar!$B$5:$B$13,0),MATCH(Table1[[#This Row],[Complexidade]],Auxiliar!$D$4:$F$4,0))</f>
        <v>2</v>
      </c>
      <c r="P659" s="24" t="s">
        <v>1886</v>
      </c>
      <c r="Q659" s="3"/>
      <c r="R659" s="173">
        <v>45569</v>
      </c>
      <c r="S659" s="173"/>
      <c r="T659" s="173">
        <v>45569</v>
      </c>
      <c r="U659" s="173"/>
      <c r="V659" s="173">
        <v>45562</v>
      </c>
      <c r="W659" s="3">
        <f>VLOOKUP(Table1[[#This Row],[Status]],Auxiliar!$B$16:$D$23,3,0)*Table1[[#This Row],[Estimação (horas)]]</f>
        <v>0.5</v>
      </c>
      <c r="X659" s="3"/>
    </row>
    <row r="660" spans="2:24" ht="52.2" customHeight="1">
      <c r="B660" s="3" t="s">
        <v>28</v>
      </c>
      <c r="C660" s="3" t="s">
        <v>301</v>
      </c>
      <c r="D660" s="3" t="s">
        <v>303</v>
      </c>
      <c r="E660" s="3" t="s">
        <v>38</v>
      </c>
      <c r="F660" s="3" t="s">
        <v>302</v>
      </c>
      <c r="G660" s="3" t="s">
        <v>307</v>
      </c>
      <c r="H660" s="63" t="str">
        <f>Table1[[#This Row],[Tabela]]&amp;Table1[[#This Row],[Campo]]</f>
        <v>modesg_out_bens_imoveisorigem_scp2_emss</v>
      </c>
      <c r="I660" s="3" t="s">
        <v>479</v>
      </c>
      <c r="J660" s="45">
        <f>VLOOKUP(Table1[[#This Row],[Status]],Auxiliar!$B$16:$C$23,2,0)</f>
        <v>4</v>
      </c>
      <c r="K660" s="3" t="s">
        <v>1141</v>
      </c>
      <c r="L660" s="3" t="s">
        <v>1135</v>
      </c>
      <c r="M660" s="22" t="s">
        <v>1145</v>
      </c>
      <c r="N660" s="53">
        <v>45569</v>
      </c>
      <c r="O660" s="22">
        <f>INDEX(Auxiliar!$D$5:$F$13,MATCH(Table1[[#This Row],[Tipologia_Testes]],Auxiliar!$B$5:$B$13,0),MATCH(Table1[[#This Row],[Complexidade]],Auxiliar!$D$4:$F$4,0))</f>
        <v>0.1</v>
      </c>
      <c r="P660" s="24" t="s">
        <v>1886</v>
      </c>
      <c r="Q660" s="3"/>
      <c r="R660" s="173">
        <v>45569</v>
      </c>
      <c r="S660" s="173"/>
      <c r="T660" s="173">
        <v>45569</v>
      </c>
      <c r="U660" s="173"/>
      <c r="V660" s="173">
        <v>45562</v>
      </c>
      <c r="W660" s="3">
        <f>VLOOKUP(Table1[[#This Row],[Status]],Auxiliar!$B$16:$D$23,3,0)*Table1[[#This Row],[Estimação (horas)]]</f>
        <v>2.5000000000000001E-2</v>
      </c>
      <c r="X660" s="3"/>
    </row>
    <row r="661" spans="2:24" ht="52.2" customHeight="1">
      <c r="B661" s="3" t="s">
        <v>28</v>
      </c>
      <c r="C661" s="3" t="s">
        <v>301</v>
      </c>
      <c r="D661" s="3" t="s">
        <v>303</v>
      </c>
      <c r="E661" s="3" t="s">
        <v>38</v>
      </c>
      <c r="F661" s="3" t="s">
        <v>302</v>
      </c>
      <c r="G661" s="3" t="s">
        <v>308</v>
      </c>
      <c r="H661" s="63" t="str">
        <f>Table1[[#This Row],[Tabela]]&amp;Table1[[#This Row],[Campo]]</f>
        <v>modesg_out_bens_imoveisorigem_scp3_emss</v>
      </c>
      <c r="I661" s="3" t="s">
        <v>479</v>
      </c>
      <c r="J661" s="45">
        <f>VLOOKUP(Table1[[#This Row],[Status]],Auxiliar!$B$16:$C$23,2,0)</f>
        <v>4</v>
      </c>
      <c r="K661" s="3" t="s">
        <v>1137</v>
      </c>
      <c r="L661" s="3" t="s">
        <v>1144</v>
      </c>
      <c r="M661" s="22" t="s">
        <v>1145</v>
      </c>
      <c r="N661" s="53">
        <v>45569</v>
      </c>
      <c r="O661" s="22">
        <f>INDEX(Auxiliar!$D$5:$F$13,MATCH(Table1[[#This Row],[Tipologia_Testes]],Auxiliar!$B$5:$B$13,0),MATCH(Table1[[#This Row],[Complexidade]],Auxiliar!$D$4:$F$4,0))</f>
        <v>2</v>
      </c>
      <c r="P661" s="24" t="s">
        <v>1886</v>
      </c>
      <c r="Q661" s="3"/>
      <c r="R661" s="173">
        <v>45569</v>
      </c>
      <c r="S661" s="173"/>
      <c r="T661" s="173">
        <v>45569</v>
      </c>
      <c r="U661" s="173"/>
      <c r="V661" s="173">
        <v>45562</v>
      </c>
      <c r="W661" s="3">
        <f>VLOOKUP(Table1[[#This Row],[Status]],Auxiliar!$B$16:$D$23,3,0)*Table1[[#This Row],[Estimação (horas)]]</f>
        <v>0.5</v>
      </c>
      <c r="X661" s="3"/>
    </row>
    <row r="662" spans="2:24" ht="52.2" customHeight="1">
      <c r="B662" s="3" t="s">
        <v>28</v>
      </c>
      <c r="C662" s="3" t="s">
        <v>301</v>
      </c>
      <c r="D662" s="3" t="s">
        <v>303</v>
      </c>
      <c r="E662" s="3" t="s">
        <v>38</v>
      </c>
      <c r="F662" s="3" t="s">
        <v>302</v>
      </c>
      <c r="G662" s="3" t="s">
        <v>308</v>
      </c>
      <c r="H662" s="63" t="str">
        <f>Table1[[#This Row],[Tabela]]&amp;Table1[[#This Row],[Campo]]</f>
        <v>modesg_out_bens_imoveisorigem_scp3_emss</v>
      </c>
      <c r="I662" s="3" t="s">
        <v>479</v>
      </c>
      <c r="J662" s="45">
        <f>VLOOKUP(Table1[[#This Row],[Status]],Auxiliar!$B$16:$C$23,2,0)</f>
        <v>4</v>
      </c>
      <c r="K662" s="3" t="s">
        <v>1138</v>
      </c>
      <c r="L662" s="3" t="s">
        <v>1144</v>
      </c>
      <c r="M662" s="22" t="s">
        <v>1145</v>
      </c>
      <c r="N662" s="53">
        <v>45569</v>
      </c>
      <c r="O662" s="22">
        <f>INDEX(Auxiliar!$D$5:$F$13,MATCH(Table1[[#This Row],[Tipologia_Testes]],Auxiliar!$B$5:$B$13,0),MATCH(Table1[[#This Row],[Complexidade]],Auxiliar!$D$4:$F$4,0))</f>
        <v>2</v>
      </c>
      <c r="P662" s="24" t="s">
        <v>1886</v>
      </c>
      <c r="Q662" s="3"/>
      <c r="R662" s="173">
        <v>45569</v>
      </c>
      <c r="S662" s="173"/>
      <c r="T662" s="173">
        <v>45569</v>
      </c>
      <c r="U662" s="173"/>
      <c r="V662" s="173">
        <v>45562</v>
      </c>
      <c r="W662" s="3">
        <f>VLOOKUP(Table1[[#This Row],[Status]],Auxiliar!$B$16:$D$23,3,0)*Table1[[#This Row],[Estimação (horas)]]</f>
        <v>0.5</v>
      </c>
      <c r="X662" s="3"/>
    </row>
    <row r="663" spans="2:24" ht="52.2" customHeight="1">
      <c r="B663" s="3" t="s">
        <v>28</v>
      </c>
      <c r="C663" s="3" t="s">
        <v>301</v>
      </c>
      <c r="D663" s="3" t="s">
        <v>303</v>
      </c>
      <c r="E663" s="3" t="s">
        <v>38</v>
      </c>
      <c r="F663" s="3" t="s">
        <v>302</v>
      </c>
      <c r="G663" s="3" t="s">
        <v>308</v>
      </c>
      <c r="H663" s="63" t="str">
        <f>Table1[[#This Row],[Tabela]]&amp;Table1[[#This Row],[Campo]]</f>
        <v>modesg_out_bens_imoveisorigem_scp3_emss</v>
      </c>
      <c r="I663" s="3" t="s">
        <v>479</v>
      </c>
      <c r="J663" s="45">
        <f>VLOOKUP(Table1[[#This Row],[Status]],Auxiliar!$B$16:$C$23,2,0)</f>
        <v>4</v>
      </c>
      <c r="K663" s="3" t="s">
        <v>1141</v>
      </c>
      <c r="L663" s="3" t="s">
        <v>1144</v>
      </c>
      <c r="M663" s="22" t="s">
        <v>1145</v>
      </c>
      <c r="N663" s="53">
        <v>45569</v>
      </c>
      <c r="O663" s="22">
        <f>INDEX(Auxiliar!$D$5:$F$13,MATCH(Table1[[#This Row],[Tipologia_Testes]],Auxiliar!$B$5:$B$13,0),MATCH(Table1[[#This Row],[Complexidade]],Auxiliar!$D$4:$F$4,0))</f>
        <v>0.1</v>
      </c>
      <c r="P663" s="24" t="s">
        <v>1886</v>
      </c>
      <c r="Q663" s="3"/>
      <c r="R663" s="173">
        <v>45569</v>
      </c>
      <c r="S663" s="173"/>
      <c r="T663" s="173">
        <v>45569</v>
      </c>
      <c r="U663" s="173"/>
      <c r="V663" s="173">
        <v>45562</v>
      </c>
      <c r="W663" s="3">
        <f>VLOOKUP(Table1[[#This Row],[Status]],Auxiliar!$B$16:$D$23,3,0)*Table1[[#This Row],[Estimação (horas)]]</f>
        <v>2.5000000000000001E-2</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customHeight="1">
      <c r="B667" s="3" t="s">
        <v>28</v>
      </c>
      <c r="C667" s="3" t="s">
        <v>301</v>
      </c>
      <c r="D667" s="3" t="s">
        <v>303</v>
      </c>
      <c r="E667" s="3" t="s">
        <v>38</v>
      </c>
      <c r="F667" s="3" t="s">
        <v>302</v>
      </c>
      <c r="G667" s="3" t="s">
        <v>276</v>
      </c>
      <c r="H667" s="63" t="str">
        <f>Table1[[#This Row],[Tabela]]&amp;Table1[[#This Row],[Campo]]</f>
        <v>modesg_out_bens_imoveisscp1_emss</v>
      </c>
      <c r="I667" s="3" t="s">
        <v>479</v>
      </c>
      <c r="J667" s="45">
        <f>VLOOKUP(Table1[[#This Row],[Status]],Auxiliar!$B$16:$C$23,2,0)</f>
        <v>4</v>
      </c>
      <c r="K667" s="3" t="s">
        <v>1137</v>
      </c>
      <c r="L667" s="3" t="s">
        <v>1135</v>
      </c>
      <c r="M667" s="22" t="s">
        <v>1155</v>
      </c>
      <c r="N667" s="53">
        <v>45569</v>
      </c>
      <c r="O667" s="22">
        <f>INDEX(Auxiliar!$D$5:$F$13,MATCH(Table1[[#This Row],[Tipologia_Testes]],Auxiliar!$B$5:$B$13,0),MATCH(Table1[[#This Row],[Complexidade]],Auxiliar!$D$4:$F$4,0))</f>
        <v>4</v>
      </c>
      <c r="P667" s="24" t="s">
        <v>1886</v>
      </c>
      <c r="Q667" s="3"/>
      <c r="R667" s="173">
        <v>45569</v>
      </c>
      <c r="S667" s="173"/>
      <c r="T667" s="173">
        <v>45569</v>
      </c>
      <c r="U667" s="173"/>
      <c r="V667" s="173">
        <v>45562</v>
      </c>
      <c r="W667" s="3">
        <f>VLOOKUP(Table1[[#This Row],[Status]],Auxiliar!$B$16:$D$23,3,0)*Table1[[#This Row],[Estimação (horas)]]</f>
        <v>1</v>
      </c>
      <c r="X667" s="3"/>
    </row>
    <row r="668" spans="2:24" ht="69.599999999999994" customHeight="1">
      <c r="B668" s="3" t="s">
        <v>28</v>
      </c>
      <c r="C668" s="3" t="s">
        <v>301</v>
      </c>
      <c r="D668" s="3" t="s">
        <v>303</v>
      </c>
      <c r="E668" s="3" t="s">
        <v>38</v>
      </c>
      <c r="F668" s="3" t="s">
        <v>302</v>
      </c>
      <c r="G668" s="3" t="s">
        <v>276</v>
      </c>
      <c r="H668" s="63" t="str">
        <f>Table1[[#This Row],[Tabela]]&amp;Table1[[#This Row],[Campo]]</f>
        <v>modesg_out_bens_imoveisscp1_emss</v>
      </c>
      <c r="I668" s="3" t="s">
        <v>479</v>
      </c>
      <c r="J668" s="45">
        <f>VLOOKUP(Table1[[#This Row],[Status]],Auxiliar!$B$16:$C$23,2,0)</f>
        <v>4</v>
      </c>
      <c r="K668" s="3" t="s">
        <v>1138</v>
      </c>
      <c r="L668" s="3" t="s">
        <v>1135</v>
      </c>
      <c r="M668" s="22" t="s">
        <v>1155</v>
      </c>
      <c r="N668" s="53">
        <v>45569</v>
      </c>
      <c r="O668" s="22">
        <f>INDEX(Auxiliar!$D$5:$F$13,MATCH(Table1[[#This Row],[Tipologia_Testes]],Auxiliar!$B$5:$B$13,0),MATCH(Table1[[#This Row],[Complexidade]],Auxiliar!$D$4:$F$4,0))</f>
        <v>4</v>
      </c>
      <c r="P668" s="24" t="s">
        <v>1886</v>
      </c>
      <c r="Q668" s="3"/>
      <c r="R668" s="173">
        <v>45569</v>
      </c>
      <c r="S668" s="173"/>
      <c r="T668" s="173">
        <v>45569</v>
      </c>
      <c r="U668" s="173"/>
      <c r="V668" s="173">
        <v>45562</v>
      </c>
      <c r="W668" s="3">
        <f>VLOOKUP(Table1[[#This Row],[Status]],Auxiliar!$B$16:$D$23,3,0)*Table1[[#This Row],[Estimação (horas)]]</f>
        <v>1</v>
      </c>
      <c r="X668" s="3"/>
    </row>
    <row r="669" spans="2:24" ht="69.599999999999994" customHeight="1">
      <c r="B669" s="3" t="s">
        <v>28</v>
      </c>
      <c r="C669" s="3" t="s">
        <v>301</v>
      </c>
      <c r="D669" s="3" t="s">
        <v>303</v>
      </c>
      <c r="E669" s="3" t="s">
        <v>38</v>
      </c>
      <c r="F669" s="3" t="s">
        <v>302</v>
      </c>
      <c r="G669" s="3" t="s">
        <v>276</v>
      </c>
      <c r="H669" s="63" t="str">
        <f>Table1[[#This Row],[Tabela]]&amp;Table1[[#This Row],[Campo]]</f>
        <v>modesg_out_bens_imoveisscp1_emss</v>
      </c>
      <c r="I669" s="3" t="s">
        <v>479</v>
      </c>
      <c r="J669" s="45">
        <f>VLOOKUP(Table1[[#This Row],[Status]],Auxiliar!$B$16:$C$23,2,0)</f>
        <v>4</v>
      </c>
      <c r="K669" s="3" t="s">
        <v>1141</v>
      </c>
      <c r="L669" s="3" t="s">
        <v>1135</v>
      </c>
      <c r="M669" s="22" t="s">
        <v>1155</v>
      </c>
      <c r="N669" s="53">
        <v>45569</v>
      </c>
      <c r="O669" s="22">
        <f>INDEX(Auxiliar!$D$5:$F$13,MATCH(Table1[[#This Row],[Tipologia_Testes]],Auxiliar!$B$5:$B$13,0),MATCH(Table1[[#This Row],[Complexidade]],Auxiliar!$D$4:$F$4,0))</f>
        <v>0.1</v>
      </c>
      <c r="P669" s="24" t="s">
        <v>1886</v>
      </c>
      <c r="Q669" s="3"/>
      <c r="R669" s="173">
        <v>45569</v>
      </c>
      <c r="S669" s="173"/>
      <c r="T669" s="173">
        <v>45569</v>
      </c>
      <c r="U669" s="173"/>
      <c r="V669" s="173">
        <v>45562</v>
      </c>
      <c r="W669" s="3">
        <f>VLOOKUP(Table1[[#This Row],[Status]],Auxiliar!$B$16:$D$23,3,0)*Table1[[#This Row],[Estimação (horas)]]</f>
        <v>2.5000000000000001E-2</v>
      </c>
      <c r="X669" s="3"/>
    </row>
    <row r="670" spans="2:24" ht="69.599999999999994" customHeight="1">
      <c r="B670" s="3" t="s">
        <v>28</v>
      </c>
      <c r="C670" s="3" t="s">
        <v>301</v>
      </c>
      <c r="D670" s="3" t="s">
        <v>303</v>
      </c>
      <c r="E670" s="3" t="s">
        <v>38</v>
      </c>
      <c r="F670" s="3" t="s">
        <v>302</v>
      </c>
      <c r="G670" s="3" t="s">
        <v>277</v>
      </c>
      <c r="H670" s="63" t="str">
        <f>Table1[[#This Row],[Tabela]]&amp;Table1[[#This Row],[Campo]]</f>
        <v>modesg_out_bens_imoveisscp2_emss</v>
      </c>
      <c r="I670" s="3" t="s">
        <v>479</v>
      </c>
      <c r="J670" s="45">
        <f>VLOOKUP(Table1[[#This Row],[Status]],Auxiliar!$B$16:$C$23,2,0)</f>
        <v>4</v>
      </c>
      <c r="K670" s="3" t="s">
        <v>1137</v>
      </c>
      <c r="L670" s="3" t="s">
        <v>1135</v>
      </c>
      <c r="M670" s="22" t="s">
        <v>1155</v>
      </c>
      <c r="N670" s="53">
        <v>45569</v>
      </c>
      <c r="O670" s="22">
        <f>INDEX(Auxiliar!$D$5:$F$13,MATCH(Table1[[#This Row],[Tipologia_Testes]],Auxiliar!$B$5:$B$13,0),MATCH(Table1[[#This Row],[Complexidade]],Auxiliar!$D$4:$F$4,0))</f>
        <v>4</v>
      </c>
      <c r="P670" s="24" t="s">
        <v>1886</v>
      </c>
      <c r="Q670" s="3"/>
      <c r="R670" s="173">
        <v>45569</v>
      </c>
      <c r="S670" s="173"/>
      <c r="T670" s="173">
        <v>45569</v>
      </c>
      <c r="U670" s="173"/>
      <c r="V670" s="173">
        <v>45562</v>
      </c>
      <c r="W670" s="3">
        <f>VLOOKUP(Table1[[#This Row],[Status]],Auxiliar!$B$16:$D$23,3,0)*Table1[[#This Row],[Estimação (horas)]]</f>
        <v>1</v>
      </c>
      <c r="X670" s="3"/>
    </row>
    <row r="671" spans="2:24" ht="69.599999999999994" customHeight="1">
      <c r="B671" s="3" t="s">
        <v>28</v>
      </c>
      <c r="C671" s="3" t="s">
        <v>301</v>
      </c>
      <c r="D671" s="3" t="s">
        <v>303</v>
      </c>
      <c r="E671" s="3" t="s">
        <v>38</v>
      </c>
      <c r="F671" s="3" t="s">
        <v>302</v>
      </c>
      <c r="G671" s="3" t="s">
        <v>277</v>
      </c>
      <c r="H671" s="63" t="str">
        <f>Table1[[#This Row],[Tabela]]&amp;Table1[[#This Row],[Campo]]</f>
        <v>modesg_out_bens_imoveisscp2_emss</v>
      </c>
      <c r="I671" s="3" t="s">
        <v>479</v>
      </c>
      <c r="J671" s="45">
        <f>VLOOKUP(Table1[[#This Row],[Status]],Auxiliar!$B$16:$C$23,2,0)</f>
        <v>4</v>
      </c>
      <c r="K671" s="3" t="s">
        <v>1138</v>
      </c>
      <c r="L671" s="3" t="s">
        <v>1135</v>
      </c>
      <c r="M671" s="22" t="s">
        <v>1155</v>
      </c>
      <c r="N671" s="53">
        <v>45569</v>
      </c>
      <c r="O671" s="22">
        <f>INDEX(Auxiliar!$D$5:$F$13,MATCH(Table1[[#This Row],[Tipologia_Testes]],Auxiliar!$B$5:$B$13,0),MATCH(Table1[[#This Row],[Complexidade]],Auxiliar!$D$4:$F$4,0))</f>
        <v>4</v>
      </c>
      <c r="P671" s="24" t="s">
        <v>1886</v>
      </c>
      <c r="Q671" s="3"/>
      <c r="R671" s="173">
        <v>45569</v>
      </c>
      <c r="S671" s="173"/>
      <c r="T671" s="173">
        <v>45569</v>
      </c>
      <c r="U671" s="173"/>
      <c r="V671" s="173">
        <v>45562</v>
      </c>
      <c r="W671" s="3">
        <f>VLOOKUP(Table1[[#This Row],[Status]],Auxiliar!$B$16:$D$23,3,0)*Table1[[#This Row],[Estimação (horas)]]</f>
        <v>1</v>
      </c>
      <c r="X671" s="3"/>
    </row>
    <row r="672" spans="2:24" ht="69.599999999999994" customHeight="1">
      <c r="B672" s="3" t="s">
        <v>28</v>
      </c>
      <c r="C672" s="3" t="s">
        <v>301</v>
      </c>
      <c r="D672" s="3" t="s">
        <v>303</v>
      </c>
      <c r="E672" s="3" t="s">
        <v>38</v>
      </c>
      <c r="F672" s="3" t="s">
        <v>302</v>
      </c>
      <c r="G672" s="3" t="s">
        <v>277</v>
      </c>
      <c r="H672" s="63" t="str">
        <f>Table1[[#This Row],[Tabela]]&amp;Table1[[#This Row],[Campo]]</f>
        <v>modesg_out_bens_imoveisscp2_emss</v>
      </c>
      <c r="I672" s="3" t="s">
        <v>479</v>
      </c>
      <c r="J672" s="45">
        <f>VLOOKUP(Table1[[#This Row],[Status]],Auxiliar!$B$16:$C$23,2,0)</f>
        <v>4</v>
      </c>
      <c r="K672" s="3" t="s">
        <v>1141</v>
      </c>
      <c r="L672" s="3" t="s">
        <v>1135</v>
      </c>
      <c r="M672" s="22" t="s">
        <v>1155</v>
      </c>
      <c r="N672" s="53">
        <v>45569</v>
      </c>
      <c r="O672" s="22">
        <f>INDEX(Auxiliar!$D$5:$F$13,MATCH(Table1[[#This Row],[Tipologia_Testes]],Auxiliar!$B$5:$B$13,0),MATCH(Table1[[#This Row],[Complexidade]],Auxiliar!$D$4:$F$4,0))</f>
        <v>0.1</v>
      </c>
      <c r="P672" s="24" t="s">
        <v>1886</v>
      </c>
      <c r="Q672" s="3"/>
      <c r="R672" s="173">
        <v>45569</v>
      </c>
      <c r="S672" s="173"/>
      <c r="T672" s="173">
        <v>45569</v>
      </c>
      <c r="U672" s="173"/>
      <c r="V672" s="173">
        <v>45562</v>
      </c>
      <c r="W672" s="3">
        <f>VLOOKUP(Table1[[#This Row],[Status]],Auxiliar!$B$16:$D$23,3,0)*Table1[[#This Row],[Estimação (horas)]]</f>
        <v>2.5000000000000001E-2</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customHeight="1">
      <c r="B676" s="3" t="s">
        <v>28</v>
      </c>
      <c r="C676" s="3" t="s">
        <v>301</v>
      </c>
      <c r="D676" s="3" t="s">
        <v>303</v>
      </c>
      <c r="E676" s="3" t="s">
        <v>38</v>
      </c>
      <c r="F676" s="3" t="s">
        <v>302</v>
      </c>
      <c r="G676" s="3" t="s">
        <v>309</v>
      </c>
      <c r="H676" s="63" t="str">
        <f>Table1[[#This Row],[Tabela]]&amp;Table1[[#This Row],[Campo]]</f>
        <v>modesg_out_bens_imoveisunidade_funcional_scp1_emss</v>
      </c>
      <c r="I676" s="3" t="s">
        <v>479</v>
      </c>
      <c r="J676" s="45">
        <f>VLOOKUP(Table1[[#This Row],[Status]],Auxiliar!$B$16:$C$23,2,0)</f>
        <v>4</v>
      </c>
      <c r="K676" s="3" t="s">
        <v>1137</v>
      </c>
      <c r="L676" s="3" t="s">
        <v>1135</v>
      </c>
      <c r="M676" s="22" t="s">
        <v>1145</v>
      </c>
      <c r="N676" s="53">
        <v>45569</v>
      </c>
      <c r="O676" s="22">
        <f>INDEX(Auxiliar!$D$5:$F$13,MATCH(Table1[[#This Row],[Tipologia_Testes]],Auxiliar!$B$5:$B$13,0),MATCH(Table1[[#This Row],[Complexidade]],Auxiliar!$D$4:$F$4,0))</f>
        <v>2</v>
      </c>
      <c r="P676" s="24" t="s">
        <v>1886</v>
      </c>
      <c r="Q676" s="3"/>
      <c r="R676" s="173">
        <v>45569</v>
      </c>
      <c r="S676" s="173"/>
      <c r="T676" s="173">
        <v>45569</v>
      </c>
      <c r="U676" s="173"/>
      <c r="V676" s="173"/>
      <c r="W676" s="3">
        <f>VLOOKUP(Table1[[#This Row],[Status]],Auxiliar!$B$16:$D$23,3,0)*Table1[[#This Row],[Estimação (horas)]]</f>
        <v>0.5</v>
      </c>
      <c r="X676" s="3"/>
    </row>
    <row r="677" spans="2:24" ht="52.2" customHeight="1">
      <c r="B677" s="3" t="s">
        <v>28</v>
      </c>
      <c r="C677" s="3" t="s">
        <v>301</v>
      </c>
      <c r="D677" s="3" t="s">
        <v>303</v>
      </c>
      <c r="E677" s="3" t="s">
        <v>38</v>
      </c>
      <c r="F677" s="3" t="s">
        <v>302</v>
      </c>
      <c r="G677" s="3" t="s">
        <v>309</v>
      </c>
      <c r="H677" s="63" t="str">
        <f>Table1[[#This Row],[Tabela]]&amp;Table1[[#This Row],[Campo]]</f>
        <v>modesg_out_bens_imoveisunidade_funcional_scp1_emss</v>
      </c>
      <c r="I677" s="3" t="s">
        <v>479</v>
      </c>
      <c r="J677" s="45">
        <f>VLOOKUP(Table1[[#This Row],[Status]],Auxiliar!$B$16:$C$23,2,0)</f>
        <v>4</v>
      </c>
      <c r="K677" s="3" t="s">
        <v>1138</v>
      </c>
      <c r="L677" s="3" t="s">
        <v>1135</v>
      </c>
      <c r="M677" s="22" t="s">
        <v>1145</v>
      </c>
      <c r="N677" s="53">
        <v>45569</v>
      </c>
      <c r="O677" s="22">
        <f>INDEX(Auxiliar!$D$5:$F$13,MATCH(Table1[[#This Row],[Tipologia_Testes]],Auxiliar!$B$5:$B$13,0),MATCH(Table1[[#This Row],[Complexidade]],Auxiliar!$D$4:$F$4,0))</f>
        <v>2</v>
      </c>
      <c r="P677" s="24" t="s">
        <v>1886</v>
      </c>
      <c r="Q677" s="3"/>
      <c r="R677" s="173">
        <v>45569</v>
      </c>
      <c r="S677" s="173"/>
      <c r="T677" s="173">
        <v>45569</v>
      </c>
      <c r="U677" s="173"/>
      <c r="V677" s="173"/>
      <c r="W677" s="3">
        <f>VLOOKUP(Table1[[#This Row],[Status]],Auxiliar!$B$16:$D$23,3,0)*Table1[[#This Row],[Estimação (horas)]]</f>
        <v>0.5</v>
      </c>
      <c r="X677" s="3"/>
    </row>
    <row r="678" spans="2:24" ht="52.2" customHeight="1">
      <c r="B678" s="3" t="s">
        <v>28</v>
      </c>
      <c r="C678" s="3" t="s">
        <v>301</v>
      </c>
      <c r="D678" s="3" t="s">
        <v>303</v>
      </c>
      <c r="E678" s="3" t="s">
        <v>38</v>
      </c>
      <c r="F678" s="3" t="s">
        <v>302</v>
      </c>
      <c r="G678" s="3" t="s">
        <v>309</v>
      </c>
      <c r="H678" s="63" t="str">
        <f>Table1[[#This Row],[Tabela]]&amp;Table1[[#This Row],[Campo]]</f>
        <v>modesg_out_bens_imoveisunidade_funcional_scp1_emss</v>
      </c>
      <c r="I678" s="3" t="s">
        <v>479</v>
      </c>
      <c r="J678" s="45">
        <f>VLOOKUP(Table1[[#This Row],[Status]],Auxiliar!$B$16:$C$23,2,0)</f>
        <v>4</v>
      </c>
      <c r="K678" s="3" t="s">
        <v>1141</v>
      </c>
      <c r="L678" s="3" t="s">
        <v>1135</v>
      </c>
      <c r="M678" s="22" t="s">
        <v>1145</v>
      </c>
      <c r="N678" s="53">
        <v>45569</v>
      </c>
      <c r="O678" s="22">
        <f>INDEX(Auxiliar!$D$5:$F$13,MATCH(Table1[[#This Row],[Tipologia_Testes]],Auxiliar!$B$5:$B$13,0),MATCH(Table1[[#This Row],[Complexidade]],Auxiliar!$D$4:$F$4,0))</f>
        <v>0.1</v>
      </c>
      <c r="P678" s="24" t="s">
        <v>1886</v>
      </c>
      <c r="Q678" s="3"/>
      <c r="R678" s="173">
        <v>45569</v>
      </c>
      <c r="S678" s="173"/>
      <c r="T678" s="173">
        <v>45569</v>
      </c>
      <c r="U678" s="173"/>
      <c r="V678" s="173"/>
      <c r="W678" s="3">
        <f>VLOOKUP(Table1[[#This Row],[Status]],Auxiliar!$B$16:$D$23,3,0)*Table1[[#This Row],[Estimação (horas)]]</f>
        <v>2.5000000000000001E-2</v>
      </c>
      <c r="X678" s="3"/>
    </row>
    <row r="679" spans="2:24" ht="52.2" customHeight="1">
      <c r="B679" s="3" t="s">
        <v>28</v>
      </c>
      <c r="C679" s="3" t="s">
        <v>301</v>
      </c>
      <c r="D679" s="3" t="s">
        <v>303</v>
      </c>
      <c r="E679" s="3" t="s">
        <v>38</v>
      </c>
      <c r="F679" s="3" t="s">
        <v>302</v>
      </c>
      <c r="G679" s="3" t="s">
        <v>310</v>
      </c>
      <c r="H679" s="63" t="str">
        <f>Table1[[#This Row],[Tabela]]&amp;Table1[[#This Row],[Campo]]</f>
        <v>modesg_out_bens_imoveisunidade_funcional_scp2_emss</v>
      </c>
      <c r="I679" s="3" t="s">
        <v>479</v>
      </c>
      <c r="J679" s="45">
        <f>VLOOKUP(Table1[[#This Row],[Status]],Auxiliar!$B$16:$C$23,2,0)</f>
        <v>4</v>
      </c>
      <c r="K679" s="3" t="s">
        <v>1137</v>
      </c>
      <c r="L679" s="3" t="s">
        <v>1135</v>
      </c>
      <c r="M679" s="22" t="s">
        <v>1145</v>
      </c>
      <c r="N679" s="53">
        <v>45569</v>
      </c>
      <c r="O679" s="22">
        <f>INDEX(Auxiliar!$D$5:$F$13,MATCH(Table1[[#This Row],[Tipologia_Testes]],Auxiliar!$B$5:$B$13,0),MATCH(Table1[[#This Row],[Complexidade]],Auxiliar!$D$4:$F$4,0))</f>
        <v>2</v>
      </c>
      <c r="P679" s="24" t="s">
        <v>1886</v>
      </c>
      <c r="Q679" s="3"/>
      <c r="R679" s="173">
        <v>45569</v>
      </c>
      <c r="S679" s="173"/>
      <c r="T679" s="173">
        <v>45569</v>
      </c>
      <c r="U679" s="173"/>
      <c r="V679" s="173"/>
      <c r="W679" s="3">
        <f>VLOOKUP(Table1[[#This Row],[Status]],Auxiliar!$B$16:$D$23,3,0)*Table1[[#This Row],[Estimação (horas)]]</f>
        <v>0.5</v>
      </c>
      <c r="X679" s="3"/>
    </row>
    <row r="680" spans="2:24" ht="52.2" customHeight="1">
      <c r="B680" s="3" t="s">
        <v>28</v>
      </c>
      <c r="C680" s="3" t="s">
        <v>301</v>
      </c>
      <c r="D680" s="3" t="s">
        <v>303</v>
      </c>
      <c r="E680" s="3" t="s">
        <v>38</v>
      </c>
      <c r="F680" s="3" t="s">
        <v>302</v>
      </c>
      <c r="G680" s="3" t="s">
        <v>310</v>
      </c>
      <c r="H680" s="63" t="str">
        <f>Table1[[#This Row],[Tabela]]&amp;Table1[[#This Row],[Campo]]</f>
        <v>modesg_out_bens_imoveisunidade_funcional_scp2_emss</v>
      </c>
      <c r="I680" s="3" t="s">
        <v>479</v>
      </c>
      <c r="J680" s="45">
        <f>VLOOKUP(Table1[[#This Row],[Status]],Auxiliar!$B$16:$C$23,2,0)</f>
        <v>4</v>
      </c>
      <c r="K680" s="3" t="s">
        <v>1138</v>
      </c>
      <c r="L680" s="3" t="s">
        <v>1135</v>
      </c>
      <c r="M680" s="22" t="s">
        <v>1145</v>
      </c>
      <c r="N680" s="53">
        <v>45569</v>
      </c>
      <c r="O680" s="22">
        <f>INDEX(Auxiliar!$D$5:$F$13,MATCH(Table1[[#This Row],[Tipologia_Testes]],Auxiliar!$B$5:$B$13,0),MATCH(Table1[[#This Row],[Complexidade]],Auxiliar!$D$4:$F$4,0))</f>
        <v>2</v>
      </c>
      <c r="P680" s="24" t="s">
        <v>1886</v>
      </c>
      <c r="Q680" s="3"/>
      <c r="R680" s="173">
        <v>45569</v>
      </c>
      <c r="S680" s="173"/>
      <c r="T680" s="173">
        <v>45569</v>
      </c>
      <c r="U680" s="173"/>
      <c r="V680" s="173"/>
      <c r="W680" s="3">
        <f>VLOOKUP(Table1[[#This Row],[Status]],Auxiliar!$B$16:$D$23,3,0)*Table1[[#This Row],[Estimação (horas)]]</f>
        <v>0.5</v>
      </c>
      <c r="X680" s="3"/>
    </row>
    <row r="681" spans="2:24" ht="52.2" customHeight="1">
      <c r="B681" s="3" t="s">
        <v>28</v>
      </c>
      <c r="C681" s="3" t="s">
        <v>301</v>
      </c>
      <c r="D681" s="3" t="s">
        <v>303</v>
      </c>
      <c r="E681" s="3" t="s">
        <v>38</v>
      </c>
      <c r="F681" s="3" t="s">
        <v>302</v>
      </c>
      <c r="G681" s="3" t="s">
        <v>310</v>
      </c>
      <c r="H681" s="63" t="str">
        <f>Table1[[#This Row],[Tabela]]&amp;Table1[[#This Row],[Campo]]</f>
        <v>modesg_out_bens_imoveisunidade_funcional_scp2_emss</v>
      </c>
      <c r="I681" s="3" t="s">
        <v>479</v>
      </c>
      <c r="J681" s="45">
        <f>VLOOKUP(Table1[[#This Row],[Status]],Auxiliar!$B$16:$C$23,2,0)</f>
        <v>4</v>
      </c>
      <c r="K681" s="3" t="s">
        <v>1141</v>
      </c>
      <c r="L681" s="3" t="s">
        <v>1135</v>
      </c>
      <c r="M681" s="22" t="s">
        <v>1145</v>
      </c>
      <c r="N681" s="53">
        <v>45569</v>
      </c>
      <c r="O681" s="22">
        <f>INDEX(Auxiliar!$D$5:$F$13,MATCH(Table1[[#This Row],[Tipologia_Testes]],Auxiliar!$B$5:$B$13,0),MATCH(Table1[[#This Row],[Complexidade]],Auxiliar!$D$4:$F$4,0))</f>
        <v>0.1</v>
      </c>
      <c r="P681" s="24" t="s">
        <v>1886</v>
      </c>
      <c r="Q681" s="3"/>
      <c r="R681" s="173">
        <v>45569</v>
      </c>
      <c r="S681" s="173"/>
      <c r="T681" s="173">
        <v>45569</v>
      </c>
      <c r="U681" s="173"/>
      <c r="V681" s="173"/>
      <c r="W681" s="3">
        <f>VLOOKUP(Table1[[#This Row],[Status]],Auxiliar!$B$16:$D$23,3,0)*Table1[[#This Row],[Estimação (horas)]]</f>
        <v>2.5000000000000001E-2</v>
      </c>
      <c r="X681" s="3"/>
    </row>
    <row r="682" spans="2:24" ht="52.2" customHeight="1">
      <c r="B682" s="3" t="s">
        <v>28</v>
      </c>
      <c r="C682" s="3" t="s">
        <v>301</v>
      </c>
      <c r="D682" s="3" t="s">
        <v>303</v>
      </c>
      <c r="E682" s="3" t="s">
        <v>38</v>
      </c>
      <c r="F682" s="3" t="s">
        <v>302</v>
      </c>
      <c r="G682" s="3" t="s">
        <v>311</v>
      </c>
      <c r="H682" s="63" t="str">
        <f>Table1[[#This Row],[Tabela]]&amp;Table1[[#This Row],[Campo]]</f>
        <v>modesg_out_bens_imoveisunidade_funcional_scp3_emss</v>
      </c>
      <c r="I682" s="3" t="s">
        <v>479</v>
      </c>
      <c r="J682" s="45">
        <f>VLOOKUP(Table1[[#This Row],[Status]],Auxiliar!$B$16:$C$23,2,0)</f>
        <v>4</v>
      </c>
      <c r="K682" s="3" t="s">
        <v>1137</v>
      </c>
      <c r="L682" s="3" t="s">
        <v>1135</v>
      </c>
      <c r="M682" s="22" t="s">
        <v>1145</v>
      </c>
      <c r="N682" s="53">
        <v>45569</v>
      </c>
      <c r="O682" s="22">
        <f>INDEX(Auxiliar!$D$5:$F$13,MATCH(Table1[[#This Row],[Tipologia_Testes]],Auxiliar!$B$5:$B$13,0),MATCH(Table1[[#This Row],[Complexidade]],Auxiliar!$D$4:$F$4,0))</f>
        <v>2</v>
      </c>
      <c r="P682" s="24" t="s">
        <v>1886</v>
      </c>
      <c r="Q682" s="3"/>
      <c r="R682" s="173">
        <v>45569</v>
      </c>
      <c r="S682" s="173"/>
      <c r="T682" s="173">
        <v>45569</v>
      </c>
      <c r="U682" s="173"/>
      <c r="V682" s="173"/>
      <c r="W682" s="3">
        <f>VLOOKUP(Table1[[#This Row],[Status]],Auxiliar!$B$16:$D$23,3,0)*Table1[[#This Row],[Estimação (horas)]]</f>
        <v>0.5</v>
      </c>
      <c r="X682" s="3"/>
    </row>
    <row r="683" spans="2:24" ht="52.2" customHeight="1">
      <c r="B683" s="3" t="s">
        <v>28</v>
      </c>
      <c r="C683" s="3" t="s">
        <v>301</v>
      </c>
      <c r="D683" s="3" t="s">
        <v>303</v>
      </c>
      <c r="E683" s="3" t="s">
        <v>38</v>
      </c>
      <c r="F683" s="3" t="s">
        <v>302</v>
      </c>
      <c r="G683" s="3" t="s">
        <v>311</v>
      </c>
      <c r="H683" s="63" t="str">
        <f>Table1[[#This Row],[Tabela]]&amp;Table1[[#This Row],[Campo]]</f>
        <v>modesg_out_bens_imoveisunidade_funcional_scp3_emss</v>
      </c>
      <c r="I683" s="3" t="s">
        <v>479</v>
      </c>
      <c r="J683" s="45">
        <f>VLOOKUP(Table1[[#This Row],[Status]],Auxiliar!$B$16:$C$23,2,0)</f>
        <v>4</v>
      </c>
      <c r="K683" s="3" t="s">
        <v>1138</v>
      </c>
      <c r="L683" s="3" t="s">
        <v>1135</v>
      </c>
      <c r="M683" s="22" t="s">
        <v>1145</v>
      </c>
      <c r="N683" s="53">
        <v>45569</v>
      </c>
      <c r="O683" s="22">
        <f>INDEX(Auxiliar!$D$5:$F$13,MATCH(Table1[[#This Row],[Tipologia_Testes]],Auxiliar!$B$5:$B$13,0),MATCH(Table1[[#This Row],[Complexidade]],Auxiliar!$D$4:$F$4,0))</f>
        <v>2</v>
      </c>
      <c r="P683" s="24" t="s">
        <v>1886</v>
      </c>
      <c r="Q683" s="3"/>
      <c r="R683" s="173">
        <v>45569</v>
      </c>
      <c r="S683" s="173"/>
      <c r="T683" s="173">
        <v>45569</v>
      </c>
      <c r="U683" s="173"/>
      <c r="V683" s="173"/>
      <c r="W683" s="3">
        <f>VLOOKUP(Table1[[#This Row],[Status]],Auxiliar!$B$16:$D$23,3,0)*Table1[[#This Row],[Estimação (horas)]]</f>
        <v>0.5</v>
      </c>
      <c r="X683" s="3"/>
    </row>
    <row r="684" spans="2:24" ht="52.2" customHeight="1">
      <c r="B684" s="3" t="s">
        <v>28</v>
      </c>
      <c r="C684" s="3" t="s">
        <v>301</v>
      </c>
      <c r="D684" s="3" t="s">
        <v>303</v>
      </c>
      <c r="E684" s="3" t="s">
        <v>38</v>
      </c>
      <c r="F684" s="3" t="s">
        <v>302</v>
      </c>
      <c r="G684" s="3" t="s">
        <v>311</v>
      </c>
      <c r="H684" s="63" t="str">
        <f>Table1[[#This Row],[Tabela]]&amp;Table1[[#This Row],[Campo]]</f>
        <v>modesg_out_bens_imoveisunidade_funcional_scp3_emss</v>
      </c>
      <c r="I684" s="3" t="s">
        <v>479</v>
      </c>
      <c r="J684" s="45">
        <f>VLOOKUP(Table1[[#This Row],[Status]],Auxiliar!$B$16:$C$23,2,0)</f>
        <v>4</v>
      </c>
      <c r="K684" s="3" t="s">
        <v>1141</v>
      </c>
      <c r="L684" s="3" t="s">
        <v>1135</v>
      </c>
      <c r="M684" s="22" t="s">
        <v>1145</v>
      </c>
      <c r="N684" s="53">
        <v>45569</v>
      </c>
      <c r="O684" s="22">
        <f>INDEX(Auxiliar!$D$5:$F$13,MATCH(Table1[[#This Row],[Tipologia_Testes]],Auxiliar!$B$5:$B$13,0),MATCH(Table1[[#This Row],[Complexidade]],Auxiliar!$D$4:$F$4,0))</f>
        <v>0.1</v>
      </c>
      <c r="P684" s="24" t="s">
        <v>1886</v>
      </c>
      <c r="Q684" s="3"/>
      <c r="R684" s="173">
        <v>45569</v>
      </c>
      <c r="S684" s="173"/>
      <c r="T684" s="173">
        <v>45569</v>
      </c>
      <c r="U684" s="173"/>
      <c r="V684" s="173"/>
      <c r="W684" s="3">
        <f>VLOOKUP(Table1[[#This Row],[Status]],Auxiliar!$B$16:$D$23,3,0)*Table1[[#This Row],[Estimação (horas)]]</f>
        <v>2.5000000000000001E-2</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1882</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1882</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1882</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1882</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1882</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1882</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482</v>
      </c>
      <c r="J737" s="45">
        <f>VLOOKUP(Table1[[#This Row],[Status]],Auxiliar!$B$16:$C$23,2,0)</f>
        <v>6</v>
      </c>
      <c r="K737" s="3" t="s">
        <v>1137</v>
      </c>
      <c r="L737" s="3" t="s">
        <v>1135</v>
      </c>
      <c r="M737" s="22" t="s">
        <v>1136</v>
      </c>
      <c r="N737" s="53">
        <v>45569</v>
      </c>
      <c r="O737" s="22">
        <f>INDEX(Auxiliar!$D$5:$F$13,MATCH(Table1[[#This Row],[Tipologia_Testes]],Auxiliar!$B$5:$B$13,0),MATCH(Table1[[#This Row],[Complexidade]],Auxiliar!$D$4:$F$4,0))</f>
        <v>8</v>
      </c>
      <c r="P737" s="3"/>
      <c r="Q737" s="3"/>
      <c r="R737" s="173">
        <v>45569</v>
      </c>
      <c r="S737" s="173"/>
      <c r="T737" s="173">
        <v>45569</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482</v>
      </c>
      <c r="J738" s="45">
        <f>VLOOKUP(Table1[[#This Row],[Status]],Auxiliar!$B$16:$C$23,2,0)</f>
        <v>6</v>
      </c>
      <c r="K738" s="3" t="s">
        <v>1138</v>
      </c>
      <c r="L738" s="3" t="s">
        <v>1135</v>
      </c>
      <c r="M738" s="22" t="s">
        <v>1136</v>
      </c>
      <c r="N738" s="53">
        <v>45569</v>
      </c>
      <c r="O738" s="22">
        <f>INDEX(Auxiliar!$D$5:$F$13,MATCH(Table1[[#This Row],[Tipologia_Testes]],Auxiliar!$B$5:$B$13,0),MATCH(Table1[[#This Row],[Complexidade]],Auxiliar!$D$4:$F$4,0))</f>
        <v>8</v>
      </c>
      <c r="P738" s="3"/>
      <c r="Q738" s="3"/>
      <c r="R738" s="173">
        <v>45569</v>
      </c>
      <c r="S738" s="173"/>
      <c r="T738" s="173">
        <v>45569</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482</v>
      </c>
      <c r="J739" s="45">
        <f>VLOOKUP(Table1[[#This Row],[Status]],Auxiliar!$B$16:$C$23,2,0)</f>
        <v>6</v>
      </c>
      <c r="K739" s="3" t="s">
        <v>1141</v>
      </c>
      <c r="L739" s="3" t="s">
        <v>1135</v>
      </c>
      <c r="M739" s="22" t="s">
        <v>1136</v>
      </c>
      <c r="N739" s="53">
        <v>45569</v>
      </c>
      <c r="O739" s="22">
        <f>INDEX(Auxiliar!$D$5:$F$13,MATCH(Table1[[#This Row],[Tipologia_Testes]],Auxiliar!$B$5:$B$13,0),MATCH(Table1[[#This Row],[Complexidade]],Auxiliar!$D$4:$F$4,0))</f>
        <v>0.1</v>
      </c>
      <c r="P739" s="3"/>
      <c r="Q739" s="3"/>
      <c r="R739" s="173">
        <v>45569</v>
      </c>
      <c r="S739" s="173"/>
      <c r="T739" s="173">
        <v>45569</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482</v>
      </c>
      <c r="J740" s="45">
        <f>VLOOKUP(Table1[[#This Row],[Status]],Auxiliar!$B$16:$C$23,2,0)</f>
        <v>6</v>
      </c>
      <c r="K740" s="3" t="s">
        <v>1137</v>
      </c>
      <c r="L740" s="3" t="s">
        <v>1135</v>
      </c>
      <c r="M740" s="22" t="s">
        <v>1136</v>
      </c>
      <c r="N740" s="53">
        <v>45569</v>
      </c>
      <c r="O740" s="22">
        <f>INDEX(Auxiliar!$D$5:$F$13,MATCH(Table1[[#This Row],[Tipologia_Testes]],Auxiliar!$B$5:$B$13,0),MATCH(Table1[[#This Row],[Complexidade]],Auxiliar!$D$4:$F$4,0))</f>
        <v>8</v>
      </c>
      <c r="P740" s="3"/>
      <c r="Q740" s="3"/>
      <c r="R740" s="173">
        <v>45569</v>
      </c>
      <c r="S740" s="173"/>
      <c r="T740" s="173">
        <v>45569</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482</v>
      </c>
      <c r="J741" s="45">
        <f>VLOOKUP(Table1[[#This Row],[Status]],Auxiliar!$B$16:$C$23,2,0)</f>
        <v>6</v>
      </c>
      <c r="K741" s="3" t="s">
        <v>1138</v>
      </c>
      <c r="L741" s="3" t="s">
        <v>1135</v>
      </c>
      <c r="M741" s="22" t="s">
        <v>1136</v>
      </c>
      <c r="N741" s="53">
        <v>45569</v>
      </c>
      <c r="O741" s="22">
        <f>INDEX(Auxiliar!$D$5:$F$13,MATCH(Table1[[#This Row],[Tipologia_Testes]],Auxiliar!$B$5:$B$13,0),MATCH(Table1[[#This Row],[Complexidade]],Auxiliar!$D$4:$F$4,0))</f>
        <v>8</v>
      </c>
      <c r="P741" s="3"/>
      <c r="Q741" s="3"/>
      <c r="R741" s="173">
        <v>45569</v>
      </c>
      <c r="S741" s="173"/>
      <c r="T741" s="173">
        <v>45569</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482</v>
      </c>
      <c r="J742" s="45">
        <f>VLOOKUP(Table1[[#This Row],[Status]],Auxiliar!$B$16:$C$23,2,0)</f>
        <v>6</v>
      </c>
      <c r="K742" s="3" t="s">
        <v>1141</v>
      </c>
      <c r="L742" s="3" t="s">
        <v>1135</v>
      </c>
      <c r="M742" s="22" t="s">
        <v>1136</v>
      </c>
      <c r="N742" s="53">
        <v>45569</v>
      </c>
      <c r="O742" s="22">
        <f>INDEX(Auxiliar!$D$5:$F$13,MATCH(Table1[[#This Row],[Tipologia_Testes]],Auxiliar!$B$5:$B$13,0),MATCH(Table1[[#This Row],[Complexidade]],Auxiliar!$D$4:$F$4,0))</f>
        <v>0.1</v>
      </c>
      <c r="P742" s="3"/>
      <c r="Q742" s="3"/>
      <c r="R742" s="173">
        <v>45569</v>
      </c>
      <c r="S742" s="173"/>
      <c r="T742" s="173">
        <v>45569</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45569</v>
      </c>
      <c r="S743" s="173"/>
      <c r="T743" s="173">
        <v>45569</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45569</v>
      </c>
      <c r="S744" s="173"/>
      <c r="T744" s="173">
        <v>45569</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45569</v>
      </c>
      <c r="S745" s="173"/>
      <c r="T745" s="173">
        <v>45569</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1882</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1882</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1882</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1882</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1882</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1882</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482</v>
      </c>
      <c r="J752" s="45">
        <f>VLOOKUP(Table1[[#This Row],[Status]],Auxiliar!$B$16:$C$23,2,0)</f>
        <v>6</v>
      </c>
      <c r="K752" s="3" t="s">
        <v>1137</v>
      </c>
      <c r="L752" s="3" t="s">
        <v>1144</v>
      </c>
      <c r="M752" s="22" t="s">
        <v>1145</v>
      </c>
      <c r="N752" s="53">
        <v>45569</v>
      </c>
      <c r="O752" s="22">
        <f>INDEX(Auxiliar!$D$5:$F$13,MATCH(Table1[[#This Row],[Tipologia_Testes]],Auxiliar!$B$5:$B$13,0),MATCH(Table1[[#This Row],[Complexidade]],Auxiliar!$D$4:$F$4,0))</f>
        <v>2</v>
      </c>
      <c r="P752" s="3"/>
      <c r="Q752" s="3"/>
      <c r="R752" s="173">
        <v>45569</v>
      </c>
      <c r="S752" s="173"/>
      <c r="T752" s="173">
        <v>45569</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482</v>
      </c>
      <c r="J753" s="45">
        <f>VLOOKUP(Table1[[#This Row],[Status]],Auxiliar!$B$16:$C$23,2,0)</f>
        <v>6</v>
      </c>
      <c r="K753" s="3" t="s">
        <v>1138</v>
      </c>
      <c r="L753" s="3" t="s">
        <v>1144</v>
      </c>
      <c r="M753" s="22" t="s">
        <v>1145</v>
      </c>
      <c r="N753" s="53">
        <v>45569</v>
      </c>
      <c r="O753" s="22">
        <f>INDEX(Auxiliar!$D$5:$F$13,MATCH(Table1[[#This Row],[Tipologia_Testes]],Auxiliar!$B$5:$B$13,0),MATCH(Table1[[#This Row],[Complexidade]],Auxiliar!$D$4:$F$4,0))</f>
        <v>2</v>
      </c>
      <c r="P753" s="3"/>
      <c r="Q753" s="3"/>
      <c r="R753" s="173">
        <v>45569</v>
      </c>
      <c r="S753" s="173"/>
      <c r="T753" s="173">
        <v>45569</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482</v>
      </c>
      <c r="J754" s="45">
        <f>VLOOKUP(Table1[[#This Row],[Status]],Auxiliar!$B$16:$C$23,2,0)</f>
        <v>6</v>
      </c>
      <c r="K754" s="3" t="s">
        <v>1141</v>
      </c>
      <c r="L754" s="3" t="s">
        <v>1144</v>
      </c>
      <c r="M754" s="22" t="s">
        <v>1145</v>
      </c>
      <c r="N754" s="53">
        <v>45569</v>
      </c>
      <c r="O754" s="22">
        <f>INDEX(Auxiliar!$D$5:$F$13,MATCH(Table1[[#This Row],[Tipologia_Testes]],Auxiliar!$B$5:$B$13,0),MATCH(Table1[[#This Row],[Complexidade]],Auxiliar!$D$4:$F$4,0))</f>
        <v>0.1</v>
      </c>
      <c r="P754" s="3"/>
      <c r="Q754" s="3"/>
      <c r="R754" s="173">
        <v>45569</v>
      </c>
      <c r="S754" s="173"/>
      <c r="T754" s="173">
        <v>45569</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482</v>
      </c>
      <c r="J755" s="45">
        <f>VLOOKUP(Table1[[#This Row],[Status]],Auxiliar!$B$16:$C$23,2,0)</f>
        <v>6</v>
      </c>
      <c r="K755" s="3" t="s">
        <v>1137</v>
      </c>
      <c r="L755" s="3" t="s">
        <v>1144</v>
      </c>
      <c r="M755" s="22" t="s">
        <v>1145</v>
      </c>
      <c r="N755" s="53">
        <v>45569</v>
      </c>
      <c r="O755" s="22">
        <f>INDEX(Auxiliar!$D$5:$F$13,MATCH(Table1[[#This Row],[Tipologia_Testes]],Auxiliar!$B$5:$B$13,0),MATCH(Table1[[#This Row],[Complexidade]],Auxiliar!$D$4:$F$4,0))</f>
        <v>2</v>
      </c>
      <c r="P755" s="3"/>
      <c r="Q755" s="3"/>
      <c r="R755" s="173">
        <v>45569</v>
      </c>
      <c r="S755" s="173"/>
      <c r="T755" s="173">
        <v>45569</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482</v>
      </c>
      <c r="J756" s="45">
        <f>VLOOKUP(Table1[[#This Row],[Status]],Auxiliar!$B$16:$C$23,2,0)</f>
        <v>6</v>
      </c>
      <c r="K756" s="3" t="s">
        <v>1138</v>
      </c>
      <c r="L756" s="3" t="s">
        <v>1144</v>
      </c>
      <c r="M756" s="22" t="s">
        <v>1145</v>
      </c>
      <c r="N756" s="53">
        <v>45569</v>
      </c>
      <c r="O756" s="22">
        <f>INDEX(Auxiliar!$D$5:$F$13,MATCH(Table1[[#This Row],[Tipologia_Testes]],Auxiliar!$B$5:$B$13,0),MATCH(Table1[[#This Row],[Complexidade]],Auxiliar!$D$4:$F$4,0))</f>
        <v>2</v>
      </c>
      <c r="P756" s="3"/>
      <c r="Q756" s="3"/>
      <c r="R756" s="173">
        <v>45569</v>
      </c>
      <c r="S756" s="173"/>
      <c r="T756" s="173">
        <v>45569</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482</v>
      </c>
      <c r="J757" s="45">
        <f>VLOOKUP(Table1[[#This Row],[Status]],Auxiliar!$B$16:$C$23,2,0)</f>
        <v>6</v>
      </c>
      <c r="K757" s="3" t="s">
        <v>1141</v>
      </c>
      <c r="L757" s="3" t="s">
        <v>1144</v>
      </c>
      <c r="M757" s="22" t="s">
        <v>1145</v>
      </c>
      <c r="N757" s="53">
        <v>45569</v>
      </c>
      <c r="O757" s="22">
        <f>INDEX(Auxiliar!$D$5:$F$13,MATCH(Table1[[#This Row],[Tipologia_Testes]],Auxiliar!$B$5:$B$13,0),MATCH(Table1[[#This Row],[Complexidade]],Auxiliar!$D$4:$F$4,0))</f>
        <v>0.1</v>
      </c>
      <c r="P757" s="3"/>
      <c r="Q757" s="3"/>
      <c r="R757" s="173">
        <v>45569</v>
      </c>
      <c r="S757" s="173"/>
      <c r="T757" s="173">
        <v>45569</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479</v>
      </c>
      <c r="J758" s="45">
        <f>VLOOKUP(Table1[[#This Row],[Status]],Auxiliar!$B$16:$C$23,2,0)</f>
        <v>4</v>
      </c>
      <c r="K758" s="3" t="s">
        <v>1137</v>
      </c>
      <c r="L758" s="3" t="s">
        <v>1144</v>
      </c>
      <c r="M758" s="22" t="s">
        <v>1145</v>
      </c>
      <c r="N758" s="53">
        <v>45569</v>
      </c>
      <c r="O758" s="22">
        <f>INDEX(Auxiliar!$D$5:$F$13,MATCH(Table1[[#This Row],[Tipologia_Testes]],Auxiliar!$B$5:$B$13,0),MATCH(Table1[[#This Row],[Complexidade]],Auxiliar!$D$4:$F$4,0))</f>
        <v>2</v>
      </c>
      <c r="P758" s="3"/>
      <c r="Q758" s="3"/>
      <c r="R758" s="173">
        <v>45569</v>
      </c>
      <c r="S758" s="173"/>
      <c r="T758" s="173">
        <v>45569</v>
      </c>
      <c r="U758" s="173"/>
      <c r="V758" s="173"/>
      <c r="W758" s="3">
        <f>VLOOKUP(Table1[[#This Row],[Status]],Auxiliar!$B$16:$D$23,3,0)*Table1[[#This Row],[Estimação (horas)]]</f>
        <v>0.5</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479</v>
      </c>
      <c r="J759" s="45">
        <f>VLOOKUP(Table1[[#This Row],[Status]],Auxiliar!$B$16:$C$23,2,0)</f>
        <v>4</v>
      </c>
      <c r="K759" s="3" t="s">
        <v>1138</v>
      </c>
      <c r="L759" s="3" t="s">
        <v>1144</v>
      </c>
      <c r="M759" s="22" t="s">
        <v>1145</v>
      </c>
      <c r="N759" s="53">
        <v>45569</v>
      </c>
      <c r="O759" s="22">
        <f>INDEX(Auxiliar!$D$5:$F$13,MATCH(Table1[[#This Row],[Tipologia_Testes]],Auxiliar!$B$5:$B$13,0),MATCH(Table1[[#This Row],[Complexidade]],Auxiliar!$D$4:$F$4,0))</f>
        <v>2</v>
      </c>
      <c r="P759" s="3"/>
      <c r="Q759" s="3"/>
      <c r="R759" s="173">
        <v>45569</v>
      </c>
      <c r="S759" s="173"/>
      <c r="T759" s="173">
        <v>45569</v>
      </c>
      <c r="U759" s="173"/>
      <c r="V759" s="173"/>
      <c r="W759" s="3">
        <f>VLOOKUP(Table1[[#This Row],[Status]],Auxiliar!$B$16:$D$23,3,0)*Table1[[#This Row],[Estimação (horas)]]</f>
        <v>0.5</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479</v>
      </c>
      <c r="J760" s="45">
        <f>VLOOKUP(Table1[[#This Row],[Status]],Auxiliar!$B$16:$C$23,2,0)</f>
        <v>4</v>
      </c>
      <c r="K760" s="3" t="s">
        <v>1141</v>
      </c>
      <c r="L760" s="3" t="s">
        <v>1144</v>
      </c>
      <c r="M760" s="22" t="s">
        <v>1145</v>
      </c>
      <c r="N760" s="53">
        <v>45569</v>
      </c>
      <c r="O760" s="22">
        <f>INDEX(Auxiliar!$D$5:$F$13,MATCH(Table1[[#This Row],[Tipologia_Testes]],Auxiliar!$B$5:$B$13,0),MATCH(Table1[[#This Row],[Complexidade]],Auxiliar!$D$4:$F$4,0))</f>
        <v>0.1</v>
      </c>
      <c r="P760" s="3"/>
      <c r="Q760" s="3"/>
      <c r="R760" s="173">
        <v>45569</v>
      </c>
      <c r="S760" s="173"/>
      <c r="T760" s="173">
        <v>45569</v>
      </c>
      <c r="U760" s="173"/>
      <c r="V760" s="173"/>
      <c r="W760" s="3">
        <f>VLOOKUP(Table1[[#This Row],[Status]],Auxiliar!$B$16:$D$23,3,0)*Table1[[#This Row],[Estimação (horas)]]</f>
        <v>2.5000000000000001E-2</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479</v>
      </c>
      <c r="J761" s="45">
        <f>VLOOKUP(Table1[[#This Row],[Status]],Auxiliar!$B$16:$C$23,2,0)</f>
        <v>4</v>
      </c>
      <c r="K761" s="3" t="s">
        <v>1137</v>
      </c>
      <c r="L761" s="3" t="s">
        <v>1144</v>
      </c>
      <c r="M761" s="22" t="s">
        <v>1145</v>
      </c>
      <c r="N761" s="53">
        <v>45569</v>
      </c>
      <c r="O761" s="22">
        <f>INDEX(Auxiliar!$D$5:$F$13,MATCH(Table1[[#This Row],[Tipologia_Testes]],Auxiliar!$B$5:$B$13,0),MATCH(Table1[[#This Row],[Complexidade]],Auxiliar!$D$4:$F$4,0))</f>
        <v>2</v>
      </c>
      <c r="P761" s="3"/>
      <c r="Q761" s="3"/>
      <c r="R761" s="173">
        <v>45569</v>
      </c>
      <c r="S761" s="173"/>
      <c r="T761" s="173">
        <v>45569</v>
      </c>
      <c r="U761" s="173"/>
      <c r="V761" s="173"/>
      <c r="W761" s="3">
        <f>VLOOKUP(Table1[[#This Row],[Status]],Auxiliar!$B$16:$D$23,3,0)*Table1[[#This Row],[Estimação (horas)]]</f>
        <v>0.5</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479</v>
      </c>
      <c r="J762" s="45">
        <f>VLOOKUP(Table1[[#This Row],[Status]],Auxiliar!$B$16:$C$23,2,0)</f>
        <v>4</v>
      </c>
      <c r="K762" s="3" t="s">
        <v>1138</v>
      </c>
      <c r="L762" s="3" t="s">
        <v>1144</v>
      </c>
      <c r="M762" s="22" t="s">
        <v>1145</v>
      </c>
      <c r="N762" s="53">
        <v>45569</v>
      </c>
      <c r="O762" s="22">
        <f>INDEX(Auxiliar!$D$5:$F$13,MATCH(Table1[[#This Row],[Tipologia_Testes]],Auxiliar!$B$5:$B$13,0),MATCH(Table1[[#This Row],[Complexidade]],Auxiliar!$D$4:$F$4,0))</f>
        <v>2</v>
      </c>
      <c r="P762" s="3"/>
      <c r="Q762" s="3"/>
      <c r="R762" s="173">
        <v>45569</v>
      </c>
      <c r="S762" s="173"/>
      <c r="T762" s="173">
        <v>45569</v>
      </c>
      <c r="U762" s="173"/>
      <c r="V762" s="173"/>
      <c r="W762" s="3">
        <f>VLOOKUP(Table1[[#This Row],[Status]],Auxiliar!$B$16:$D$23,3,0)*Table1[[#This Row],[Estimação (horas)]]</f>
        <v>0.5</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479</v>
      </c>
      <c r="J763" s="45">
        <f>VLOOKUP(Table1[[#This Row],[Status]],Auxiliar!$B$16:$C$23,2,0)</f>
        <v>4</v>
      </c>
      <c r="K763" s="3" t="s">
        <v>1141</v>
      </c>
      <c r="L763" s="3" t="s">
        <v>1144</v>
      </c>
      <c r="M763" s="22" t="s">
        <v>1145</v>
      </c>
      <c r="N763" s="53">
        <v>45569</v>
      </c>
      <c r="O763" s="22">
        <f>INDEX(Auxiliar!$D$5:$F$13,MATCH(Table1[[#This Row],[Tipologia_Testes]],Auxiliar!$B$5:$B$13,0),MATCH(Table1[[#This Row],[Complexidade]],Auxiliar!$D$4:$F$4,0))</f>
        <v>0.1</v>
      </c>
      <c r="P763" s="3"/>
      <c r="Q763" s="3"/>
      <c r="R763" s="173">
        <v>45569</v>
      </c>
      <c r="S763" s="173"/>
      <c r="T763" s="173">
        <v>45569</v>
      </c>
      <c r="U763" s="173"/>
      <c r="V763" s="173"/>
      <c r="W763" s="3">
        <f>VLOOKUP(Table1[[#This Row],[Status]],Auxiliar!$B$16:$D$23,3,0)*Table1[[#This Row],[Estimação (horas)]]</f>
        <v>2.5000000000000001E-2</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479</v>
      </c>
      <c r="J764" s="45">
        <f>VLOOKUP(Table1[[#This Row],[Status]],Auxiliar!$B$16:$C$23,2,0)</f>
        <v>4</v>
      </c>
      <c r="K764" s="3" t="s">
        <v>1137</v>
      </c>
      <c r="L764" s="3" t="s">
        <v>1144</v>
      </c>
      <c r="M764" s="22" t="s">
        <v>1145</v>
      </c>
      <c r="N764" s="53">
        <v>45569</v>
      </c>
      <c r="O764" s="22">
        <f>INDEX(Auxiliar!$D$5:$F$13,MATCH(Table1[[#This Row],[Tipologia_Testes]],Auxiliar!$B$5:$B$13,0),MATCH(Table1[[#This Row],[Complexidade]],Auxiliar!$D$4:$F$4,0))</f>
        <v>2</v>
      </c>
      <c r="P764" s="3"/>
      <c r="Q764" s="3"/>
      <c r="R764" s="173">
        <v>45569</v>
      </c>
      <c r="S764" s="173"/>
      <c r="T764" s="173">
        <v>45569</v>
      </c>
      <c r="U764" s="173"/>
      <c r="V764" s="173"/>
      <c r="W764" s="3">
        <f>VLOOKUP(Table1[[#This Row],[Status]],Auxiliar!$B$16:$D$23,3,0)*Table1[[#This Row],[Estimação (horas)]]</f>
        <v>0.5</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479</v>
      </c>
      <c r="J765" s="45">
        <f>VLOOKUP(Table1[[#This Row],[Status]],Auxiliar!$B$16:$C$23,2,0)</f>
        <v>4</v>
      </c>
      <c r="K765" s="3" t="s">
        <v>1138</v>
      </c>
      <c r="L765" s="3" t="s">
        <v>1144</v>
      </c>
      <c r="M765" s="22" t="s">
        <v>1145</v>
      </c>
      <c r="N765" s="53">
        <v>45569</v>
      </c>
      <c r="O765" s="22">
        <f>INDEX(Auxiliar!$D$5:$F$13,MATCH(Table1[[#This Row],[Tipologia_Testes]],Auxiliar!$B$5:$B$13,0),MATCH(Table1[[#This Row],[Complexidade]],Auxiliar!$D$4:$F$4,0))</f>
        <v>2</v>
      </c>
      <c r="P765" s="3"/>
      <c r="Q765" s="3"/>
      <c r="R765" s="173">
        <v>45569</v>
      </c>
      <c r="S765" s="173"/>
      <c r="T765" s="173">
        <v>45569</v>
      </c>
      <c r="U765" s="173"/>
      <c r="V765" s="173"/>
      <c r="W765" s="3">
        <f>VLOOKUP(Table1[[#This Row],[Status]],Auxiliar!$B$16:$D$23,3,0)*Table1[[#This Row],[Estimação (horas)]]</f>
        <v>0.5</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479</v>
      </c>
      <c r="J766" s="45">
        <f>VLOOKUP(Table1[[#This Row],[Status]],Auxiliar!$B$16:$C$23,2,0)</f>
        <v>4</v>
      </c>
      <c r="K766" s="3" t="s">
        <v>1141</v>
      </c>
      <c r="L766" s="3" t="s">
        <v>1144</v>
      </c>
      <c r="M766" s="22" t="s">
        <v>1145</v>
      </c>
      <c r="N766" s="53">
        <v>45569</v>
      </c>
      <c r="O766" s="22">
        <f>INDEX(Auxiliar!$D$5:$F$13,MATCH(Table1[[#This Row],[Tipologia_Testes]],Auxiliar!$B$5:$B$13,0),MATCH(Table1[[#This Row],[Complexidade]],Auxiliar!$D$4:$F$4,0))</f>
        <v>0.1</v>
      </c>
      <c r="P766" s="3"/>
      <c r="Q766" s="3"/>
      <c r="R766" s="173">
        <v>45569</v>
      </c>
      <c r="S766" s="173"/>
      <c r="T766" s="173">
        <v>45569</v>
      </c>
      <c r="U766" s="173"/>
      <c r="V766" s="173"/>
      <c r="W766" s="3">
        <f>VLOOKUP(Table1[[#This Row],[Status]],Auxiliar!$B$16:$D$23,3,0)*Table1[[#This Row],[Estimação (horas)]]</f>
        <v>2.5000000000000001E-2</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479</v>
      </c>
      <c r="J770" s="45">
        <f>VLOOKUP(Table1[[#This Row],[Status]],Auxiliar!$B$16:$C$23,2,0)</f>
        <v>4</v>
      </c>
      <c r="K770" s="3" t="s">
        <v>1137</v>
      </c>
      <c r="L770" s="3" t="s">
        <v>1144</v>
      </c>
      <c r="M770" s="22" t="s">
        <v>1155</v>
      </c>
      <c r="N770" s="53">
        <v>45569</v>
      </c>
      <c r="O770" s="22">
        <f>INDEX(Auxiliar!$D$5:$F$13,MATCH(Table1[[#This Row],[Tipologia_Testes]],Auxiliar!$B$5:$B$13,0),MATCH(Table1[[#This Row],[Complexidade]],Auxiliar!$D$4:$F$4,0))</f>
        <v>4</v>
      </c>
      <c r="P770" s="3"/>
      <c r="Q770" s="3"/>
      <c r="R770" s="173">
        <v>45569</v>
      </c>
      <c r="S770" s="173"/>
      <c r="T770" s="173">
        <v>45569</v>
      </c>
      <c r="U770" s="173"/>
      <c r="V770" s="173"/>
      <c r="W770" s="3">
        <f>VLOOKUP(Table1[[#This Row],[Status]],Auxiliar!$B$16:$D$23,3,0)*Table1[[#This Row],[Estimação (horas)]]</f>
        <v>1</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479</v>
      </c>
      <c r="J771" s="45">
        <f>VLOOKUP(Table1[[#This Row],[Status]],Auxiliar!$B$16:$C$23,2,0)</f>
        <v>4</v>
      </c>
      <c r="K771" s="3" t="s">
        <v>1138</v>
      </c>
      <c r="L771" s="3" t="s">
        <v>1144</v>
      </c>
      <c r="M771" s="22" t="s">
        <v>1155</v>
      </c>
      <c r="N771" s="53">
        <v>45569</v>
      </c>
      <c r="O771" s="22">
        <f>INDEX(Auxiliar!$D$5:$F$13,MATCH(Table1[[#This Row],[Tipologia_Testes]],Auxiliar!$B$5:$B$13,0),MATCH(Table1[[#This Row],[Complexidade]],Auxiliar!$D$4:$F$4,0))</f>
        <v>4</v>
      </c>
      <c r="P771" s="3"/>
      <c r="Q771" s="3"/>
      <c r="R771" s="173">
        <v>45569</v>
      </c>
      <c r="S771" s="173"/>
      <c r="T771" s="173">
        <v>45569</v>
      </c>
      <c r="U771" s="173"/>
      <c r="V771" s="173"/>
      <c r="W771" s="3">
        <f>VLOOKUP(Table1[[#This Row],[Status]],Auxiliar!$B$16:$D$23,3,0)*Table1[[#This Row],[Estimação (horas)]]</f>
        <v>1</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479</v>
      </c>
      <c r="J772" s="45">
        <f>VLOOKUP(Table1[[#This Row],[Status]],Auxiliar!$B$16:$C$23,2,0)</f>
        <v>4</v>
      </c>
      <c r="K772" s="3" t="s">
        <v>1141</v>
      </c>
      <c r="L772" s="3" t="s">
        <v>1144</v>
      </c>
      <c r="M772" s="22" t="s">
        <v>1155</v>
      </c>
      <c r="N772" s="53">
        <v>45569</v>
      </c>
      <c r="O772" s="22">
        <f>INDEX(Auxiliar!$D$5:$F$13,MATCH(Table1[[#This Row],[Tipologia_Testes]],Auxiliar!$B$5:$B$13,0),MATCH(Table1[[#This Row],[Complexidade]],Auxiliar!$D$4:$F$4,0))</f>
        <v>0.1</v>
      </c>
      <c r="P772" s="3"/>
      <c r="Q772" s="3"/>
      <c r="R772" s="173">
        <v>45569</v>
      </c>
      <c r="S772" s="173"/>
      <c r="T772" s="173">
        <v>45569</v>
      </c>
      <c r="U772" s="173"/>
      <c r="V772" s="173"/>
      <c r="W772" s="3">
        <f>VLOOKUP(Table1[[#This Row],[Status]],Auxiliar!$B$16:$D$23,3,0)*Table1[[#This Row],[Estimação (horas)]]</f>
        <v>2.5000000000000001E-2</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479</v>
      </c>
      <c r="J773" s="45">
        <f>VLOOKUP(Table1[[#This Row],[Status]],Auxiliar!$B$16:$C$23,2,0)</f>
        <v>4</v>
      </c>
      <c r="K773" s="3" t="s">
        <v>1137</v>
      </c>
      <c r="L773" s="3" t="s">
        <v>1144</v>
      </c>
      <c r="M773" s="22" t="s">
        <v>1155</v>
      </c>
      <c r="N773" s="53">
        <v>45569</v>
      </c>
      <c r="O773" s="22">
        <f>INDEX(Auxiliar!$D$5:$F$13,MATCH(Table1[[#This Row],[Tipologia_Testes]],Auxiliar!$B$5:$B$13,0),MATCH(Table1[[#This Row],[Complexidade]],Auxiliar!$D$4:$F$4,0))</f>
        <v>4</v>
      </c>
      <c r="P773" s="3"/>
      <c r="Q773" s="3"/>
      <c r="R773" s="173">
        <v>45569</v>
      </c>
      <c r="S773" s="173"/>
      <c r="T773" s="173">
        <v>45569</v>
      </c>
      <c r="U773" s="173"/>
      <c r="V773" s="173"/>
      <c r="W773" s="3">
        <f>VLOOKUP(Table1[[#This Row],[Status]],Auxiliar!$B$16:$D$23,3,0)*Table1[[#This Row],[Estimação (horas)]]</f>
        <v>1</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479</v>
      </c>
      <c r="J774" s="45">
        <f>VLOOKUP(Table1[[#This Row],[Status]],Auxiliar!$B$16:$C$23,2,0)</f>
        <v>4</v>
      </c>
      <c r="K774" s="3" t="s">
        <v>1138</v>
      </c>
      <c r="L774" s="3" t="s">
        <v>1144</v>
      </c>
      <c r="M774" s="22" t="s">
        <v>1155</v>
      </c>
      <c r="N774" s="53">
        <v>45569</v>
      </c>
      <c r="O774" s="22">
        <f>INDEX(Auxiliar!$D$5:$F$13,MATCH(Table1[[#This Row],[Tipologia_Testes]],Auxiliar!$B$5:$B$13,0),MATCH(Table1[[#This Row],[Complexidade]],Auxiliar!$D$4:$F$4,0))</f>
        <v>4</v>
      </c>
      <c r="P774" s="3"/>
      <c r="Q774" s="3"/>
      <c r="R774" s="173">
        <v>45569</v>
      </c>
      <c r="S774" s="173"/>
      <c r="T774" s="173">
        <v>45569</v>
      </c>
      <c r="U774" s="173"/>
      <c r="V774" s="173"/>
      <c r="W774" s="3">
        <f>VLOOKUP(Table1[[#This Row],[Status]],Auxiliar!$B$16:$D$23,3,0)*Table1[[#This Row],[Estimação (horas)]]</f>
        <v>1</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479</v>
      </c>
      <c r="J775" s="45">
        <f>VLOOKUP(Table1[[#This Row],[Status]],Auxiliar!$B$16:$C$23,2,0)</f>
        <v>4</v>
      </c>
      <c r="K775" s="3" t="s">
        <v>1141</v>
      </c>
      <c r="L775" s="3" t="s">
        <v>1144</v>
      </c>
      <c r="M775" s="22" t="s">
        <v>1155</v>
      </c>
      <c r="N775" s="53">
        <v>45569</v>
      </c>
      <c r="O775" s="22">
        <f>INDEX(Auxiliar!$D$5:$F$13,MATCH(Table1[[#This Row],[Tipologia_Testes]],Auxiliar!$B$5:$B$13,0),MATCH(Table1[[#This Row],[Complexidade]],Auxiliar!$D$4:$F$4,0))</f>
        <v>0.1</v>
      </c>
      <c r="P775" s="3"/>
      <c r="Q775" s="3"/>
      <c r="R775" s="173">
        <v>45569</v>
      </c>
      <c r="S775" s="173"/>
      <c r="T775" s="173">
        <v>45569</v>
      </c>
      <c r="U775" s="173"/>
      <c r="V775" s="173"/>
      <c r="W775" s="3">
        <f>VLOOKUP(Table1[[#This Row],[Status]],Auxiliar!$B$16:$D$23,3,0)*Table1[[#This Row],[Estimação (horas)]]</f>
        <v>2.5000000000000001E-2</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479</v>
      </c>
      <c r="J776" s="45">
        <f>VLOOKUP(Table1[[#This Row],[Status]],Auxiliar!$B$16:$C$23,2,0)</f>
        <v>4</v>
      </c>
      <c r="K776" s="3" t="s">
        <v>1137</v>
      </c>
      <c r="L776" s="3" t="s">
        <v>1144</v>
      </c>
      <c r="M776" s="22" t="s">
        <v>1155</v>
      </c>
      <c r="N776" s="53">
        <v>45569</v>
      </c>
      <c r="O776" s="22">
        <f>INDEX(Auxiliar!$D$5:$F$13,MATCH(Table1[[#This Row],[Tipologia_Testes]],Auxiliar!$B$5:$B$13,0),MATCH(Table1[[#This Row],[Complexidade]],Auxiliar!$D$4:$F$4,0))</f>
        <v>4</v>
      </c>
      <c r="P776" s="3"/>
      <c r="Q776" s="3"/>
      <c r="R776" s="173">
        <v>45569</v>
      </c>
      <c r="S776" s="173"/>
      <c r="T776" s="173">
        <v>45569</v>
      </c>
      <c r="U776" s="173"/>
      <c r="V776" s="173"/>
      <c r="W776" s="3">
        <f>VLOOKUP(Table1[[#This Row],[Status]],Auxiliar!$B$16:$D$23,3,0)*Table1[[#This Row],[Estimação (horas)]]</f>
        <v>1</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479</v>
      </c>
      <c r="J777" s="45">
        <f>VLOOKUP(Table1[[#This Row],[Status]],Auxiliar!$B$16:$C$23,2,0)</f>
        <v>4</v>
      </c>
      <c r="K777" s="3" t="s">
        <v>1138</v>
      </c>
      <c r="L777" s="3" t="s">
        <v>1144</v>
      </c>
      <c r="M777" s="22" t="s">
        <v>1155</v>
      </c>
      <c r="N777" s="53">
        <v>45569</v>
      </c>
      <c r="O777" s="22">
        <f>INDEX(Auxiliar!$D$5:$F$13,MATCH(Table1[[#This Row],[Tipologia_Testes]],Auxiliar!$B$5:$B$13,0),MATCH(Table1[[#This Row],[Complexidade]],Auxiliar!$D$4:$F$4,0))</f>
        <v>4</v>
      </c>
      <c r="P777" s="3"/>
      <c r="Q777" s="3"/>
      <c r="R777" s="173">
        <v>45569</v>
      </c>
      <c r="S777" s="173"/>
      <c r="T777" s="173">
        <v>45569</v>
      </c>
      <c r="U777" s="173"/>
      <c r="V777" s="173"/>
      <c r="W777" s="3">
        <f>VLOOKUP(Table1[[#This Row],[Status]],Auxiliar!$B$16:$D$23,3,0)*Table1[[#This Row],[Estimação (horas)]]</f>
        <v>1</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479</v>
      </c>
      <c r="J778" s="45">
        <f>VLOOKUP(Table1[[#This Row],[Status]],Auxiliar!$B$16:$C$23,2,0)</f>
        <v>4</v>
      </c>
      <c r="K778" s="3" t="s">
        <v>1141</v>
      </c>
      <c r="L778" s="3" t="s">
        <v>1144</v>
      </c>
      <c r="M778" s="22" t="s">
        <v>1155</v>
      </c>
      <c r="N778" s="53">
        <v>45569</v>
      </c>
      <c r="O778" s="22">
        <f>INDEX(Auxiliar!$D$5:$F$13,MATCH(Table1[[#This Row],[Tipologia_Testes]],Auxiliar!$B$5:$B$13,0),MATCH(Table1[[#This Row],[Complexidade]],Auxiliar!$D$4:$F$4,0))</f>
        <v>0.1</v>
      </c>
      <c r="P778" s="3"/>
      <c r="Q778" s="3"/>
      <c r="R778" s="173">
        <v>45569</v>
      </c>
      <c r="S778" s="173"/>
      <c r="T778" s="173">
        <v>45569</v>
      </c>
      <c r="U778" s="173"/>
      <c r="V778" s="173"/>
      <c r="W778" s="3">
        <f>VLOOKUP(Table1[[#This Row],[Status]],Auxiliar!$B$16:$D$23,3,0)*Table1[[#This Row],[Estimação (horas)]]</f>
        <v>2.5000000000000001E-2</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1879</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1879</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1879</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1878</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479</v>
      </c>
      <c r="J798" s="45">
        <f>VLOOKUP(Table1[[#This Row],[Status]],Auxiliar!$B$16:$C$23,2,0)</f>
        <v>4</v>
      </c>
      <c r="K798" s="3" t="s">
        <v>1137</v>
      </c>
      <c r="L798" s="3" t="s">
        <v>1135</v>
      </c>
      <c r="M798" s="22" t="s">
        <v>1155</v>
      </c>
      <c r="N798" s="53">
        <v>45569</v>
      </c>
      <c r="O798" s="22">
        <f>INDEX(Auxiliar!$D$5:$F$13,MATCH(Table1[[#This Row],[Tipologia_Testes]],Auxiliar!$B$5:$B$13,0),MATCH(Table1[[#This Row],[Complexidade]],Auxiliar!$D$4:$F$4,0))</f>
        <v>4</v>
      </c>
      <c r="P798" s="3" t="s">
        <v>1183</v>
      </c>
      <c r="Q798" s="3"/>
      <c r="R798" s="173">
        <v>45566</v>
      </c>
      <c r="S798" s="173"/>
      <c r="T798" s="173">
        <v>45566</v>
      </c>
      <c r="U798" s="173"/>
      <c r="V798" s="173"/>
      <c r="W798" s="3">
        <f>VLOOKUP(Table1[[#This Row],[Status]],Auxiliar!$B$16:$D$23,3,0)*Table1[[#This Row],[Estimação (horas)]]</f>
        <v>1</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479</v>
      </c>
      <c r="J799" s="45">
        <f>VLOOKUP(Table1[[#This Row],[Status]],Auxiliar!$B$16:$C$23,2,0)</f>
        <v>4</v>
      </c>
      <c r="K799" s="3" t="s">
        <v>1138</v>
      </c>
      <c r="L799" s="3" t="s">
        <v>1135</v>
      </c>
      <c r="M799" s="22" t="s">
        <v>1155</v>
      </c>
      <c r="N799" s="53">
        <v>45569</v>
      </c>
      <c r="O799" s="22">
        <f>INDEX(Auxiliar!$D$5:$F$13,MATCH(Table1[[#This Row],[Tipologia_Testes]],Auxiliar!$B$5:$B$13,0),MATCH(Table1[[#This Row],[Complexidade]],Auxiliar!$D$4:$F$4,0))</f>
        <v>4</v>
      </c>
      <c r="P799" s="3" t="s">
        <v>1183</v>
      </c>
      <c r="Q799" s="3"/>
      <c r="R799" s="173">
        <v>45566</v>
      </c>
      <c r="S799" s="173"/>
      <c r="T799" s="173">
        <v>45566</v>
      </c>
      <c r="U799" s="173"/>
      <c r="V799" s="173"/>
      <c r="W799" s="3">
        <f>VLOOKUP(Table1[[#This Row],[Status]],Auxiliar!$B$16:$D$23,3,0)*Table1[[#This Row],[Estimação (horas)]]</f>
        <v>1</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479</v>
      </c>
      <c r="J800" s="45">
        <f>VLOOKUP(Table1[[#This Row],[Status]],Auxiliar!$B$16:$C$23,2,0)</f>
        <v>4</v>
      </c>
      <c r="K800" s="3" t="s">
        <v>1141</v>
      </c>
      <c r="L800" s="3" t="s">
        <v>1135</v>
      </c>
      <c r="M800" s="22" t="s">
        <v>1155</v>
      </c>
      <c r="N800" s="53">
        <v>45569</v>
      </c>
      <c r="O800" s="22">
        <f>INDEX(Auxiliar!$D$5:$F$13,MATCH(Table1[[#This Row],[Tipologia_Testes]],Auxiliar!$B$5:$B$13,0),MATCH(Table1[[#This Row],[Complexidade]],Auxiliar!$D$4:$F$4,0))</f>
        <v>0.1</v>
      </c>
      <c r="P800" s="3" t="s">
        <v>1183</v>
      </c>
      <c r="Q800" s="3"/>
      <c r="R800" s="173">
        <v>45566</v>
      </c>
      <c r="S800" s="173"/>
      <c r="T800" s="173">
        <v>45566</v>
      </c>
      <c r="U800" s="173"/>
      <c r="V800" s="173"/>
      <c r="W800" s="3">
        <f>VLOOKUP(Table1[[#This Row],[Status]],Auxiliar!$B$16:$D$23,3,0)*Table1[[#This Row],[Estimação (horas)]]</f>
        <v>2.5000000000000001E-2</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479</v>
      </c>
      <c r="J801" s="45">
        <f>VLOOKUP(Table1[[#This Row],[Status]],Auxiliar!$B$16:$C$23,2,0)</f>
        <v>4</v>
      </c>
      <c r="K801" s="3" t="s">
        <v>1137</v>
      </c>
      <c r="L801" s="3" t="s">
        <v>1135</v>
      </c>
      <c r="M801" s="22" t="s">
        <v>1155</v>
      </c>
      <c r="N801" s="53">
        <v>45569</v>
      </c>
      <c r="O801" s="22">
        <f>INDEX(Auxiliar!$D$5:$F$13,MATCH(Table1[[#This Row],[Tipologia_Testes]],Auxiliar!$B$5:$B$13,0),MATCH(Table1[[#This Row],[Complexidade]],Auxiliar!$D$4:$F$4,0))</f>
        <v>4</v>
      </c>
      <c r="P801" s="3" t="s">
        <v>1184</v>
      </c>
      <c r="Q801" s="3"/>
      <c r="R801" s="173">
        <v>45566</v>
      </c>
      <c r="S801" s="173"/>
      <c r="T801" s="173">
        <v>45566</v>
      </c>
      <c r="U801" s="173"/>
      <c r="V801" s="173"/>
      <c r="W801" s="3">
        <f>VLOOKUP(Table1[[#This Row],[Status]],Auxiliar!$B$16:$D$23,3,0)*Table1[[#This Row],[Estimação (horas)]]</f>
        <v>1</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479</v>
      </c>
      <c r="J802" s="45">
        <f>VLOOKUP(Table1[[#This Row],[Status]],Auxiliar!$B$16:$C$23,2,0)</f>
        <v>4</v>
      </c>
      <c r="K802" s="3" t="s">
        <v>1138</v>
      </c>
      <c r="L802" s="3" t="s">
        <v>1135</v>
      </c>
      <c r="M802" s="22" t="s">
        <v>1155</v>
      </c>
      <c r="N802" s="53">
        <v>45569</v>
      </c>
      <c r="O802" s="22">
        <f>INDEX(Auxiliar!$D$5:$F$13,MATCH(Table1[[#This Row],[Tipologia_Testes]],Auxiliar!$B$5:$B$13,0),MATCH(Table1[[#This Row],[Complexidade]],Auxiliar!$D$4:$F$4,0))</f>
        <v>4</v>
      </c>
      <c r="P802" s="3" t="s">
        <v>1184</v>
      </c>
      <c r="Q802" s="3"/>
      <c r="R802" s="173">
        <v>45566</v>
      </c>
      <c r="S802" s="173"/>
      <c r="T802" s="173">
        <v>45566</v>
      </c>
      <c r="U802" s="173"/>
      <c r="V802" s="173"/>
      <c r="W802" s="3">
        <f>VLOOKUP(Table1[[#This Row],[Status]],Auxiliar!$B$16:$D$23,3,0)*Table1[[#This Row],[Estimação (horas)]]</f>
        <v>1</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479</v>
      </c>
      <c r="J803" s="45">
        <f>VLOOKUP(Table1[[#This Row],[Status]],Auxiliar!$B$16:$C$23,2,0)</f>
        <v>4</v>
      </c>
      <c r="K803" s="3" t="s">
        <v>1141</v>
      </c>
      <c r="L803" s="3" t="s">
        <v>1135</v>
      </c>
      <c r="M803" s="22" t="s">
        <v>1155</v>
      </c>
      <c r="N803" s="53">
        <v>45569</v>
      </c>
      <c r="O803" s="22">
        <f>INDEX(Auxiliar!$D$5:$F$13,MATCH(Table1[[#This Row],[Tipologia_Testes]],Auxiliar!$B$5:$B$13,0),MATCH(Table1[[#This Row],[Complexidade]],Auxiliar!$D$4:$F$4,0))</f>
        <v>0.1</v>
      </c>
      <c r="P803" s="3" t="s">
        <v>1184</v>
      </c>
      <c r="Q803" s="3"/>
      <c r="R803" s="173">
        <v>45566</v>
      </c>
      <c r="S803" s="173"/>
      <c r="T803" s="173">
        <v>45566</v>
      </c>
      <c r="U803" s="173"/>
      <c r="V803" s="173"/>
      <c r="W803" s="3">
        <f>VLOOKUP(Table1[[#This Row],[Status]],Auxiliar!$B$16:$D$23,3,0)*Table1[[#This Row],[Estimação (horas)]]</f>
        <v>2.5000000000000001E-2</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479</v>
      </c>
      <c r="J804" s="45">
        <f>VLOOKUP(Table1[[#This Row],[Status]],Auxiliar!$B$16:$C$23,2,0)</f>
        <v>4</v>
      </c>
      <c r="K804" s="3" t="s">
        <v>1137</v>
      </c>
      <c r="L804" s="3" t="s">
        <v>1135</v>
      </c>
      <c r="M804" s="22" t="s">
        <v>1155</v>
      </c>
      <c r="N804" s="53">
        <v>45569</v>
      </c>
      <c r="O804" s="22">
        <f>INDEX(Auxiliar!$D$5:$F$13,MATCH(Table1[[#This Row],[Tipologia_Testes]],Auxiliar!$B$5:$B$13,0),MATCH(Table1[[#This Row],[Complexidade]],Auxiliar!$D$4:$F$4,0))</f>
        <v>4</v>
      </c>
      <c r="P804" s="3" t="s">
        <v>1185</v>
      </c>
      <c r="Q804" s="3"/>
      <c r="R804" s="173">
        <v>45566</v>
      </c>
      <c r="S804" s="173"/>
      <c r="T804" s="173">
        <v>45566</v>
      </c>
      <c r="U804" s="173"/>
      <c r="V804" s="173"/>
      <c r="W804" s="3">
        <f>VLOOKUP(Table1[[#This Row],[Status]],Auxiliar!$B$16:$D$23,3,0)*Table1[[#This Row],[Estimação (horas)]]</f>
        <v>1</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479</v>
      </c>
      <c r="J805" s="45">
        <f>VLOOKUP(Table1[[#This Row],[Status]],Auxiliar!$B$16:$C$23,2,0)</f>
        <v>4</v>
      </c>
      <c r="K805" s="3" t="s">
        <v>1138</v>
      </c>
      <c r="L805" s="3" t="s">
        <v>1135</v>
      </c>
      <c r="M805" s="22" t="s">
        <v>1155</v>
      </c>
      <c r="N805" s="53">
        <v>45569</v>
      </c>
      <c r="O805" s="22">
        <f>INDEX(Auxiliar!$D$5:$F$13,MATCH(Table1[[#This Row],[Tipologia_Testes]],Auxiliar!$B$5:$B$13,0),MATCH(Table1[[#This Row],[Complexidade]],Auxiliar!$D$4:$F$4,0))</f>
        <v>4</v>
      </c>
      <c r="P805" s="3" t="s">
        <v>1185</v>
      </c>
      <c r="Q805" s="3"/>
      <c r="R805" s="173">
        <v>45566</v>
      </c>
      <c r="S805" s="173"/>
      <c r="T805" s="173">
        <v>45566</v>
      </c>
      <c r="U805" s="173"/>
      <c r="V805" s="173"/>
      <c r="W805" s="3">
        <f>VLOOKUP(Table1[[#This Row],[Status]],Auxiliar!$B$16:$D$23,3,0)*Table1[[#This Row],[Estimação (horas)]]</f>
        <v>1</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479</v>
      </c>
      <c r="J806" s="45">
        <f>VLOOKUP(Table1[[#This Row],[Status]],Auxiliar!$B$16:$C$23,2,0)</f>
        <v>4</v>
      </c>
      <c r="K806" s="3" t="s">
        <v>1141</v>
      </c>
      <c r="L806" s="3" t="s">
        <v>1135</v>
      </c>
      <c r="M806" s="22" t="s">
        <v>1155</v>
      </c>
      <c r="N806" s="53">
        <v>45569</v>
      </c>
      <c r="O806" s="22">
        <f>INDEX(Auxiliar!$D$5:$F$13,MATCH(Table1[[#This Row],[Tipologia_Testes]],Auxiliar!$B$5:$B$13,0),MATCH(Table1[[#This Row],[Complexidade]],Auxiliar!$D$4:$F$4,0))</f>
        <v>0.1</v>
      </c>
      <c r="P806" s="3" t="s">
        <v>1185</v>
      </c>
      <c r="Q806" s="3"/>
      <c r="R806" s="173">
        <v>45566</v>
      </c>
      <c r="S806" s="173"/>
      <c r="T806" s="173">
        <v>45566</v>
      </c>
      <c r="U806" s="173"/>
      <c r="V806" s="173"/>
      <c r="W806" s="3">
        <f>VLOOKUP(Table1[[#This Row],[Status]],Auxiliar!$B$16:$D$23,3,0)*Table1[[#This Row],[Estimação (horas)]]</f>
        <v>2.5000000000000001E-2</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479</v>
      </c>
      <c r="J810" s="45">
        <f>VLOOKUP(Table1[[#This Row],[Status]],Auxiliar!$B$16:$C$23,2,0)</f>
        <v>4</v>
      </c>
      <c r="K810" s="3" t="s">
        <v>1137</v>
      </c>
      <c r="L810" s="3" t="s">
        <v>1135</v>
      </c>
      <c r="M810" s="22" t="s">
        <v>1136</v>
      </c>
      <c r="N810" s="53">
        <v>45569</v>
      </c>
      <c r="O810" s="22">
        <f>INDEX(Auxiliar!$D$5:$F$13,MATCH(Table1[[#This Row],[Tipologia_Testes]],Auxiliar!$B$5:$B$13,0),MATCH(Table1[[#This Row],[Complexidade]],Auxiliar!$D$4:$F$4,0))</f>
        <v>8</v>
      </c>
      <c r="P810" s="24" t="s">
        <v>1186</v>
      </c>
      <c r="Q810" s="3"/>
      <c r="R810" s="173">
        <v>45566</v>
      </c>
      <c r="S810" s="173"/>
      <c r="T810" s="173">
        <v>45566</v>
      </c>
      <c r="U810" s="173"/>
      <c r="V810" s="173"/>
      <c r="W810" s="3">
        <f>VLOOKUP(Table1[[#This Row],[Status]],Auxiliar!$B$16:$D$23,3,0)*Table1[[#This Row],[Estimação (horas)]]</f>
        <v>2</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479</v>
      </c>
      <c r="J811" s="45">
        <f>VLOOKUP(Table1[[#This Row],[Status]],Auxiliar!$B$16:$C$23,2,0)</f>
        <v>4</v>
      </c>
      <c r="K811" s="3" t="s">
        <v>1138</v>
      </c>
      <c r="L811" s="3" t="s">
        <v>1135</v>
      </c>
      <c r="M811" s="22" t="s">
        <v>1136</v>
      </c>
      <c r="N811" s="53">
        <v>45569</v>
      </c>
      <c r="O811" s="22">
        <f>INDEX(Auxiliar!$D$5:$F$13,MATCH(Table1[[#This Row],[Tipologia_Testes]],Auxiliar!$B$5:$B$13,0),MATCH(Table1[[#This Row],[Complexidade]],Auxiliar!$D$4:$F$4,0))</f>
        <v>8</v>
      </c>
      <c r="P811" s="24" t="s">
        <v>1186</v>
      </c>
      <c r="Q811" s="3"/>
      <c r="R811" s="173">
        <v>45566</v>
      </c>
      <c r="S811" s="173"/>
      <c r="T811" s="173">
        <v>45566</v>
      </c>
      <c r="U811" s="173"/>
      <c r="V811" s="173"/>
      <c r="W811" s="3">
        <f>VLOOKUP(Table1[[#This Row],[Status]],Auxiliar!$B$16:$D$23,3,0)*Table1[[#This Row],[Estimação (horas)]]</f>
        <v>2</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479</v>
      </c>
      <c r="J812" s="45">
        <f>VLOOKUP(Table1[[#This Row],[Status]],Auxiliar!$B$16:$C$23,2,0)</f>
        <v>4</v>
      </c>
      <c r="K812" s="3" t="s">
        <v>1141</v>
      </c>
      <c r="L812" s="3" t="s">
        <v>1135</v>
      </c>
      <c r="M812" s="22" t="s">
        <v>1136</v>
      </c>
      <c r="N812" s="53">
        <v>45569</v>
      </c>
      <c r="O812" s="22">
        <f>INDEX(Auxiliar!$D$5:$F$13,MATCH(Table1[[#This Row],[Tipologia_Testes]],Auxiliar!$B$5:$B$13,0),MATCH(Table1[[#This Row],[Complexidade]],Auxiliar!$D$4:$F$4,0))</f>
        <v>0.1</v>
      </c>
      <c r="P812" s="24" t="s">
        <v>1186</v>
      </c>
      <c r="Q812" s="3"/>
      <c r="R812" s="173">
        <v>45566</v>
      </c>
      <c r="S812" s="173"/>
      <c r="T812" s="173">
        <v>45566</v>
      </c>
      <c r="U812" s="173"/>
      <c r="V812" s="173"/>
      <c r="W812" s="3">
        <f>VLOOKUP(Table1[[#This Row],[Status]],Auxiliar!$B$16:$D$23,3,0)*Table1[[#This Row],[Estimação (horas)]]</f>
        <v>2.5000000000000001E-2</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479</v>
      </c>
      <c r="J813" s="45">
        <f>VLOOKUP(Table1[[#This Row],[Status]],Auxiliar!$B$16:$C$23,2,0)</f>
        <v>4</v>
      </c>
      <c r="K813" s="3" t="s">
        <v>1137</v>
      </c>
      <c r="L813" s="3" t="s">
        <v>1135</v>
      </c>
      <c r="M813" s="22" t="s">
        <v>1136</v>
      </c>
      <c r="N813" s="53">
        <v>45569</v>
      </c>
      <c r="O813" s="22">
        <f>INDEX(Auxiliar!$D$5:$F$13,MATCH(Table1[[#This Row],[Tipologia_Testes]],Auxiliar!$B$5:$B$13,0),MATCH(Table1[[#This Row],[Complexidade]],Auxiliar!$D$4:$F$4,0))</f>
        <v>8</v>
      </c>
      <c r="P813" s="24" t="s">
        <v>1186</v>
      </c>
      <c r="Q813" s="3"/>
      <c r="R813" s="173">
        <v>45566</v>
      </c>
      <c r="S813" s="173"/>
      <c r="T813" s="173">
        <v>45566</v>
      </c>
      <c r="U813" s="173"/>
      <c r="V813" s="173"/>
      <c r="W813" s="3">
        <f>VLOOKUP(Table1[[#This Row],[Status]],Auxiliar!$B$16:$D$23,3,0)*Table1[[#This Row],[Estimação (horas)]]</f>
        <v>2</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479</v>
      </c>
      <c r="J814" s="45">
        <f>VLOOKUP(Table1[[#This Row],[Status]],Auxiliar!$B$16:$C$23,2,0)</f>
        <v>4</v>
      </c>
      <c r="K814" s="3" t="s">
        <v>1138</v>
      </c>
      <c r="L814" s="3" t="s">
        <v>1135</v>
      </c>
      <c r="M814" s="22" t="s">
        <v>1136</v>
      </c>
      <c r="N814" s="53">
        <v>45569</v>
      </c>
      <c r="O814" s="22">
        <f>INDEX(Auxiliar!$D$5:$F$13,MATCH(Table1[[#This Row],[Tipologia_Testes]],Auxiliar!$B$5:$B$13,0),MATCH(Table1[[#This Row],[Complexidade]],Auxiliar!$D$4:$F$4,0))</f>
        <v>8</v>
      </c>
      <c r="P814" s="24" t="s">
        <v>1186</v>
      </c>
      <c r="Q814" s="3"/>
      <c r="R814" s="173">
        <v>45566</v>
      </c>
      <c r="S814" s="173"/>
      <c r="T814" s="173">
        <v>45566</v>
      </c>
      <c r="U814" s="173"/>
      <c r="V814" s="173"/>
      <c r="W814" s="3">
        <f>VLOOKUP(Table1[[#This Row],[Status]],Auxiliar!$B$16:$D$23,3,0)*Table1[[#This Row],[Estimação (horas)]]</f>
        <v>2</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479</v>
      </c>
      <c r="J815" s="45">
        <f>VLOOKUP(Table1[[#This Row],[Status]],Auxiliar!$B$16:$C$23,2,0)</f>
        <v>4</v>
      </c>
      <c r="K815" s="3" t="s">
        <v>1141</v>
      </c>
      <c r="L815" s="3" t="s">
        <v>1135</v>
      </c>
      <c r="M815" s="22" t="s">
        <v>1136</v>
      </c>
      <c r="N815" s="53">
        <v>45569</v>
      </c>
      <c r="O815" s="22">
        <f>INDEX(Auxiliar!$D$5:$F$13,MATCH(Table1[[#This Row],[Tipologia_Testes]],Auxiliar!$B$5:$B$13,0),MATCH(Table1[[#This Row],[Complexidade]],Auxiliar!$D$4:$F$4,0))</f>
        <v>0.1</v>
      </c>
      <c r="P815" s="24" t="s">
        <v>1186</v>
      </c>
      <c r="Q815" s="3"/>
      <c r="R815" s="173">
        <v>45566</v>
      </c>
      <c r="S815" s="173"/>
      <c r="T815" s="173">
        <v>45566</v>
      </c>
      <c r="U815" s="173"/>
      <c r="V815" s="173"/>
      <c r="W815" s="3">
        <f>VLOOKUP(Table1[[#This Row],[Status]],Auxiliar!$B$16:$D$23,3,0)*Table1[[#This Row],[Estimação (horas)]]</f>
        <v>2.5000000000000001E-2</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479</v>
      </c>
      <c r="J816" s="45">
        <f>VLOOKUP(Table1[[#This Row],[Status]],Auxiliar!$B$16:$C$23,2,0)</f>
        <v>4</v>
      </c>
      <c r="K816" s="3" t="s">
        <v>1137</v>
      </c>
      <c r="L816" s="3" t="s">
        <v>1135</v>
      </c>
      <c r="M816" s="22" t="s">
        <v>1136</v>
      </c>
      <c r="N816" s="53">
        <v>45569</v>
      </c>
      <c r="O816" s="22">
        <f>INDEX(Auxiliar!$D$5:$F$13,MATCH(Table1[[#This Row],[Tipologia_Testes]],Auxiliar!$B$5:$B$13,0),MATCH(Table1[[#This Row],[Complexidade]],Auxiliar!$D$4:$F$4,0))</f>
        <v>8</v>
      </c>
      <c r="P816" s="24" t="s">
        <v>1186</v>
      </c>
      <c r="Q816" s="3"/>
      <c r="R816" s="173">
        <v>45566</v>
      </c>
      <c r="S816" s="173"/>
      <c r="T816" s="173">
        <v>45566</v>
      </c>
      <c r="U816" s="173"/>
      <c r="V816" s="173"/>
      <c r="W816" s="3">
        <f>VLOOKUP(Table1[[#This Row],[Status]],Auxiliar!$B$16:$D$23,3,0)*Table1[[#This Row],[Estimação (horas)]]</f>
        <v>2</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479</v>
      </c>
      <c r="J817" s="45">
        <f>VLOOKUP(Table1[[#This Row],[Status]],Auxiliar!$B$16:$C$23,2,0)</f>
        <v>4</v>
      </c>
      <c r="K817" s="3" t="s">
        <v>1138</v>
      </c>
      <c r="L817" s="3" t="s">
        <v>1135</v>
      </c>
      <c r="M817" s="22" t="s">
        <v>1136</v>
      </c>
      <c r="N817" s="53">
        <v>45569</v>
      </c>
      <c r="O817" s="22">
        <f>INDEX(Auxiliar!$D$5:$F$13,MATCH(Table1[[#This Row],[Tipologia_Testes]],Auxiliar!$B$5:$B$13,0),MATCH(Table1[[#This Row],[Complexidade]],Auxiliar!$D$4:$F$4,0))</f>
        <v>8</v>
      </c>
      <c r="P817" s="24" t="s">
        <v>1186</v>
      </c>
      <c r="Q817" s="3"/>
      <c r="R817" s="173">
        <v>45566</v>
      </c>
      <c r="S817" s="173"/>
      <c r="T817" s="173">
        <v>45566</v>
      </c>
      <c r="U817" s="173"/>
      <c r="V817" s="173"/>
      <c r="W817" s="3">
        <f>VLOOKUP(Table1[[#This Row],[Status]],Auxiliar!$B$16:$D$23,3,0)*Table1[[#This Row],[Estimação (horas)]]</f>
        <v>2</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479</v>
      </c>
      <c r="J818" s="45">
        <f>VLOOKUP(Table1[[#This Row],[Status]],Auxiliar!$B$16:$C$23,2,0)</f>
        <v>4</v>
      </c>
      <c r="K818" s="3" t="s">
        <v>1141</v>
      </c>
      <c r="L818" s="3" t="s">
        <v>1135</v>
      </c>
      <c r="M818" s="22" t="s">
        <v>1136</v>
      </c>
      <c r="N818" s="53">
        <v>45569</v>
      </c>
      <c r="O818" s="22">
        <f>INDEX(Auxiliar!$D$5:$F$13,MATCH(Table1[[#This Row],[Tipologia_Testes]],Auxiliar!$B$5:$B$13,0),MATCH(Table1[[#This Row],[Complexidade]],Auxiliar!$D$4:$F$4,0))</f>
        <v>0.1</v>
      </c>
      <c r="P818" s="24" t="s">
        <v>1186</v>
      </c>
      <c r="Q818" s="3"/>
      <c r="R818" s="173">
        <v>45566</v>
      </c>
      <c r="S818" s="173"/>
      <c r="T818" s="173">
        <v>45566</v>
      </c>
      <c r="U818" s="173"/>
      <c r="V818" s="173"/>
      <c r="W818" s="3">
        <f>VLOOKUP(Table1[[#This Row],[Status]],Auxiliar!$B$16:$D$23,3,0)*Table1[[#This Row],[Estimação (horas)]]</f>
        <v>2.5000000000000001E-2</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1883</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1883</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1883</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AC51F60-AEF3-47D7-A16F-E0F9B89122B7}"/>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0683c779-04fc-4b63-89c9-6c25ffa1c0a4"/>
    <ds:schemaRef ds:uri="http://purl.org/dc/elements/1.1/"/>
    <ds:schemaRef ds:uri="http://schemas.microsoft.com/sharepoint/v3"/>
    <ds:schemaRef ds:uri="http://www.w3.org/XML/1998/namespace"/>
    <ds:schemaRef ds:uri="http://purl.org/dc/terms/"/>
    <ds:schemaRef ds:uri="http://schemas.microsoft.com/office/2006/documentManagement/types"/>
    <ds:schemaRef ds:uri="6ea7b29d-57ec-408d-9ea9-cf73b04f66d5"/>
    <ds:schemaRef ds:uri="http://purl.org/dc/dcmityp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2024-10-04T08:46:39Z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