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91" r:id="rId12"/>
    <pivotCache cacheId="194" r:id="rId13"/>
    <pivotCache cacheId="197" r:id="rId14"/>
    <pivotCache cacheId="200" r:id="rId15"/>
    <pivotCache cacheId="203" r:id="rId16"/>
    <pivotCache cacheId="206" r:id="rId17"/>
    <pivotCache cacheId="20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M169" i="21" l="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O120" i="21" s="1"/>
  <c r="P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O121" i="21" s="1"/>
  <c r="P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O212" i="21" s="1"/>
  <c r="P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O122" i="21" s="1"/>
  <c r="P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O55" i="21" s="1"/>
  <c r="P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O75" i="21" s="1"/>
  <c r="P75" i="21" s="1"/>
  <c r="L76" i="21" a="1"/>
  <c r="L76" i="21" s="1"/>
  <c r="O76" i="21" s="1"/>
  <c r="P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O78" i="21" s="1"/>
  <c r="P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O60" i="21" s="1"/>
  <c r="P60" i="21" s="1"/>
  <c r="L59" i="21" a="1"/>
  <c r="L59" i="21" s="1"/>
  <c r="O59" i="21" s="1"/>
  <c r="P59" i="21" s="1"/>
  <c r="L42" i="21" a="1"/>
  <c r="L42" i="21" s="1"/>
  <c r="O42" i="21" s="1"/>
  <c r="P42" i="21" s="1"/>
  <c r="M67" i="21" a="1"/>
  <c r="M67" i="21" s="1"/>
  <c r="M54" i="21" a="1"/>
  <c r="M54" i="21" s="1"/>
  <c r="L19" i="21" a="1"/>
  <c r="L19" i="21" s="1"/>
  <c r="O19" i="21" s="1"/>
  <c r="P19" i="21" s="1"/>
  <c r="M44" i="21" a="1"/>
  <c r="M44" i="21" s="1"/>
  <c r="M43" i="21" a="1"/>
  <c r="M43" i="21" s="1"/>
  <c r="L67" i="21" a="1"/>
  <c r="L67" i="21" s="1"/>
  <c r="O67" i="21" s="1"/>
  <c r="P67" i="21" s="1"/>
  <c r="L65" i="21" a="1"/>
  <c r="L65" i="21" s="1"/>
  <c r="O65" i="21" s="1"/>
  <c r="P65" i="21" s="1"/>
  <c r="L49" i="21" a="1"/>
  <c r="L49" i="21" s="1"/>
  <c r="O49" i="21" s="1"/>
  <c r="P49" i="21" s="1"/>
  <c r="L64" i="21" a="1"/>
  <c r="L64" i="21" s="1"/>
  <c r="O64" i="21" s="1"/>
  <c r="P64" i="21" s="1"/>
  <c r="M20" i="21" a="1"/>
  <c r="M20" i="21" s="1"/>
  <c r="L61" i="21" a="1"/>
  <c r="L61" i="21" s="1"/>
  <c r="O61" i="21" s="1"/>
  <c r="P61" i="21" s="1"/>
  <c r="M37" i="21" a="1"/>
  <c r="M37" i="21" s="1"/>
  <c r="L57" i="21" a="1"/>
  <c r="L57" i="21" s="1"/>
  <c r="O57" i="21" s="1"/>
  <c r="P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O69" i="21" s="1"/>
  <c r="P69" i="21" s="1"/>
  <c r="L54" i="21" a="1"/>
  <c r="L54" i="21" s="1"/>
  <c r="M66" i="21" a="1"/>
  <c r="M66" i="21" s="1"/>
  <c r="L20" i="21" a="1"/>
  <c r="L20" i="21" s="1"/>
  <c r="O20" i="21" s="1"/>
  <c r="P20" i="21" s="1"/>
  <c r="L47" i="21" a="1"/>
  <c r="L47" i="21" s="1"/>
  <c r="O47" i="21" s="1"/>
  <c r="P47" i="21" s="1"/>
  <c r="L43" i="21" a="1"/>
  <c r="L43" i="21" s="1"/>
  <c r="O43" i="21" s="1"/>
  <c r="P43" i="21" s="1"/>
  <c r="L68" i="21" a="1"/>
  <c r="L68" i="21" s="1"/>
  <c r="O68" i="21" s="1"/>
  <c r="P68" i="21" s="1"/>
  <c r="M63" i="21" a="1"/>
  <c r="M63" i="21" s="1"/>
  <c r="M68" i="21" a="1"/>
  <c r="M68" i="21" s="1"/>
  <c r="L66" i="21" a="1"/>
  <c r="L66" i="21" s="1"/>
  <c r="O66" i="21" s="1"/>
  <c r="P66" i="21" s="1"/>
  <c r="L52" i="21" a="1"/>
  <c r="L52" i="21" s="1"/>
  <c r="O52" i="21" s="1"/>
  <c r="P52" i="21" s="1"/>
  <c r="M58" i="21" a="1"/>
  <c r="M58" i="21" s="1"/>
  <c r="M49" i="21" a="1"/>
  <c r="M49" i="21" s="1"/>
  <c r="M69" i="21" a="1"/>
  <c r="M69" i="21" s="1"/>
  <c r="M32" i="21" a="1"/>
  <c r="M32" i="21" s="1"/>
  <c r="L33" i="21" a="1"/>
  <c r="L33" i="21" s="1"/>
  <c r="L56" i="21" a="1"/>
  <c r="L56" i="21" s="1"/>
  <c r="O56" i="21" s="1"/>
  <c r="P56" i="21" s="1"/>
  <c r="M47" i="21" a="1"/>
  <c r="M47" i="21" s="1"/>
  <c r="M46" i="21" a="1"/>
  <c r="M46" i="21" s="1"/>
  <c r="M35" i="21" a="1"/>
  <c r="M35" i="21" s="1"/>
  <c r="L45" i="21" a="1"/>
  <c r="L45" i="21" s="1"/>
  <c r="O45" i="21" s="1"/>
  <c r="P45" i="21" s="1"/>
  <c r="M59" i="21" a="1"/>
  <c r="M59" i="21" s="1"/>
  <c r="L37" i="21" a="1"/>
  <c r="L37" i="21" s="1"/>
  <c r="M52" i="21" a="1"/>
  <c r="M52" i="21" s="1"/>
  <c r="L44" i="21" a="1"/>
  <c r="L44" i="21" s="1"/>
  <c r="O44" i="21" s="1"/>
  <c r="P44" i="21" s="1"/>
  <c r="M39" i="21" a="1"/>
  <c r="M39" i="21" s="1"/>
  <c r="L38" i="21" a="1"/>
  <c r="L38" i="21" s="1"/>
  <c r="M48" i="21" a="1"/>
  <c r="M48" i="21" s="1"/>
  <c r="M31" i="21" a="1"/>
  <c r="M31" i="21" s="1"/>
  <c r="M42" i="21" a="1"/>
  <c r="M42" i="21" s="1"/>
  <c r="M19" i="21" a="1"/>
  <c r="M19" i="21" s="1"/>
  <c r="L40" i="21" a="1"/>
  <c r="L40" i="21" s="1"/>
  <c r="L62" i="21" a="1"/>
  <c r="L62" i="21" s="1"/>
  <c r="O62" i="21" s="1"/>
  <c r="P62" i="21" s="1"/>
  <c r="L41" i="21" a="1"/>
  <c r="L41" i="21" s="1"/>
  <c r="M33" i="21" a="1"/>
  <c r="M33" i="21" s="1"/>
  <c r="M65" i="21" a="1"/>
  <c r="M65" i="21" s="1"/>
  <c r="L32" i="21" a="1"/>
  <c r="L32" i="21" s="1"/>
  <c r="L63" i="21" a="1"/>
  <c r="L63" i="21" s="1"/>
  <c r="O63" i="21" s="1"/>
  <c r="P63" i="21" s="1"/>
  <c r="M21" i="21" a="1"/>
  <c r="M21" i="21" s="1"/>
  <c r="L27" i="21" a="1"/>
  <c r="L27" i="21" s="1"/>
  <c r="O27" i="21" s="1"/>
  <c r="P27" i="21" s="1"/>
  <c r="M40" i="21" a="1"/>
  <c r="M40" i="21" s="1"/>
  <c r="M51" i="21" a="1"/>
  <c r="M51" i="21" s="1"/>
  <c r="M61" i="21" a="1"/>
  <c r="M61" i="21" s="1"/>
  <c r="L48" i="21" a="1"/>
  <c r="L48" i="21" s="1"/>
  <c r="O48" i="21" s="1"/>
  <c r="P48" i="21" s="1"/>
  <c r="L39" i="21" a="1"/>
  <c r="L39" i="21" s="1"/>
  <c r="M64" i="21" a="1"/>
  <c r="M64" i="21" s="1"/>
  <c r="L51" i="21" a="1"/>
  <c r="L51" i="21" s="1"/>
  <c r="O51" i="21" s="1"/>
  <c r="P51" i="21" s="1"/>
  <c r="M41" i="21" a="1"/>
  <c r="M41" i="21" s="1"/>
  <c r="L58" i="21" a="1"/>
  <c r="L58" i="21" s="1"/>
  <c r="O58" i="21" s="1"/>
  <c r="P58" i="21" s="1"/>
  <c r="M60" i="21" a="1"/>
  <c r="M60" i="21" s="1"/>
  <c r="M38" i="21" a="1"/>
  <c r="M38" i="21" s="1"/>
  <c r="M55" i="21" a="1"/>
  <c r="M55" i="21" s="1"/>
  <c r="L50" i="21" a="1"/>
  <c r="L50" i="21" s="1"/>
  <c r="O50" i="21" s="1"/>
  <c r="P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206" i="21" l="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173" i="21" l="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P70" i="21" s="1"/>
  <c r="CF13" i="20"/>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<sst xmlns="http://schemas.openxmlformats.org/spreadsheetml/2006/main" count="28599" uniqueCount="2035">
  <si>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</si>
  <si>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</si>
  <si>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</si>
  <si>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</si>
  <si>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</si>
  <si>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</si>
  <si>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</si>
  <si>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</si>
  <si>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</si>
  <si>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</si>
  <si>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</si>
  <si>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</si>
  <si>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</si>
  <si>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</si>
  <si>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</si>
  <si>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</si>
  <si>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</si>
  <si>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</si>
  <si>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</si>
  <si>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</si>
  <si>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</si>
  <si>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</si>
  <si>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</si>
  <si>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</si>
  <si>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</si>
  <si>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</si>
  <si>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</si>
  <si>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</si>
  <si>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</si>
  <si>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</si>
  <si>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</si>
  <si>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</si>
  <si>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</si>
  <si>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</si>
  <si>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</si>
  <si>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</si>
  <si>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</si>
  <si>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</si>
  <si>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</si>
  <si>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</si>
  <si>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</si>
  <si>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</si>
  <si>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</si>
  <si>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</si>
  <si>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</si>
  <si>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</si>
  <si>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</si>
  <si>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</si>
  <si>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</si>
  <si>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</si>
  <si>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</si>
  <si>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</si>
  <si>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</si>
  <si>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</si>
  <si>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</si>
  <si>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</si>
  <si>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</si>
  <si>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</si>
  <si>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</si>
  <si>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</si>
  <si>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</si>
  <si>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</si>
  <si>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</si>
  <si>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</si>
  <si>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</si>
  <si>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</si>
  <si>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</si>
  <si>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</si>
  <si>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</si>
  <si>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</si>
  <si>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</si>
  <si>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</si>
  <si>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</si>
  <si>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</si>
  <si>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</si>
  <si>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</si>
  <si>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</si>
  <si>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</si>
  <si>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</si>
  <si>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</si>
  <si>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</si>
  <si>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</si>
  <si>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</si>
  <si>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</si>
  <si>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</si>
  <si>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</si>
  <si>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</si>
  <si>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</si>
  <si>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</si>
  <si>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</si>
  <si>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</si>
  <si>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</si>
  <si>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</si>
  <si>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</si>
  <si>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</si>
  <si>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</si>
  <si>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</si>
  <si>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</si>
  <si>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</si>
  <si>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</si>
  <si>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</si>
  <si>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</si>
  <si>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</si>
  <si>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</si>
  <si>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</si>
  <si>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</si>
  <si>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</si>
  <si>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</si>
  <si>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</si>
  <si>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</si>
  <si>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</si>
  <si>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</si>
  <si>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</si>
  <si>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</si>
  <si>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</si>
  <si>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</si>
  <si>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</si>
  <si>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</si>
  <si>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</si>
  <si>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</si>
  <si>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</si>
  <si>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</si>
  <si>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</si>
  <si>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</si>
  <si>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</si>
  <si>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</si>
  <si>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</si>
  <si>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</si>
  <si>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</si>
  <si>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</si>
  <si>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</si>
  <si>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</si>
  <si>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</si>
  <si>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</si>
  <si>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</si>
  <si>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</si>
  <si>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</si>
  <si>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</si>
  <si>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</si>
  <si>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</si>
  <si>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</si>
  <si>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</si>
  <si>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</si>
  <si>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</si>
  <si>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</si>
  <si>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</si>
  <si>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</si>
  <si>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</si>
  <si>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</si>
  <si>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</si>
  <si>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</si>
  <si>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</si>
  <si>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</si>
  <si>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</si>
  <si>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</si>
  <si>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</si>
  <si>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</si>
  <si>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</si>
  <si>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</si>
  <si>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</si>
  <si>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</si>
  <si>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</si>
  <si>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</si>
  <si>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</si>
  <si>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</si>
  <si>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</si>
  <si>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</si>
  <si>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</si>
  <si>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</si>
  <si>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</si>
  <si>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</si>
  <si>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</si>
  <si>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</si>
  <si>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</si>
  <si>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</si>
  <si>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</si>
  <si>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</si>
  <si>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</si>
  <si>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</si>
  <si>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</si>
  <si>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</si>
  <si>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</si>
  <si>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</si>
  <si>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</si>
  <si>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</si>
  <si>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</si>
  <si>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</si>
  <si>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</si>
  <si>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</si>
  <si>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</si>
  <si>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</si>
  <si>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</si>
  <si>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</si>
  <si>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</si>
  <si>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</si>
  <si>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</si>
  <si>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</si>
  <si>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</si>
  <si>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</si>
  <si>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</si>
  <si>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</si>
  <si>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</si>
  <si>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</si>
  <si>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</si>
  <si>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</si>
  <si>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</si>
  <si>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</si>
  <si>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</si>
  <si>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</si>
  <si>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</si>
  <si>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</si>
  <si>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</si>
  <si>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</si>
  <si>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</si>
  <si>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</si>
  <si>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</si>
  <si>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</si>
  <si>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</si>
  <si>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</si>
  <si>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</si>
  <si>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</si>
  <si>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</si>
  <si>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</si>
  <si>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</si>
  <si>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</si>
  <si>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</si>
  <si>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</si>
  <si>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</si>
  <si>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</si>
  <si>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</si>
  <si>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</si>
  <si>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</si>
  <si>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</si>
  <si>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</si>
  <si>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</si>
  <si>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</si>
  <si>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</si>
  <si>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</si>
  <si>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</si>
  <si>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</si>
  <si>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</si>
  <si>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</si>
  <si>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</si>
  <si>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</si>
  <si>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</si>
  <si>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</si>
  <si>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</si>
  <si>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</si>
  <si>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</si>
  <si>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</si>
  <si>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</si>
  <si>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</si>
  <si>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</si>
  <si>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</si>
  <si>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</si>
  <si>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</si>
  <si>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</si>
  <si>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</si>
  <si>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</si>
  <si>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</si>
  <si>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</si>
  <si>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</si>
  <si>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</si>
  <si>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</si>
  <si>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</si>
  <si>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</si>
  <si>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</si>
  <si>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</si>
  <si>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</si>
  <si>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</si>
  <si>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</si>
  <si>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</si>
  <si>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</si>
  <si>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</si>
  <si>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</si>
  <si>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</si>
  <si>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</si>
  <si>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</si>
  <si>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</si>
  <si>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</si>
  <si>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</si>
  <si>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</si>
  <si>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</si>
  <si>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</si>
  <si>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</si>
  <si>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</si>
  <si>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</si>
  <si>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</si>
  <si>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</si>
  <si>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</si>
  <si>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</si>
  <si>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</si>
  <si>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</si>
  <si>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</si>
  <si>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</si>
  <si>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</si>
  <si>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</si>
  <si>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</si>
  <si>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</si>
  <si>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</si>
  <si>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</si>
  <si>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</si>
  <si>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</si>
  <si>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</si>
  <si>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</si>
  <si>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</si>
  <si>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</si>
  <si>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</si>
  <si>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</si>
  <si>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</si>
  <si>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</si>
  <si>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</si>
  <si>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</si>
  <si>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</si>
  <si>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</si>
  <si>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</si>
  <si>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</si>
  <si>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</si>
  <si>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</si>
  <si>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</si>
  <si>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</si>
  <si>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</si>
  <si>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</si>
  <si>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</si>
  <si>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</si>
  <si>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</si>
  <si>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</si>
  <si>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</si>
  <si>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</si>
  <si>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</si>
  <si>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</si>
  <si>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</si>
  <si>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</si>
  <si>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</si>
  <si>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</si>
  <si>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</si>
  <si>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</si>
  <si>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</si>
  <si>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</si>
  <si>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</si>
  <si>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</si>
  <si>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</si>
  <si>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</si>
  <si>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</si>
  <si>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</si>
  <si>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</si>
  <si>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</si>
  <si>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</si>
  <si>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</si>
  <si>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</si>
  <si>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</si>
  <si>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</si>
  <si>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</si>
  <si>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</si>
  <si>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</si>
  <si>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</si>
  <si>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</si>
  <si>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</si>
  <si>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</si>
  <si>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</si>
  <si>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</si>
  <si>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</si>
  <si>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</si>
  <si>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</si>
  <si>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</si>
  <si>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</si>
  <si>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</si>
  <si>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</si>
  <si>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</si>
  <si>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</si>
  <si>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</si>
  <si>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</si>
  <si>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</si>
  <si>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</si>
  <si>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</si>
  <si>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</si>
  <si>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</si>
  <si>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</si>
  <si>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</si>
  <si>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</si>
  <si>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</si>
  <si>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</si>
  <si>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</si>
  <si>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</si>
  <si>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</si>
  <si>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</si>
  <si>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</si>
  <si>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</si>
  <si>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</si>
  <si>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</si>
  <si>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</si>
  <si>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</si>
  <si>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</si>
  <si>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</si>
  <si>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</si>
  <si>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</si>
  <si>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</si>
  <si>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</si>
  <si>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</si>
  <si>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</si>
  <si>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</si>
  <si>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</si>
  <si>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</si>
  <si>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</si>
  <si>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</si>
  <si>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</si>
  <si>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</si>
  <si>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</si>
  <si>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</si>
  <si>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</si>
  <si>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</si>
  <si>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</si>
  <si>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</si>
  <si>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</si>
  <si>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</si>
  <si>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</si>
  <si>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</si>
  <si>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</si>
  <si>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</si>
  <si>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</si>
  <si>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</si>
  <si>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</si>
  <si>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</si>
  <si>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</si>
  <si>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</si>
  <si>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</si>
  <si>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</si>
  <si>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</si>
  <si>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</si>
  <si>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</si>
  <si>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</si>
  <si>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</si>
  <si>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</si>
  <si>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</si>
  <si>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</si>
  <si>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</si>
  <si>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</si>
  <si>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</si>
  <si>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</si>
  <si>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</si>
  <si>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</si>
  <si>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</si>
  <si>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</si>
  <si>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</si>
  <si>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</si>
  <si>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</si>
  <si>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</si>
  <si>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</si>
  <si>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</si>
  <si>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</si>
  <si>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</si>
  <si>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</si>
  <si>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</si>
  <si>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</si>
  <si>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</si>
  <si>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</si>
  <si>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</si>
  <si>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</si>
  <si>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</si>
  <si>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</si>
  <si>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</si>
  <si>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</si>
  <si>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</si>
  <si>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</si>
  <si>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</si>
  <si>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</si>
  <si>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</si>
  <si>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</si>
  <si>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</si>
  <si>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</si>
  <si>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</si>
  <si>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</si>
  <si>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</si>
  <si>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</si>
  <si>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</si>
  <si>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</si>
  <si>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</si>
  <si>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</si>
  <si>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</si>
  <si>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</si>
  <si>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</si>
  <si>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</si>
  <si>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</si>
  <si>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</si>
  <si>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</si>
  <si>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</si>
  <si>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</si>
  <si>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</si>
  <si>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</si>
  <si>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</si>
  <si>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</si>
  <si>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</si>
  <si>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</si>
  <si>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</si>
  <si>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</si>
  <si>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</si>
  <si>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</si>
  <si>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</si>
  <si>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</si>
  <si>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</si>
  <si>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</si>
  <si>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</si>
  <si>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</si>
  <si>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</si>
  <si>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</si>
  <si>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</si>
  <si>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</si>
  <si>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</si>
  <si>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</si>
  <si>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</si>
  <si>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</si>
  <si>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</si>
  <si>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</si>
  <si>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</si>
  <si>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</si>
  <si>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</si>
  <si>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</si>
  <si>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</si>
  <si>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</si>
  <si>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</si>
  <si>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</si>
  <si>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</si>
  <si>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</si>
  <si>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</si>
  <si>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</si>
  <si>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</si>
  <si>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</si>
  <si>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</si>
  <si>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</si>
  <si>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</si>
  <si>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</si>
  <si>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</si>
  <si>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</si>
  <si>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</si>
  <si>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</si>
  <si>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</si>
  <si>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</si>
  <si>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</si>
  <si>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</si>
  <si>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</si>
  <si>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</si>
  <si>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</si>
  <si>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</si>
  <si>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</si>
  <si>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</si>
  <si>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</si>
  <si>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</si>
  <si>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</si>
  <si>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</si>
  <si>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</si>
  <si>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</si>
  <si>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</si>
  <si>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</si>
  <si>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</si>
  <si>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</si>
  <si>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</si>
  <si>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</si>
  <si>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</si>
  <si>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</si>
  <si>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</si>
  <si>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</si>
  <si>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</si>
  <si>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</si>
  <si>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</si>
  <si>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</si>
  <si>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</si>
  <si>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</si>
  <si>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</si>
  <si>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</si>
  <si>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</si>
  <si>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</si>
  <si>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</si>
  <si>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</si>
  <si>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</si>
  <si>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</si>
  <si>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</si>
  <si>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</si>
  <si>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</si>
  <si>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</si>
  <si>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</si>
  <si>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</si>
  <si>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</si>
  <si>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</si>
  <si>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</si>
  <si>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</si>
  <si>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</si>
  <si>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</si>
  <si>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</si>
  <si>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</si>
  <si>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</si>
  <si>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</si>
  <si>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</si>
  <si>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</si>
  <si>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</si>
  <si>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</si>
  <si>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</si>
  <si>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</si>
  <si>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</si>
  <si>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</si>
  <si>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</si>
  <si>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</si>
  <si>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</si>
  <si>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</si>
  <si>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</si>
  <si>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</si>
  <si>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</si>
  <si>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</si>
  <si>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</si>
  <si>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</si>
  <si>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</si>
  <si>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</si>
  <si>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</si>
  <si>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</si>
  <si>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</si>
  <si>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</si>
  <si>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</si>
  <si>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</si>
  <si>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</si>
  <si>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</si>
  <si>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</si>
  <si>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</si>
  <si>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</si>
  <si>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</si>
  <si>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</si>
  <si>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</si>
  <si>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</si>
  <si>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</si>
  <si>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</si>
  <si>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</si>
  <si>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</si>
  <si>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</si>
  <si>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</si>
  <si>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</si>
  <si>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</si>
  <si>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</si>
  <si>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</si>
  <si>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</si>
  <si>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</si>
  <si>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</si>
  <si>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</si>
  <si>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</si>
  <si>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</si>
  <si>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</si>
  <si>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</si>
  <si>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</si>
  <si>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</si>
  <si>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</si>
  <si>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</si>
  <si>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</si>
  <si>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</si>
  <si>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</si>
  <si>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</si>
  <si>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</si>
  <si>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</si>
  <si>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</si>
  <si>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</si>
  <si>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</si>
  <si>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</si>
  <si>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</si>
  <si>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</si>
  <si>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</si>
  <si>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</si>
  <si>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</si>
  <si>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</si>
  <si>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</si>
  <si>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</si>
  <si>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</si>
  <si>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</si>
  <si>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</si>
  <si>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</si>
  <si>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</si>
  <si>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</si>
  <si>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</si>
  <si>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</si>
  <si>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</si>
  <si>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</si>
  <si>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</si>
  <si>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</si>
  <si>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</si>
  <si>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</si>
  <si>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</si>
  <si>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</si>
  <si>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</si>
  <si>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</si>
  <si>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</si>
  <si>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</si>
  <si>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</si>
  <si>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</si>
  <si>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</si>
  <si>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</si>
  <si>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</si>
  <si>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</si>
  <si>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</si>
  <si>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</si>
  <si>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</si>
  <si>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</si>
  <si>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</si>
  <si>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</si>
  <si>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</si>
  <si>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</si>
  <si>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</si>
  <si>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</si>
  <si>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</si>
  <si>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</si>
  <si>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</si>
  <si>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</si>
  <si>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</si>
  <si>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</si>
  <si>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</si>
  <si>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</si>
  <si>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</si>
  <si>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</si>
  <si>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</si>
  <si>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</si>
  <si>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</si>
  <si>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</si>
  <si>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</si>
  <si>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</si>
  <si>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</si>
  <si>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</si>
  <si>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</si>
  <si>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</si>
  <si>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</si>
  <si>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</si>
  <si>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</si>
  <si>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</si>
  <si>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</si>
  <si>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</si>
  <si>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</si>
  <si>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</si>
  <si>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</si>
  <si>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</si>
  <si>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</si>
  <si>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</si>
  <si>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</si>
  <si>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</si>
  <si>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</si>
  <si>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</si>
  <si>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</si>
  <si>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</si>
  <si>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</si>
  <si>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</si>
  <si>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</si>
  <si>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</si>
  <si>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</si>
  <si>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</si>
  <si>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</si>
  <si>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</si>
  <si>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</si>
  <si>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</si>
  <si>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</si>
  <si>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</si>
  <si>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</si>
  <si>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</si>
  <si>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</si>
  <si>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</si>
  <si>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</si>
  <si>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</si>
  <si>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</si>
  <si>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</si>
  <si>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</si>
  <si>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</si>
  <si>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</si>
  <si>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</si>
  <si>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</si>
  <si>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</si>
  <si>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</si>
  <si>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</si>
  <si>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</si>
  <si>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</si>
  <si>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</si>
  <si>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</si>
  <si>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</si>
  <si>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</si>
  <si>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</si>
  <si>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</si>
  <si>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</si>
  <si>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</si>
  <si>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</si>
  <si>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</si>
  <si>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</si>
  <si>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</si>
  <si>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</si>
  <si>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</si>
  <si>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</si>
  <si>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</si>
  <si>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</si>
  <si>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</si>
  <si>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</si>
  <si>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</si>
  <si>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</si>
  <si>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</si>
  <si>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</si>
  <si>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</si>
  <si>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</si>
  <si>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</si>
  <si>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</si>
  <si>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</si>
  <si>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</si>
  <si>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</si>
  <si>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</si>
  <si>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</si>
  <si>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</si>
  <si>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</si>
  <si>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</si>
  <si>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</si>
  <si>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</si>
  <si>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</si>
  <si>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</si>
  <si>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</si>
  <si>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</si>
  <si>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</si>
  <si>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</si>
  <si>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</si>
  <si>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</si>
  <si>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</si>
  <si>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</si>
  <si>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</si>
  <si>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</si>
  <si>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</si>
  <si>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</si>
  <si>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</si>
  <si>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</si>
  <si>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</si>
  <si>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</si>
  <si>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</si>
  <si>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</si>
  <si>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</si>
  <si>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</si>
  <si>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</si>
  <si>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</si>
  <si>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</si>
  <si>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</si>
  <si>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</si>
  <si>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</si>
  <si>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</si>
  <si>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</si>
  <si>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</si>
  <si>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</si>
  <si>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</si>
  <si>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</si>
  <si>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</si>
  <si>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</si>
  <si>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</si>
  <si>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</si>
  <si>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</si>
  <si>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</si>
  <si>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</si>
  <si>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</si>
  <si>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</si>
  <si>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</si>
  <si>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</si>
  <si>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</si>
  <si>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</si>
  <si>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</si>
  <si>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</si>
  <si>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</si>
  <si>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</si>
  <si>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</si>
  <si>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</si>
  <si>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</si>
  <si>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</si>
  <si>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</si>
  <si>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</si>
  <si>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</si>
  <si>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</si>
  <si>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</si>
  <si>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</si>
  <si>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</si>
  <si>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</si>
  <si>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</si>
  <si>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</si>
  <si>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</si>
  <si>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</si>
  <si>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</si>
  <si>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</si>
  <si>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</si>
  <si>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</si>
  <si>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</si>
  <si>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</si>
  <si>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</si>
  <si>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</si>
  <si>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</si>
  <si>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</si>
  <si>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</si>
  <si>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</si>
  <si>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</si>
  <si>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</si>
  <si>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</si>
  <si>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</si>
  <si>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</si>
  <si>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</si>
  <si>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</si>
  <si>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</si>
  <si>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</si>
  <si>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</si>
  <si>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</si>
  <si>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</si>
  <si>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</si>
  <si>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</si>
  <si>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</si>
  <si>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</si>
  <si>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</si>
  <si>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</si>
  <si>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</si>
  <si>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</si>
  <si>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</si>
  <si>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</si>
  <si>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</si>
  <si>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</si>
  <si>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</si>
  <si>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</si>
  <si>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</si>
  <si>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</si>
  <si>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</si>
  <si>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</si>
  <si>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</si>
  <si>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</si>
  <si>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</si>
  <si>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</si>
  <si>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</si>
  <si>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</si>
  <si>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</si>
  <si>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</si>
  <si>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</si>
  <si>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</si>
  <si>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</si>
  <si>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</si>
  <si>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</si>
  <si>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</si>
  <si>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</si>
  <si>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</si>
  <si>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</si>
  <si>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</si>
  <si>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</si>
  <si>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</si>
  <si>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</si>
  <si>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</si>
  <si>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</si>
  <si>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</si>
  <si>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</si>
  <si>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</si>
  <si>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</si>
  <si>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</si>
  <si>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</si>
  <si>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</si>
  <si>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</si>
  <si>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</si>
  <si>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</si>
  <si>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</si>
  <si>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</si>
  <si>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</si>
  <si>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</si>
  <si>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</si>
  <si>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</si>
  <si>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</si>
  <si>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</si>
  <si>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</si>
  <si>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</si>
  <si>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</si>
  <si>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</si>
  <si>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</si>
  <si>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</si>
  <si>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</si>
  <si>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</si>
  <si>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</si>
  <si>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</si>
  <si>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</si>
  <si>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</si>
  <si>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</si>
  <si>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</si>
  <si>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</si>
  <si>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</si>
  <si>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</si>
  <si>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</si>
  <si>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</si>
  <si>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</si>
  <si>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</si>
  <si>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</si>
  <si>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</si>
  <si>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</si>
  <si>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</si>
  <si>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</si>
  <si>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</si>
  <si>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</si>
  <si>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</si>
  <si>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</si>
  <si>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</si>
  <si>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</si>
  <si>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</si>
  <si>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</si>
  <si>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</si>
  <si>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</si>
  <si>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</si>
  <si>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</si>
  <si>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</si>
  <si>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</si>
  <si>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</si>
  <si>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</si>
  <si>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</si>
  <si>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</si>
  <si>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</si>
  <si>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</si>
  <si>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</si>
  <si>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</si>
  <si>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</si>
  <si>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</si>
  <si>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</si>
  <si>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</si>
  <si>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</si>
  <si>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</si>
  <si>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</si>
  <si>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</si>
  <si>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</si>
  <si>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</si>
  <si>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</si>
  <si>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</si>
  <si>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</si>
  <si>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</si>
  <si>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</si>
  <si>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</si>
  <si>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</si>
  <si>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</si>
  <si>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</si>
  <si>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</si>
  <si>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</si>
  <si>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</si>
  <si>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</si>
  <si>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</si>
  <si>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</si>
  <si>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</si>
  <si>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</si>
  <si>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</si>
  <si>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</si>
  <si>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</si>
  <si>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</si>
  <si>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</si>
  <si>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</si>
  <si>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</si>
  <si>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</si>
  <si>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</si>
  <si>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</si>
  <si>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</si>
  <si>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</si>
  <si>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</si>
  <si>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</si>
  <si>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</si>
  <si>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</si>
  <si>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</si>
  <si>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</si>
  <si>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</si>
  <si>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</si>
  <si>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</si>
  <si>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</si>
  <si>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</si>
  <si>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</si>
  <si>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</si>
  <si>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</si>
  <si>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</si>
  <si>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</si>
  <si>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</si>
  <si>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</si>
  <si>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</si>
  <si>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</si>
  <si>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</si>
  <si>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</si>
  <si>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</si>
  <si>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</si>
  <si>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</si>
  <si>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</si>
  <si>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</si>
  <si>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</si>
  <si>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</si>
  <si>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</si>
  <si>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</si>
  <si>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</si>
  <si>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</si>
  <si>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</si>
  <si>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</si>
  <si>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</si>
  <si>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</si>
  <si>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</si>
  <si>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</si>
  <si>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</si>
  <si>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</si>
  <si>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</si>
  <si>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</si>
  <si>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</si>
  <si>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</si>
  <si>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</si>
  <si>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</si>
  <si>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</si>
  <si>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</si>
  <si>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</si>
  <si>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</si>
  <si>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</si>
  <si>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</si>
  <si>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</si>
  <si>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</si>
  <si>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</si>
  <si>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</si>
  <si>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</si>
  <si>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</si>
  <si>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</si>
  <si>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</si>
  <si>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</si>
  <si>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</si>
  <si>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</si>
  <si>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</si>
  <si>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</si>
  <si>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</si>
  <si>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</si>
  <si>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</si>
  <si>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</si>
  <si>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</si>
  <si>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</si>
  <si>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</si>
  <si>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</si>
  <si>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</si>
  <si>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</si>
  <si>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</si>
  <si>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</si>
  <si>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</si>
  <si>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</si>
  <si>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</si>
  <si>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</si>
  <si>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</si>
  <si>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</si>
  <si>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</si>
  <si>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</si>
  <si>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</si>
  <si>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</si>
  <si>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</si>
  <si>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</si>
  <si>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</si>
  <si>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</si>
  <si>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</si>
  <si>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</si>
  <si>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</si>
  <si>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</si>
  <si>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</si>
  <si>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</si>
  <si>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</si>
  <si>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</si>
  <si>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</si>
  <si>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</si>
  <si>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</si>
  <si>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</si>
  <si>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</si>
  <si>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</si>
  <si>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</si>
  <si>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</si>
  <si>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</si>
  <si>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</si>
  <si>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</si>
  <si>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</si>
  <si>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</si>
  <si>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</si>
  <si>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</si>
  <si>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</si>
  <si>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</si>
  <si>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</si>
  <si>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</si>
  <si>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</si>
  <si>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</si>
  <si>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</si>
  <si>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</si>
  <si>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</si>
  <si>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</si>
  <si>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</si>
  <si>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</si>
  <si>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</si>
  <si>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</si>
  <si>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</si>
  <si>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</si>
  <si>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</si>
  <si>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</si>
  <si>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</si>
  <si>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</si>
  <si>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</si>
  <si>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</si>
  <si>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</si>
  <si>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</si>
  <si>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</si>
  <si>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</si>
  <si>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</si>
  <si>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</si>
  <si>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</si>
  <si>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</si>
  <si>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</si>
  <si>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</si>
  <si>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</si>
  <si>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</si>
  <si>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</si>
  <si>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</si>
  <si>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</si>
  <si>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</si>
  <si>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</si>
  <si>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</si>
  <si>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</si>
  <si>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</si>
  <si>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</si>
  <si>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</si>
  <si>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</si>
  <si>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</si>
  <si>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</si>
  <si>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</si>
  <si>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</si>
  <si>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</si>
  <si>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</si>
  <si>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</si>
  <si>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</si>
  <si>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</si>
  <si>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</si>
  <si>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</si>
  <si>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</si>
  <si>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</si>
  <si>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</si>
  <si>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</si>
  <si>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</si>
  <si>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</si>
  <si>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</si>
  <si>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</si>
  <si>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</si>
  <si>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</si>
  <si>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</si>
  <si>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</si>
  <si>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</si>
  <si>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</si>
  <si>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</si>
  <si>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</si>
  <si>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</si>
  <si>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</si>
  <si>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</si>
  <si>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</si>
  <si>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</si>
  <si>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</si>
  <si>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</si>
  <si>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</si>
  <si>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</si>
  <si>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</si>
  <si>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</si>
  <si>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</si>
  <si>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</si>
  <si>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</si>
  <si>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</si>
  <si>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</si>
  <si>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</si>
  <si>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</si>
  <si>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</si>
  <si>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</si>
  <si>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</si>
  <si>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</si>
  <si>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</si>
  <si>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</si>
  <si>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</si>
  <si>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</si>
  <si>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</si>
  <si>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</si>
  <si>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</si>
  <si>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</si>
  <si>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</si>
  <si>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</si>
  <si>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</si>
  <si>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</si>
  <si>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</si>
  <si>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</si>
  <si>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</si>
  <si>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</si>
  <si>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</si>
  <si>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</si>
  <si>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</si>
  <si>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</si>
  <si>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</si>
  <si>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</si>
  <si>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</si>
  <si>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</si>
  <si>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</si>
  <si>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</si>
  <si>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</si>
  <si>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</si>
  <si>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</si>
  <si>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</si>
  <si>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</si>
  <si>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</si>
  <si>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</si>
  <si>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</si>
  <si>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</si>
  <si>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</si>
  <si>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</si>
  <si>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</si>
  <si>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</si>
  <si>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</si>
  <si>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</si>
  <si>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</si>
  <si>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</si>
  <si>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</si>
  <si>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</si>
  <si>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</si>
  <si>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</si>
  <si>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</si>
  <si>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</si>
  <si>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</si>
  <si>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</si>
  <si>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</si>
  <si>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</si>
  <si>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</si>
  <si>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</si>
  <si>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</si>
  <si>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</si>
  <si>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</si>
  <si>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</si>
  <si>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</si>
  <si>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</si>
  <si>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</si>
  <si>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</si>
  <si>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</si>
  <si>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</si>
  <si>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</si>
  <si>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</si>
  <si>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</si>
  <si>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</si>
  <si>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</si>
  <si>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</si>
  <si>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</si>
  <si>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</si>
  <si>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</si>
  <si>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</si>
  <si>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</si>
  <si>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</si>
  <si>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</si>
  <si>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</si>
  <si>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</si>
  <si>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</si>
  <si>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</si>
  <si>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</si>
  <si>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</si>
  <si>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</si>
  <si>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</si>
  <si>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</si>
  <si>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</si>
  <si>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</si>
  <si>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</si>
  <si>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</si>
  <si>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</si>
  <si>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</si>
  <si>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</si>
  <si>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</si>
  <si>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</si>
  <si>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</si>
  <si>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</si>
  <si>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</si>
  <si>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</si>
  <si>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</si>
  <si>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</si>
  <si>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</si>
  <si>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</si>
  <si>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</si>
  <si>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</si>
  <si>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</si>
  <si>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</si>
  <si>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</si>
  <si>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</si>
  <si>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</si>
  <si>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</si>
  <si>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</si>
  <si>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</si>
  <si>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</si>
  <si>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</si>
  <si>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</si>
  <si>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</si>
  <si>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</si>
  <si>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</si>
  <si>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</si>
  <si>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</si>
  <si>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</si>
  <si>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</si>
  <si>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</si>
  <si>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</si>
  <si>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</si>
  <si>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</si>
  <si>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</si>
  <si>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</si>
  <si>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</si>
  <si>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</si>
  <si>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</si>
  <si>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</si>
  <si>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</si>
  <si>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</si>
  <si>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</si>
  <si>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</si>
  <si>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</si>
  <si>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</si>
  <si>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</si>
  <si>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</si>
  <si>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</si>
  <si>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</si>
  <si>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</si>
  <si>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</si>
  <si>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</si>
  <si>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</si>
  <si>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</si>
  <si>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</si>
  <si>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</si>
  <si>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</si>
  <si>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</si>
  <si>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</si>
  <si>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</si>
  <si>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</si>
  <si>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</si>
  <si>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</si>
  <si>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</si>
  <si>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</si>
  <si>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</si>
  <si>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</si>
  <si>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</si>
  <si>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</si>
  <si>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</si>
  <si>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</si>
  <si>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</si>
  <si>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</si>
  <si>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</si>
  <si>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</si>
  <si>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</si>
  <si>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</si>
  <si>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</si>
  <si>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</si>
  <si>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</si>
  <si>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</si>
  <si>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</si>
  <si>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</si>
  <si>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</si>
  <si>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</si>
  <si>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</si>
  <si>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</si>
  <si>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</si>
  <si>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</si>
  <si>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</si>
  <si>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</si>
  <si>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</si>
  <si>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</si>
  <si>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</si>
  <si>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</si>
  <si>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</si>
  <si>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</si>
  <si>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</si>
  <si>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</si>
  <si>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</si>
  <si>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</si>
  <si>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</si>
  <si>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</si>
  <si>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</si>
  <si>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</si>
  <si>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</si>
  <si>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</si>
  <si>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</si>
  <si>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</si>
  <si>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</si>
  <si>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</si>
  <si>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</si>
  <si>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</si>
  <si>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</si>
  <si>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</si>
  <si>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</si>
  <si>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</si>
  <si>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</si>
  <si>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</si>
  <si>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</si>
  <si>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</si>
  <si>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</si>
  <si>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</si>
  <si>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</si>
  <si>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</si>
  <si>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</si>
  <si>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</si>
  <si>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</si>
  <si>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</si>
  <si>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</si>
  <si>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</si>
  <si>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</si>
  <si>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</si>
  <si>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</si>
  <si>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</si>
  <si>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</si>
  <si>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</si>
  <si>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</si>
  <si>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</si>
  <si>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</si>
  <si>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</si>
  <si>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</si>
  <si>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</si>
  <si>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</si>
  <si>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</si>
  <si>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</si>
  <si>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</si>
  <si>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</si>
  <si>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</si>
  <si>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</si>
  <si>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</si>
  <si>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</si>
  <si>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</si>
  <si>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</si>
  <si>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</si>
  <si>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</si>
  <si>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</si>
  <si>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</si>
  <si>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</si>
  <si>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</si>
  <si>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</si>
  <si>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</si>
  <si>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</si>
  <si>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</si>
  <si>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</si>
  <si>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</si>
  <si>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</si>
  <si>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</si>
  <si>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</si>
  <si>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</si>
  <si>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</si>
  <si>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</si>
  <si>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</si>
  <si>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</si>
  <si>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</si>
  <si>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</si>
  <si>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</si>
  <si>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</si>
  <si>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</si>
  <si>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</si>
  <si>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</si>
  <si>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</si>
  <si>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</si>
  <si>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</si>
  <si>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</si>
  <si>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</si>
  <si>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</si>
  <si>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</si>
  <si>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</si>
  <si>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</si>
  <si>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</si>
  <si>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</si>
  <si>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</si>
  <si>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</si>
  <si>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</si>
  <si>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</si>
  <si>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</si>
  <si>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</si>
  <si>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</si>
  <si>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</si>
  <si>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</si>
  <si>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</si>
  <si>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</si>
  <si>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</si>
  <si>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</si>
  <si>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</si>
  <si>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</si>
  <si>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</si>
  <si>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</si>
  <si>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</si>
  <si>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</si>
  <si>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</si>
  <si>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</si>
  <si>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</si>
  <si>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</si>
  <si>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</si>
  <si>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</si>
  <si>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</si>
  <si>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</si>
  <si>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</si>
  <si>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</si>
  <si>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</si>
  <si>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</si>
  <si>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</si>
  <si>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</si>
  <si>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</si>
  <si>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</si>
  <si>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</si>
  <si>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</si>
  <si>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</si>
  <si>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</si>
  <si>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</si>
  <si>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</si>
  <si>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</si>
  <si>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</si>
  <si>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</si>
  <si>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</si>
  <si>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</si>
  <si>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</si>
  <si>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</si>
  <si>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</si>
  <si>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</si>
  <si>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</si>
  <si>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</si>
  <si>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</si>
  <si>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</si>
  <si>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</si>
  <si>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</si>
  <si>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</si>
  <si>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</si>
  <si>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</si>
  <si>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</si>
  <si>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</si>
  <si>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</si>
  <si>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</si>
  <si>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</si>
  <si>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</si>
  <si>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</si>
  <si>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</si>
  <si>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</si>
  <si>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</si>
  <si>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</si>
  <si>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</si>
  <si>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</si>
  <si>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</si>
  <si>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</si>
  <si>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</si>
  <si>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</si>
  <si>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</si>
  <si>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</si>
  <si>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</si>
  <si>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</si>
  <si>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</si>
  <si>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</si>
  <si>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</si>
  <si>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</si>
  <si>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</si>
  <si>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</si>
  <si>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</si>
  <si>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</si>
  <si>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</si>
  <si>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</si>
  <si>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</si>
  <si>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</si>
  <si>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</si>
  <si>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</si>
  <si>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</si>
  <si>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</si>
  <si>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</si>
  <si>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</si>
  <si>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</si>
  <si>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</si>
  <si>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</si>
  <si>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</si>
  <si>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</si>
  <si>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</si>
  <si>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</si>
  <si>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</si>
  <si>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</si>
  <si>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</si>
  <si>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</si>
  <si>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</si>
  <si>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</si>
  <si>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</si>
  <si>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</si>
  <si>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</si>
  <si>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</si>
  <si>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</si>
  <si>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</si>
  <si>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</si>
  <si>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</si>
  <si>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</si>
  <si>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</si>
  <si>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</si>
  <si>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</si>
  <si>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</si>
  <si>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</si>
  <si>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</si>
  <si>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</si>
  <si>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</si>
  <si>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</si>
  <si>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</si>
  <si>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</si>
  <si>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</si>
  <si>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</si>
  <si>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</si>
  <si>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</si>
  <si>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</si>
  <si>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</si>
  <si>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</si>
  <si>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</si>
  <si>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</si>
  <si>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</si>
  <si>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</si>
  <si>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</si>
  <si>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</si>
  <si>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</si>
  <si>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</si>
  <si>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</si>
  <si>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</si>
  <si>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</si>
  <si>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</si>
  <si>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</si>
  <si>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</si>
  <si>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</si>
  <si>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</si>
  <si>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</si>
  <si>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</si>
  <si>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</si>
  <si>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</si>
  <si>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</si>
  <si>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</si>
  <si>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</si>
  <si>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</si>
  <si>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</si>
  <si>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</si>
  <si>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</si>
  <si>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</si>
  <si>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</si>
  <si>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</si>
  <si>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</si>
  <si>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</si>
  <si>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</si>
  <si>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</si>
  <si>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</si>
  <si>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</si>
  <si>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</si>
  <si>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</si>
  <si>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</si>
  <si>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</si>
  <si>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</si>
  <si>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</si>
  <si>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</si>
  <si>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</si>
  <si>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</si>
  <si>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</si>
  <si>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</si>
  <si>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</si>
  <si>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</si>
  <si>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</si>
  <si>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</si>
  <si>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</si>
  <si>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</si>
  <si>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</si>
  <si>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</si>
  <si>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</si>
  <si>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</si>
  <si>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</si>
  <si>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</si>
  <si>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</si>
  <si>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</si>
  <si>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</si>
  <si>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</si>
  <si>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</si>
  <si>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</si>
  <si>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</si>
  <si>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</si>
  <si>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</si>
  <si>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</si>
  <si>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</si>
  <si>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</si>
  <si>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</si>
  <si>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</si>
  <si>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</si>
  <si>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</si>
  <si>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</si>
  <si>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</si>
  <si>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</si>
  <si>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</si>
  <si>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</si>
  <si>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</si>
  <si>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</si>
  <si>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</si>
  <si>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</si>
  <si>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</si>
  <si>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</si>
  <si>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</si>
  <si>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</si>
  <si>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</si>
  <si>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</si>
  <si>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</si>
  <si>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</si>
  <si>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</si>
  <si>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</si>
  <si>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</si>
  <si>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</si>
  <si>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</si>
  <si>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</si>
  <si>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</si>
  <si>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</si>
  <si>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</si>
  <si>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</si>
  <si>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</si>
  <si>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</si>
  <si>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</si>
  <si>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</si>
  <si>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</si>
  <si>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</si>
  <si>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</si>
  <si>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</si>
  <si>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</si>
  <si>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</si>
  <si>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</si>
  <si>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</si>
  <si>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</si>
  <si>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</si>
  <si>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</si>
  <si>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</si>
  <si>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</si>
  <si>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</si>
  <si>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</si>
  <si>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</si>
  <si>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</si>
  <si>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</si>
  <si>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</si>
  <si>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</si>
  <si>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</si>
  <si>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</si>
  <si>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</si>
  <si>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</si>
  <si>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</si>
  <si>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</si>
  <si>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</si>
  <si>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</si>
  <si>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</si>
  <si>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</si>
  <si>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</si>
  <si>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</si>
  <si>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</si>
  <si>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</si>
  <si>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</si>
  <si>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</si>
  <si>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</si>
  <si>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</si>
  <si>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</si>
  <si>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</si>
  <si>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</si>
  <si>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</si>
  <si>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</si>
  <si>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</si>
  <si>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</si>
  <si>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</si>
  <si>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</si>
  <si>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</si>
  <si>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</si>
  <si>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</si>
  <si>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</si>
  <si>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</si>
  <si>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</si>
  <si>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</si>
  <si>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</si>
  <si>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</si>
  <si>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</si>
  <si>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</si>
  <si>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</si>
  <si>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</si>
  <si>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</si>
  <si>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</si>
  <si>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</si>
  <si>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</si>
  <si>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</si>
  <si>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</si>
  <si>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</si>
  <si>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</si>
  <si>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</si>
  <si>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</si>
  <si>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</si>
  <si>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</si>
  <si>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</si>
  <si>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</si>
  <si>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</si>
  <si>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</si>
  <si>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</si>
  <si>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</si>
  <si>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</si>
  <si>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</si>
  <si>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</si>
  <si>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</si>
  <si>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</si>
  <si>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</si>
  <si>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</si>
  <si>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</si>
  <si>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</si>
  <si>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</si>
  <si>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</si>
  <si>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</si>
  <si>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</si>
  <si>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</si>
  <si>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</si>
  <si>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</si>
  <si>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</si>
  <si>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</si>
  <si>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</si>
  <si>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</si>
  <si>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</si>
  <si>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</si>
  <si>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</si>
  <si>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</si>
  <si>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</si>
  <si>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</si>
  <si>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</si>
  <si>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</si>
  <si>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</si>
  <si>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</si>
  <si>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</si>
  <si>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</si>
  <si>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</si>
  <si>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</si>
  <si>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</si>
  <si>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</si>
  <si>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</si>
  <si>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</si>
  <si>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</si>
  <si>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</si>
  <si>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</si>
  <si>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</si>
  <si>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</si>
  <si>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</si>
  <si>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</si>
  <si>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</si>
  <si>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</si>
  <si>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</si>
  <si>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</si>
  <si>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</si>
  <si>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</si>
  <si>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</si>
  <si>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</si>
  <si>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</si>
  <si>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</si>
  <si>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</si>
  <si>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</si>
  <si>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</si>
  <si>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</si>
  <si>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</si>
  <si>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</si>
  <si>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</si>
  <si>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</si>
  <si>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</si>
  <si>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</si>
  <si>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</si>
  <si>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</si>
  <si>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</si>
  <si>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</si>
  <si>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</si>
  <si>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</si>
  <si>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</si>
  <si>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</si>
  <si>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</si>
  <si>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</si>
  <si>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</si>
  <si>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</si>
  <si>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</si>
  <si>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</si>
  <si>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</si>
  <si>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</si>
  <si>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</si>
  <si>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</si>
  <si>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</si>
  <si>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</si>
  <si>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</si>
  <si>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</si>
  <si>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</si>
  <si>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</si>
  <si>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</si>
  <si>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</si>
  <si>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</si>
  <si>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</si>
  <si>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</si>
  <si>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</si>
  <si>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</si>
  <si>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</si>
  <si>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</si>
  <si>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</si>
  <si>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</si>
  <si>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</si>
  <si>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</si>
  <si>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</si>
  <si>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</si>
  <si>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</si>
  <si>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</si>
  <si>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</si>
  <si>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</si>
  <si>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</si>
  <si>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</si>
  <si>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</si>
  <si>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</si>
  <si>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</si>
  <si>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</si>
  <si>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</si>
  <si>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</si>
  <si>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</si>
  <si>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</si>
  <si>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</si>
  <si>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</si>
  <si>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</si>
  <si>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</si>
  <si>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</si>
  <si>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</si>
  <si>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</si>
  <si>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</si>
  <si>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</si>
  <si>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</si>
  <si>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</si>
  <si>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</si>
  <si>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</si>
  <si>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</si>
  <si>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</si>
  <si>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</si>
  <si>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</si>
  <si>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</si>
  <si>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</si>
  <si>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</si>
  <si>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</si>
  <si>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</si>
  <si>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</si>
  <si>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</si>
  <si>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</si>
  <si>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</si>
  <si>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</si>
  <si>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</si>
  <si>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</si>
  <si>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</si>
  <si>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</si>
  <si>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</si>
  <si>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</si>
  <si>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</si>
  <si>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</si>
  <si>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</si>
  <si>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</si>
  <si>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</si>
  <si>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</si>
  <si>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</si>
  <si>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</si>
  <si>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</si>
  <si>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</si>
  <si>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</si>
  <si>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</si>
  <si>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</si>
  <si>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</si>
  <si>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</si>
  <si>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</si>
  <si>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</si>
  <si>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</si>
  <si>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</si>
  <si>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</si>
  <si>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1</t>
    </r>
    <r>
      <rPr>
        <b/>
        <sz val="11"/>
        <color theme="1" tint="4.9989318521683403E-2"/>
        <rFont val="Santander Text"/>
        <family val="2"/>
      </rPr>
      <t xml:space="preserve">. Iniciámos a simulação da tabela Protection.
</t>
    </r>
    <r>
      <rPr>
        <sz val="11"/>
        <color theme="1" tint="4.9989318521683403E-2"/>
        <rFont val="Santander Text"/>
        <family val="2"/>
      </rPr>
      <t>2.</t>
    </r>
    <r>
      <rPr>
        <b/>
        <sz val="11"/>
        <color theme="1" tint="4.9989318521683403E-2"/>
        <rFont val="Santander Text"/>
        <family val="2"/>
      </rPr>
      <t xml:space="preserve"> Foi realizada a sessão de validação com o LCM e fechadas as re-especificações.</t>
    </r>
    <r>
      <rPr>
        <sz val="11"/>
        <color theme="1" tint="4.9989318521683403E-2"/>
        <rFont val="Santander Text"/>
        <family val="2"/>
      </rPr>
      <t xml:space="preserve">
</t>
    </r>
    <r>
      <rPr>
        <sz val="11"/>
        <rFont val="Santander Text"/>
        <family val="2"/>
      </rPr>
      <t xml:space="preserve">
3.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28/11 (1 campo)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</si>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</sst>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6">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60" fillId="0" borderId="0" xfId="0" applyFont="1"/>
    <xf numFmtId="0" fontId="0" fillId="20" borderId="0" xfId="0" applyFill="1"/>
    <xf numFmtId="0" fontId="61"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61" fillId="7" borderId="0" xfId="0" applyFont="1" applyFill="1"/>
    <xf numFmtId="0" fontId="61"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61"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2" fillId="16" borderId="25" xfId="0" applyFont="1" applyFill="1" applyBorder="1" applyAlignment="1">
      <alignment vertical="center"/>
    </xf>
    <xf numFmtId="0" fontId="62"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3"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3"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28" fillId="0" borderId="32" xfId="0" applyNumberFormat="1" applyFont="1" applyFill="1" applyBorder="1" applyAlignment="1">
      <alignment horizontal="center"/>
    </xf>
    <xf numFmtId="14" fontId="63" fillId="0" borderId="32" xfId="0" applyNumberFormat="1" applyFont="1" applyFill="1" applyBorder="1" applyAlignment="1">
      <alignment horizontal="center"/>
    </xf>
    <xf numFmtId="9" fontId="28" fillId="0" borderId="32" xfId="1" applyFont="1" applyFill="1" applyBorder="1" applyAlignment="1">
      <alignment horizontal="center" vertical="center"/>
    </xf>
    <xf numFmtId="0" fontId="64" fillId="0" borderId="0" xfId="0" applyFont="1"/>
    <xf numFmtId="9" fontId="29" fillId="0" borderId="32" xfId="1" applyFont="1" applyBorder="1" applyAlignment="1">
      <alignment horizontal="left" vertical="center"/>
    </xf>
    <xf numFmtId="0" fontId="0" fillId="0" borderId="0" xfId="0" applyNumberFormat="1"/>
    <xf numFmtId="14" fontId="29" fillId="0" borderId="25" xfId="0" applyNumberFormat="1" applyFont="1" applyFill="1" applyBorder="1"/>
    <xf numFmtId="0" fontId="0" fillId="0" borderId="0" xfId="0" applyFill="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0" fontId="43" fillId="0" borderId="0" xfId="0" applyFont="1"/>
  </cellXfs>
  <cellStyles count="4">
    <cellStyle name="Normal" xfId="0" builtinId="0"/>
    <cellStyle name="Normal 2" xfId="3"/>
    <cellStyle name="Normal 3" xfId="2"/>
    <cellStyle name="Percent" xfId="1" builtinId="5"/>
  </cellStyles>
  <dxfs count="209">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trabalho_V2.28.xlsx]Aux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16</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12</c:v>
                </c:pt>
                <c:pt idx="2">
                  <c:v>7</c:v>
                </c:pt>
                <c:pt idx="3">
                  <c:v>30</c:v>
                </c:pt>
                <c:pt idx="4">
                  <c:v>4</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2.1 Em Teste</c:v>
                </c:pt>
                <c:pt idx="3">
                  <c:v>6. Em implementação (re-especificação)</c:v>
                </c:pt>
              </c:strCache>
            </c:strRef>
          </c:cat>
          <c:val>
            <c:numRef>
              <c:f>'Aux - Pivots2'!$C$73:$C$77</c:f>
              <c:numCache>
                <c:formatCode>General</c:formatCode>
                <c:ptCount val="4"/>
                <c:pt idx="0">
                  <c:v>14</c:v>
                </c:pt>
                <c:pt idx="1">
                  <c:v>156</c:v>
                </c:pt>
                <c:pt idx="2">
                  <c:v>22</c:v>
                </c:pt>
                <c:pt idx="3">
                  <c:v>53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04.648781481483"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04.64879317129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04.648798495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04.6488020833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04.64880486111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04.64881238425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4. Validação EF"/>
        <s v="6. Em implementação (re-especificação)"/>
        <s v="2.1 Em Teste"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04.64881956018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9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19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9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4">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0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2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2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2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4">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89" tableBorderDxfId="188">
  <autoFilter ref="B6:N574">
    <filterColumn colId="4">
      <filters>
        <filter val="envrnmntl_objctv"/>
        <filter val="sstnbl_ctgry"/>
        <filter val="sstnbl_indctr"/>
        <filter val="typ_actvty"/>
      </filters>
    </filterColumn>
  </autoFilter>
  <tableColumns count="13">
    <tableColumn id="1" name="Âmbito" dataDxfId="187"/>
    <tableColumn id="2" name="Sub-âmbito" dataDxfId="186"/>
    <tableColumn id="3" name="Tipo de teste" dataDxfId="185"/>
    <tableColumn id="4" name="Tabela" dataDxfId="184"/>
    <tableColumn id="5" name="Campo" dataDxfId="183"/>
    <tableColumn id="6" name="Status Atual" dataDxfId="182"/>
    <tableColumn id="7" name="Status Anterior" dataDxfId="181"/>
    <tableColumn id="8" name="Observações" dataDxfId="180"/>
    <tableColumn id="9" name="Data de Pedido correção/esclarecimento" dataDxfId="179">
      <calculatedColumnFormula>IF(VLOOKUP(A7,'Aux - pivots1'!$A:$E,3,0)=0, "",VLOOKUP(A7,'Aux - pivots1'!$A:$E,3,0))</calculatedColumnFormula>
    </tableColumn>
    <tableColumn id="10" name="Data de correção prevista" dataDxfId="178">
      <calculatedColumnFormula>IF(VLOOKUP(A7,'Aux - pivots1'!$A:$E,4,0)=0, "",VLOOKUP(A7,'Aux - pivots1'!$A:$E,4,0))</calculatedColumnFormula>
    </tableColumn>
    <tableColumn id="11" name="Data de correção efetiva" dataDxfId="177">
      <calculatedColumnFormula>IF(VLOOKUP(A7,'Aux - pivots1'!$A:$E,5,0)=0, "",VLOOKUP(A7,'Aux - pivots1'!$A:$E,5,0))</calculatedColumnFormula>
    </tableColumn>
    <tableColumn id="12" name="Data Prevista de Re-especificação" dataDxfId="176"/>
    <tableColumn id="13" name="Data Prevista de Teste" dataDxfId="175"/>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3" dataDxfId="61" totalsRowDxfId="59" headerRowBorderDxfId="62" tableBorderDxfId="60" totalsRowBorderDxfId="58">
  <autoFilter ref="B8:X1320">
    <filterColumn colId="1">
      <filters>
        <filter val="Modelo Verde - Output"/>
      </filters>
    </filterColumn>
    <filterColumn colId="4">
      <filters>
        <filter val="modesg_out_bens_imoveis"/>
      </filters>
    </filterColumn>
    <filterColumn colId="7">
      <filters>
        <filter val="5. Em Correção"/>
      </filters>
    </filterColumn>
  </autoFilter>
  <tableColumns count="23">
    <tableColumn id="1" name="Âmbito" dataDxfId="57" totalsRowDxfId="56"/>
    <tableColumn id="12" name="Sub-âmbito" dataDxfId="55" totalsRowDxfId="54"/>
    <tableColumn id="2" name="Origem" dataDxfId="53" totalsRowDxfId="52"/>
    <tableColumn id="18" name="Campo Origem" dataDxfId="51" totalsRowDxfId="50"/>
    <tableColumn id="5" name="Tabela" dataDxfId="49" totalsRowDxfId="48"/>
    <tableColumn id="3" name="Campo" dataDxfId="47" totalsRowDxfId="46"/>
    <tableColumn id="20" name="concat" dataDxfId="45" totalsRowDxfId="44">
      <calculatedColumnFormula>Table1[[#This Row],[Tabela]]&amp;Table1[[#This Row],[Campo]]</calculatedColumnFormula>
    </tableColumn>
    <tableColumn id="4" name="Status" dataDxfId="43" totalsRowDxfId="42"/>
    <tableColumn id="19" name="Status2" dataDxfId="41">
      <calculatedColumnFormula>VLOOKUP(Table1[[#This Row],[Status]],Auxiliar!$B$16:$C$24,2,0)</calculatedColumnFormula>
    </tableColumn>
    <tableColumn id="6" name="Tipologia_Testes" dataDxfId="40" totalsRowDxfId="39"/>
    <tableColumn id="10" name="Necessidade de re-especificação? (campo)" dataDxfId="38" totalsRowDxfId="37"/>
    <tableColumn id="9" name="Complexidade" dataDxfId="36" totalsRowDxfId="35"/>
    <tableColumn id="17" name="Data de Alteração Status" dataDxfId="34" totalsRowDxfId="33"/>
    <tableColumn id="8" name="Estimação (horas)" totalsRowFunction="custom" dataDxfId="32" totalsRowDxfId="31">
      <calculatedColumnFormula>INDEX(Auxiliar!$D$5:$F$11,MATCH(Table1[[#This Row],[Tipologia_Testes]],Auxiliar!$B$5:$B$11,0),MATCH(Table1[[#This Row],[Complexidade]],Auxiliar!$D$4:$F$4,0))</calculatedColumnFormula>
      <totalsRowFormula>SUMIF(Table1[Estimação (horas)],"&gt;0")</totalsRowFormula>
    </tableColumn>
    <tableColumn id="7" name="Notas" dataDxfId="30" totalsRowDxfId="29"/>
    <tableColumn id="11" name="Owner" dataDxfId="28" totalsRowDxfId="27"/>
    <tableColumn id="21" name="Data alteração especificação" dataDxfId="26" totalsRowDxfId="25"/>
    <tableColumn id="13" name="Data de inicio testes" dataDxfId="24" totalsRowDxfId="23"/>
    <tableColumn id="14" name="Data de incidência / pedido esclarecimento" dataDxfId="22" totalsRowDxfId="21"/>
    <tableColumn id="15" name="Data de correção/resposta prevista" dataDxfId="20" totalsRowDxfId="19"/>
    <tableColumn id="22" name="Data de correção/resposta efetiva" dataDxfId="18" totalsRowDxfId="17"/>
    <tableColumn id="23" name="Horas efetivas" dataDxfId="16" totalsRowDxfId="15">
      <calculatedColumnFormula>VLOOKUP(Table1[[#This Row],[Status]],Auxiliar!$B$16:$D$24,3,0)*Table1[[#This Row],[Estimação (horas)]]</calculatedColumnFormula>
    </tableColumn>
    <tableColumn id="16" name="Query" dataDxfId="14" totalsRowDxfId="1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2.1 Em Teste</v>
      </c>
      <c r="H199" s="65">
        <f>VLOOKUP(A199,'Aux - pivots1'!$A:$B,2,0)</f>
        <v>2</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2.1 Em Teste</v>
      </c>
      <c r="H208" s="65">
        <f>VLOOKUP(A208,'Aux - pivots1'!$A:$B,2,0)</f>
        <v>2</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2.1 Em Teste</v>
      </c>
      <c r="H209" s="65">
        <f>VLOOKUP(A209,'Aux - pivots1'!$A:$B,2,0)</f>
        <v>2</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2.1 Em Teste</v>
      </c>
      <c r="H210" s="65">
        <f>VLOOKUP(A210,'Aux - pivots1'!$A:$B,2,0)</f>
        <v>2</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2.1 Em Teste</v>
      </c>
      <c r="H211" s="65">
        <f>VLOOKUP(A211,'Aux - pivots1'!$A:$B,2,0)</f>
        <v>2</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2.1 Em Teste</v>
      </c>
      <c r="H212" s="65">
        <f>VLOOKUP(A212,'Aux - pivots1'!$A:$B,2,0)</f>
        <v>2</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2.1 Em Teste</v>
      </c>
      <c r="H216" s="65">
        <f>VLOOKUP(A216,'Aux - pivots1'!$A:$B,2,0)</f>
        <v>2</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2.1 Em Teste</v>
      </c>
      <c r="H217" s="65">
        <f>VLOOKUP(A217,'Aux - pivots1'!$A:$B,2,0)</f>
        <v>2</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2.1 Em Teste</v>
      </c>
      <c r="H218" s="65">
        <f>VLOOKUP(A218,'Aux - pivots1'!$A:$B,2,0)</f>
        <v>2</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2.1 Em Teste</v>
      </c>
      <c r="H219" s="65">
        <f>VLOOKUP(A219,'Aux - pivots1'!$A:$B,2,0)</f>
        <v>2</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2.1 Em Teste</v>
      </c>
      <c r="H220" s="65">
        <f>VLOOKUP(A220,'Aux - pivots1'!$A:$B,2,0)</f>
        <v>2</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2.1 Em Teste</v>
      </c>
      <c r="H221" s="65">
        <f>VLOOKUP(A221,'Aux - pivots1'!$A:$B,2,0)</f>
        <v>2</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2.1 Em Teste</v>
      </c>
      <c r="H222" s="65">
        <f>VLOOKUP(A222,'Aux - pivots1'!$A:$B,2,0)</f>
        <v>2</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2.1 Em Teste</v>
      </c>
      <c r="H223" s="65">
        <f>VLOOKUP(A223,'Aux - pivots1'!$A:$B,2,0)</f>
        <v>2</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2.1 Em Teste</v>
      </c>
      <c r="H224" s="65">
        <f>VLOOKUP(A224,'Aux - pivots1'!$A:$B,2,0)</f>
        <v>2</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2.1 Em Teste</v>
      </c>
      <c r="H226" s="65">
        <f>VLOOKUP(A226,'Aux - pivots1'!$A:$B,2,0)</f>
        <v>2</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2.1 Em Teste</v>
      </c>
      <c r="H227" s="65">
        <f>VLOOKUP(A227,'Aux - pivots1'!$A:$B,2,0)</f>
        <v>2</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2.1 Em Teste</v>
      </c>
      <c r="H372" s="65">
        <f>VLOOKUP(A372,'Aux - pivots1'!$A:$B,2,0)</f>
        <v>2</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2.1 Em Teste</v>
      </c>
      <c r="H373" s="65">
        <f>VLOOKUP(A373,'Aux - pivots1'!$A:$B,2,0)</f>
        <v>2</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2.1 Em Teste</v>
      </c>
      <c r="H376" s="65">
        <f>VLOOKUP(A376,'Aux - pivots1'!$A:$B,2,0)</f>
        <v>2</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2.1 Em Teste</v>
      </c>
      <c r="H377" s="65">
        <f>VLOOKUP(A377,'Aux - pivots1'!$A:$B,2,0)</f>
        <v>2</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2.1 Em Teste</v>
      </c>
      <c r="H379" s="65">
        <f>VLOOKUP(A379,'Aux - pivots1'!$A:$B,2,0)</f>
        <v>2</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2.1 Em Teste</v>
      </c>
      <c r="H380" s="65">
        <f>VLOOKUP(A380,'Aux - pivots1'!$A:$B,2,0)</f>
        <v>2</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08" priority="11" operator="notEqual">
      <formula>0</formula>
    </cfRule>
  </conditionalFormatting>
  <conditionalFormatting sqref="L21:L23">
    <cfRule type="cellIs" dxfId="207" priority="3" operator="notEqual">
      <formula>0</formula>
    </cfRule>
  </conditionalFormatting>
  <conditionalFormatting sqref="L577:L579">
    <cfRule type="cellIs" dxfId="206" priority="2" operator="notEqual">
      <formula>0</formula>
    </cfRule>
  </conditionalFormatting>
  <conditionalFormatting sqref="L582:L636">
    <cfRule type="cellIs" dxfId="205" priority="1" operator="notEqual">
      <formula>0</formula>
    </cfRule>
  </conditionalFormatting>
  <conditionalFormatting sqref="M5:M6 N6:FK6">
    <cfRule type="cellIs" dxfId="204" priority="12" operator="notEqual">
      <formula>0</formula>
    </cfRule>
  </conditionalFormatting>
  <conditionalFormatting sqref="M15:FK18 M21:FK23 M577:FK579 M636:FK636">
    <cfRule type="cellIs" dxfId="203" priority="10" operator="greaterThan">
      <formula>0</formula>
    </cfRule>
  </conditionalFormatting>
  <conditionalFormatting sqref="M26:FK27">
    <cfRule type="cellIs" dxfId="202" priority="9" operator="greaterThan">
      <formula>0</formula>
    </cfRule>
  </conditionalFormatting>
  <conditionalFormatting sqref="M42:FK42">
    <cfRule type="cellIs" dxfId="201" priority="8" operator="greaterThan">
      <formula>0</formula>
    </cfRule>
  </conditionalFormatting>
  <conditionalFormatting sqref="M198:FK198">
    <cfRule type="cellIs" dxfId="200" priority="7" operator="greaterThan">
      <formula>0</formula>
    </cfRule>
  </conditionalFormatting>
  <conditionalFormatting sqref="M362:FK362">
    <cfRule type="cellIs" dxfId="199" priority="6" operator="greaterThan">
      <formula>0</formula>
    </cfRule>
  </conditionalFormatting>
  <conditionalFormatting sqref="M447:FK447">
    <cfRule type="cellIs" dxfId="198" priority="5" operator="greaterThan">
      <formula>0</formula>
    </cfRule>
  </conditionalFormatting>
  <conditionalFormatting sqref="M582:FK583">
    <cfRule type="cellIs" dxfId="19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B1" zoomScale="70" zoomScaleNormal="70" workbookViewId="0">
      <selection activeCell="B20" sqref="B20"/>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1949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93" t="s">
        <v>2034</v>
      </c>
      <c r="C8" s="294"/>
      <c r="D8" s="294"/>
      <c r="E8" s="294"/>
      <c r="F8" s="294"/>
      <c r="G8" s="294"/>
      <c r="H8" s="294"/>
      <c r="I8" s="294"/>
      <c r="J8" s="294"/>
      <c r="K8" s="294"/>
      <c r="L8" s="294"/>
      <c r="M8" s="294"/>
      <c r="N8" s="294"/>
      <c r="O8" s="294"/>
      <c r="P8" s="294"/>
      <c r="Q8" s="294"/>
      <c r="R8" s="294"/>
      <c r="S8" s="294"/>
      <c r="T8" s="294"/>
      <c r="U8" s="294"/>
      <c r="V8" s="294"/>
      <c r="W8" s="294"/>
      <c r="X8" s="294"/>
      <c r="Y8" s="294"/>
      <c r="Z8" s="294"/>
      <c r="AA8" s="294"/>
      <c r="AB8" s="294"/>
      <c r="AC8" s="294"/>
      <c r="AD8" s="294"/>
      <c r="AE8" s="294"/>
      <c r="AF8" s="294"/>
      <c r="AG8" s="295"/>
      <c r="AH8" s="117"/>
    </row>
    <row r="9" spans="1:34" ht="17.7" customHeight="1">
      <c r="A9" s="117"/>
      <c r="B9" s="296"/>
      <c r="C9" s="297"/>
      <c r="D9" s="297"/>
      <c r="E9" s="297"/>
      <c r="F9" s="297"/>
      <c r="G9" s="297"/>
      <c r="H9" s="297"/>
      <c r="I9" s="297"/>
      <c r="J9" s="297"/>
      <c r="K9" s="297"/>
      <c r="L9" s="297"/>
      <c r="M9" s="297"/>
      <c r="N9" s="297"/>
      <c r="O9" s="297"/>
      <c r="P9" s="297"/>
      <c r="Q9" s="297"/>
      <c r="R9" s="297"/>
      <c r="S9" s="297"/>
      <c r="T9" s="297"/>
      <c r="U9" s="297"/>
      <c r="V9" s="297"/>
      <c r="W9" s="297"/>
      <c r="X9" s="297"/>
      <c r="Y9" s="297"/>
      <c r="Z9" s="297"/>
      <c r="AA9" s="297"/>
      <c r="AB9" s="297"/>
      <c r="AC9" s="297"/>
      <c r="AD9" s="297"/>
      <c r="AE9" s="297"/>
      <c r="AF9" s="297"/>
      <c r="AG9" s="298"/>
      <c r="AH9" s="117"/>
    </row>
    <row r="10" spans="1:34" ht="17.7" customHeight="1">
      <c r="A10" s="117"/>
      <c r="B10" s="296"/>
      <c r="C10" s="297"/>
      <c r="D10" s="297"/>
      <c r="E10" s="297"/>
      <c r="F10" s="297"/>
      <c r="G10" s="297"/>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7"/>
      <c r="AF10" s="297"/>
      <c r="AG10" s="298"/>
      <c r="AH10" s="117"/>
    </row>
    <row r="11" spans="1:34" ht="17.7" customHeight="1">
      <c r="A11" s="117"/>
      <c r="B11" s="296"/>
      <c r="C11" s="297"/>
      <c r="D11" s="297"/>
      <c r="E11" s="297"/>
      <c r="F11" s="297"/>
      <c r="G11" s="297"/>
      <c r="H11" s="297"/>
      <c r="I11" s="297"/>
      <c r="J11" s="297"/>
      <c r="K11" s="297"/>
      <c r="L11" s="297"/>
      <c r="M11" s="297"/>
      <c r="N11" s="297"/>
      <c r="O11" s="297"/>
      <c r="P11" s="297"/>
      <c r="Q11" s="297"/>
      <c r="R11" s="297"/>
      <c r="S11" s="297"/>
      <c r="T11" s="297"/>
      <c r="U11" s="297"/>
      <c r="V11" s="297"/>
      <c r="W11" s="297"/>
      <c r="X11" s="297"/>
      <c r="Y11" s="297"/>
      <c r="Z11" s="297"/>
      <c r="AA11" s="297"/>
      <c r="AB11" s="297"/>
      <c r="AC11" s="297"/>
      <c r="AD11" s="297"/>
      <c r="AE11" s="297"/>
      <c r="AF11" s="297"/>
      <c r="AG11" s="298"/>
      <c r="AH11" s="117"/>
    </row>
    <row r="12" spans="1:34" ht="17.7" customHeight="1">
      <c r="A12" s="117"/>
      <c r="B12" s="296"/>
      <c r="C12" s="297"/>
      <c r="D12" s="297"/>
      <c r="E12" s="297"/>
      <c r="F12" s="297"/>
      <c r="G12" s="297"/>
      <c r="H12" s="297"/>
      <c r="I12" s="297"/>
      <c r="J12" s="297"/>
      <c r="K12" s="297"/>
      <c r="L12" s="297"/>
      <c r="M12" s="297"/>
      <c r="N12" s="297"/>
      <c r="O12" s="297"/>
      <c r="P12" s="297"/>
      <c r="Q12" s="297"/>
      <c r="R12" s="297"/>
      <c r="S12" s="297"/>
      <c r="T12" s="297"/>
      <c r="U12" s="297"/>
      <c r="V12" s="297"/>
      <c r="W12" s="297"/>
      <c r="X12" s="297"/>
      <c r="Y12" s="297"/>
      <c r="Z12" s="297"/>
      <c r="AA12" s="297"/>
      <c r="AB12" s="297"/>
      <c r="AC12" s="297"/>
      <c r="AD12" s="297"/>
      <c r="AE12" s="297"/>
      <c r="AF12" s="297"/>
      <c r="AG12" s="298"/>
      <c r="AH12" s="117"/>
    </row>
    <row r="13" spans="1:34" ht="17.7" customHeight="1">
      <c r="A13" s="117"/>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8"/>
      <c r="AH13" s="117"/>
    </row>
    <row r="14" spans="1:34" ht="17.7" customHeight="1">
      <c r="A14" s="117"/>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8"/>
      <c r="AH14" s="117"/>
    </row>
    <row r="15" spans="1:34" ht="17.7" customHeight="1">
      <c r="A15" s="117"/>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8"/>
      <c r="AH15" s="117"/>
    </row>
    <row r="16" spans="1:34" ht="17.7" customHeight="1">
      <c r="A16" s="117"/>
      <c r="B16" s="296"/>
      <c r="C16" s="297"/>
      <c r="D16" s="297"/>
      <c r="E16" s="297"/>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8"/>
      <c r="AH16" s="117"/>
    </row>
    <row r="17" spans="1:34" ht="17.7" customHeight="1">
      <c r="A17" s="117"/>
      <c r="B17" s="296"/>
      <c r="C17" s="297"/>
      <c r="D17" s="297"/>
      <c r="E17" s="297"/>
      <c r="F17" s="297"/>
      <c r="G17" s="297"/>
      <c r="H17" s="297"/>
      <c r="I17" s="297"/>
      <c r="J17" s="297"/>
      <c r="K17" s="297"/>
      <c r="L17" s="297"/>
      <c r="M17" s="297"/>
      <c r="N17" s="297"/>
      <c r="O17" s="297"/>
      <c r="P17" s="297"/>
      <c r="Q17" s="297"/>
      <c r="R17" s="297"/>
      <c r="S17" s="297"/>
      <c r="T17" s="297"/>
      <c r="U17" s="297"/>
      <c r="V17" s="297"/>
      <c r="W17" s="297"/>
      <c r="X17" s="297"/>
      <c r="Y17" s="297"/>
      <c r="Z17" s="297"/>
      <c r="AA17" s="297"/>
      <c r="AB17" s="297"/>
      <c r="AC17" s="297"/>
      <c r="AD17" s="297"/>
      <c r="AE17" s="297"/>
      <c r="AF17" s="297"/>
      <c r="AG17" s="298"/>
      <c r="AH17" s="117"/>
    </row>
    <row r="18" spans="1:34" ht="17.7" customHeight="1">
      <c r="A18" s="117"/>
      <c r="B18" s="296"/>
      <c r="C18" s="297"/>
      <c r="D18" s="297"/>
      <c r="E18" s="297"/>
      <c r="F18" s="297"/>
      <c r="G18" s="297"/>
      <c r="H18" s="297"/>
      <c r="I18" s="297"/>
      <c r="J18" s="297"/>
      <c r="K18" s="297"/>
      <c r="L18" s="297"/>
      <c r="M18" s="297"/>
      <c r="N18" s="297"/>
      <c r="O18" s="297"/>
      <c r="P18" s="297"/>
      <c r="Q18" s="297"/>
      <c r="R18" s="297"/>
      <c r="S18" s="297"/>
      <c r="T18" s="297"/>
      <c r="U18" s="297"/>
      <c r="V18" s="297"/>
      <c r="W18" s="297"/>
      <c r="X18" s="297"/>
      <c r="Y18" s="297"/>
      <c r="Z18" s="297"/>
      <c r="AA18" s="297"/>
      <c r="AB18" s="297"/>
      <c r="AC18" s="297"/>
      <c r="AD18" s="297"/>
      <c r="AE18" s="297"/>
      <c r="AF18" s="297"/>
      <c r="AG18" s="298"/>
      <c r="AH18" s="117"/>
    </row>
    <row r="19" spans="1:34" ht="17.7" customHeight="1">
      <c r="A19" s="117"/>
      <c r="B19" s="299"/>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1"/>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1" t="s">
        <v>1951</v>
      </c>
      <c r="Y26" s="312"/>
      <c r="Z26" s="312"/>
      <c r="AA26" s="312"/>
      <c r="AB26" s="312"/>
      <c r="AC26" s="312"/>
      <c r="AD26" s="312"/>
      <c r="AE26" s="312"/>
      <c r="AF26" s="313"/>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4"/>
      <c r="Y27" s="315"/>
      <c r="Z27" s="315"/>
      <c r="AA27" s="315"/>
      <c r="AB27" s="315"/>
      <c r="AC27" s="315"/>
      <c r="AD27" s="315"/>
      <c r="AE27" s="315"/>
      <c r="AF27" s="316"/>
      <c r="AG27" s="164"/>
      <c r="AH27" s="117"/>
    </row>
    <row r="28" spans="1:34">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314"/>
      <c r="Y28" s="315"/>
      <c r="Z28" s="315"/>
      <c r="AA28" s="315"/>
      <c r="AB28" s="315"/>
      <c r="AC28" s="315"/>
      <c r="AD28" s="315"/>
      <c r="AE28" s="315"/>
      <c r="AF28" s="316"/>
      <c r="AG28" s="164"/>
      <c r="AH28" s="117"/>
    </row>
    <row r="29" spans="1:34">
      <c r="A29" s="117"/>
      <c r="B29" s="122"/>
      <c r="D29" s="292" t="str">
        <f>"# "&amp;U35</f>
        <v># 169</v>
      </c>
      <c r="E29" s="292"/>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4"/>
      <c r="Y29" s="315"/>
      <c r="Z29" s="315"/>
      <c r="AA29" s="315"/>
      <c r="AB29" s="315"/>
      <c r="AC29" s="315"/>
      <c r="AD29" s="315"/>
      <c r="AE29" s="315"/>
      <c r="AF29" s="316"/>
      <c r="AG29" s="164"/>
      <c r="AH29" s="117"/>
    </row>
    <row r="30" spans="1:34" ht="17.7" customHeight="1">
      <c r="A30" s="117"/>
      <c r="B30" s="122"/>
      <c r="D30" s="292"/>
      <c r="E30" s="292"/>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4"/>
      <c r="Y30" s="315"/>
      <c r="Z30" s="315"/>
      <c r="AA30" s="315"/>
      <c r="AB30" s="315"/>
      <c r="AC30" s="315"/>
      <c r="AD30" s="315"/>
      <c r="AE30" s="315"/>
      <c r="AF30" s="316"/>
      <c r="AG30" s="164"/>
      <c r="AH30" s="117"/>
    </row>
    <row r="31" spans="1:34" ht="17.7" customHeight="1">
      <c r="A31" s="117"/>
      <c r="B31" s="122"/>
      <c r="D31" s="292"/>
      <c r="E31" s="292"/>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26">
        <f t="shared" si="0"/>
        <v>22</v>
      </c>
      <c r="X31" s="314"/>
      <c r="Y31" s="315"/>
      <c r="Z31" s="315"/>
      <c r="AA31" s="315"/>
      <c r="AB31" s="315"/>
      <c r="AC31" s="315"/>
      <c r="AD31" s="315"/>
      <c r="AE31" s="315"/>
      <c r="AF31" s="316"/>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4"/>
      <c r="Y32" s="315"/>
      <c r="Z32" s="315"/>
      <c r="AA32" s="315"/>
      <c r="AB32" s="315"/>
      <c r="AC32" s="315"/>
      <c r="AD32" s="315"/>
      <c r="AE32" s="315"/>
      <c r="AF32" s="316"/>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314"/>
      <c r="Y33" s="315"/>
      <c r="Z33" s="315"/>
      <c r="AA33" s="315"/>
      <c r="AB33" s="315"/>
      <c r="AC33" s="315"/>
      <c r="AD33" s="315"/>
      <c r="AE33" s="315"/>
      <c r="AF33" s="316"/>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4"/>
      <c r="Y34" s="315"/>
      <c r="Z34" s="315"/>
      <c r="AA34" s="315"/>
      <c r="AB34" s="315"/>
      <c r="AC34" s="315"/>
      <c r="AD34" s="315"/>
      <c r="AE34" s="315"/>
      <c r="AF34" s="316"/>
      <c r="AG34" s="164"/>
      <c r="AH34" s="117"/>
    </row>
    <row r="35" spans="1:34">
      <c r="A35" s="117"/>
      <c r="B35" s="122"/>
      <c r="T35" s="128">
        <f>SUM(T26:T34)</f>
        <v>168</v>
      </c>
      <c r="U35" s="128">
        <f>SUM(U26:U34)</f>
        <v>169</v>
      </c>
      <c r="X35" s="314"/>
      <c r="Y35" s="315"/>
      <c r="Z35" s="315"/>
      <c r="AA35" s="315"/>
      <c r="AB35" s="315"/>
      <c r="AC35" s="315"/>
      <c r="AD35" s="315"/>
      <c r="AE35" s="315"/>
      <c r="AF35" s="316"/>
      <c r="AG35" s="164"/>
      <c r="AH35" s="117"/>
    </row>
    <row r="36" spans="1:34">
      <c r="A36" s="117"/>
      <c r="B36" s="122"/>
      <c r="G36" s="130" t="s">
        <v>620</v>
      </c>
      <c r="H36" s="131"/>
      <c r="I36" s="131"/>
      <c r="J36" s="131"/>
      <c r="K36" s="131"/>
      <c r="L36" s="131"/>
      <c r="M36" s="131"/>
      <c r="P36" s="130" t="s">
        <v>621</v>
      </c>
      <c r="Q36" s="131"/>
      <c r="R36" s="131"/>
      <c r="S36" s="131"/>
      <c r="T36" s="131"/>
      <c r="U36" s="131"/>
      <c r="V36" s="131"/>
      <c r="X36" s="314"/>
      <c r="Y36" s="315"/>
      <c r="Z36" s="315"/>
      <c r="AA36" s="315"/>
      <c r="AB36" s="315"/>
      <c r="AC36" s="315"/>
      <c r="AD36" s="315"/>
      <c r="AE36" s="315"/>
      <c r="AF36" s="316"/>
      <c r="AG36" s="164"/>
      <c r="AH36" s="117"/>
    </row>
    <row r="37" spans="1:34">
      <c r="A37" s="117"/>
      <c r="B37" s="122"/>
      <c r="F37" s="160" t="s">
        <v>622</v>
      </c>
      <c r="G37" s="26" t="s">
        <v>623</v>
      </c>
      <c r="L37" s="162" t="s">
        <v>624</v>
      </c>
      <c r="O37" s="160" t="s">
        <v>622</v>
      </c>
      <c r="P37" s="26" t="s">
        <v>625</v>
      </c>
      <c r="T37" s="162" t="s">
        <v>624</v>
      </c>
      <c r="X37" s="314"/>
      <c r="Y37" s="315"/>
      <c r="Z37" s="315"/>
      <c r="AA37" s="315"/>
      <c r="AB37" s="315"/>
      <c r="AC37" s="315"/>
      <c r="AD37" s="315"/>
      <c r="AE37" s="315"/>
      <c r="AF37" s="316"/>
      <c r="AG37" s="164"/>
      <c r="AH37" s="117"/>
    </row>
    <row r="38" spans="1:34">
      <c r="A38" s="117"/>
      <c r="B38" s="122"/>
      <c r="F38" s="160" t="s">
        <v>622</v>
      </c>
      <c r="G38" s="26" t="s">
        <v>626</v>
      </c>
      <c r="L38" s="162" t="s">
        <v>624</v>
      </c>
      <c r="O38" s="160" t="s">
        <v>622</v>
      </c>
      <c r="P38" s="26" t="s">
        <v>627</v>
      </c>
      <c r="T38" s="162" t="s">
        <v>624</v>
      </c>
      <c r="X38" s="314"/>
      <c r="Y38" s="315"/>
      <c r="Z38" s="315"/>
      <c r="AA38" s="315"/>
      <c r="AB38" s="315"/>
      <c r="AC38" s="315"/>
      <c r="AD38" s="315"/>
      <c r="AE38" s="315"/>
      <c r="AF38" s="316"/>
      <c r="AG38" s="164"/>
      <c r="AH38" s="117"/>
    </row>
    <row r="39" spans="1:34">
      <c r="A39" s="117"/>
      <c r="B39" s="122"/>
      <c r="F39" s="160" t="s">
        <v>622</v>
      </c>
      <c r="G39" s="26" t="s">
        <v>628</v>
      </c>
      <c r="L39" s="162" t="s">
        <v>624</v>
      </c>
      <c r="O39" s="160" t="s">
        <v>622</v>
      </c>
      <c r="P39" s="26" t="s">
        <v>629</v>
      </c>
      <c r="T39" s="165" t="s">
        <v>630</v>
      </c>
      <c r="X39" s="314"/>
      <c r="Y39" s="315"/>
      <c r="Z39" s="315"/>
      <c r="AA39" s="315"/>
      <c r="AB39" s="315"/>
      <c r="AC39" s="315"/>
      <c r="AD39" s="315"/>
      <c r="AE39" s="315"/>
      <c r="AF39" s="316"/>
      <c r="AG39" s="164"/>
      <c r="AH39" s="117"/>
    </row>
    <row r="40" spans="1:34">
      <c r="A40" s="117"/>
      <c r="B40" s="122"/>
      <c r="F40" s="160" t="s">
        <v>622</v>
      </c>
      <c r="G40" s="26" t="s">
        <v>631</v>
      </c>
      <c r="L40" s="162" t="s">
        <v>624</v>
      </c>
      <c r="O40" s="160"/>
      <c r="T40" s="165"/>
      <c r="X40" s="314"/>
      <c r="Y40" s="315"/>
      <c r="Z40" s="315"/>
      <c r="AA40" s="315"/>
      <c r="AB40" s="315"/>
      <c r="AC40" s="315"/>
      <c r="AD40" s="315"/>
      <c r="AE40" s="315"/>
      <c r="AF40" s="316"/>
      <c r="AG40" s="164"/>
      <c r="AH40" s="117"/>
    </row>
    <row r="41" spans="1:34">
      <c r="A41" s="117"/>
      <c r="B41" s="122"/>
      <c r="F41" s="160" t="s">
        <v>622</v>
      </c>
      <c r="G41" s="26" t="s">
        <v>632</v>
      </c>
      <c r="L41" s="166" t="s">
        <v>633</v>
      </c>
      <c r="O41" s="160"/>
      <c r="T41" s="165"/>
      <c r="X41" s="314"/>
      <c r="Y41" s="315"/>
      <c r="Z41" s="315"/>
      <c r="AA41" s="315"/>
      <c r="AB41" s="315"/>
      <c r="AC41" s="315"/>
      <c r="AD41" s="315"/>
      <c r="AE41" s="315"/>
      <c r="AF41" s="316"/>
      <c r="AG41" s="164"/>
      <c r="AH41" s="117"/>
    </row>
    <row r="42" spans="1:34">
      <c r="A42" s="117"/>
      <c r="B42" s="122"/>
      <c r="F42" s="160" t="s">
        <v>622</v>
      </c>
      <c r="G42" s="26" t="s">
        <v>634</v>
      </c>
      <c r="L42" s="222" t="s">
        <v>1950</v>
      </c>
      <c r="O42" s="160"/>
      <c r="T42" s="162"/>
      <c r="X42" s="314"/>
      <c r="Y42" s="315"/>
      <c r="Z42" s="315"/>
      <c r="AA42" s="315"/>
      <c r="AB42" s="315"/>
      <c r="AC42" s="315"/>
      <c r="AD42" s="315"/>
      <c r="AE42" s="315"/>
      <c r="AF42" s="316"/>
      <c r="AG42" s="164"/>
      <c r="AH42" s="117"/>
    </row>
    <row r="43" spans="1:34">
      <c r="A43" s="117"/>
      <c r="B43" s="122"/>
      <c r="O43" s="160"/>
      <c r="X43" s="317"/>
      <c r="Y43" s="318"/>
      <c r="Z43" s="318"/>
      <c r="AA43" s="318"/>
      <c r="AB43" s="318"/>
      <c r="AC43" s="318"/>
      <c r="AD43" s="318"/>
      <c r="AE43" s="318"/>
      <c r="AF43" s="319"/>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2" t="s">
        <v>2032</v>
      </c>
      <c r="Y52" s="303"/>
      <c r="Z52" s="303"/>
      <c r="AA52" s="303"/>
      <c r="AB52" s="303"/>
      <c r="AC52" s="303"/>
      <c r="AD52" s="303"/>
      <c r="AE52" s="303"/>
      <c r="AF52" s="304"/>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26">
        <f t="shared" ref="V53:V60" si="2">U53-T53</f>
        <v>2</v>
      </c>
      <c r="W53" s="157"/>
      <c r="X53" s="305"/>
      <c r="Y53" s="306"/>
      <c r="Z53" s="306"/>
      <c r="AA53" s="306"/>
      <c r="AB53" s="306"/>
      <c r="AC53" s="306"/>
      <c r="AD53" s="306"/>
      <c r="AE53" s="306"/>
      <c r="AF53" s="307"/>
      <c r="AG53" s="158"/>
      <c r="AH53" s="117"/>
    </row>
    <row r="54" spans="1:34">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22</v>
      </c>
      <c r="V54" s="26">
        <f t="shared" si="2"/>
        <v>22</v>
      </c>
      <c r="W54" s="157"/>
      <c r="X54" s="305"/>
      <c r="Y54" s="306"/>
      <c r="Z54" s="306"/>
      <c r="AA54" s="306"/>
      <c r="AB54" s="306"/>
      <c r="AC54" s="306"/>
      <c r="AD54" s="306"/>
      <c r="AE54" s="306"/>
      <c r="AF54" s="307"/>
      <c r="AG54" s="158"/>
      <c r="AH54" s="117"/>
    </row>
    <row r="55" spans="1:34">
      <c r="A55" s="117"/>
      <c r="B55" s="122"/>
      <c r="D55" s="292" t="str">
        <f>"# "&amp;U61</f>
        <v># 245</v>
      </c>
      <c r="E55" s="292"/>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5"/>
      <c r="Y55" s="306"/>
      <c r="Z55" s="306"/>
      <c r="AA55" s="306"/>
      <c r="AB55" s="306"/>
      <c r="AC55" s="306"/>
      <c r="AD55" s="306"/>
      <c r="AE55" s="306"/>
      <c r="AF55" s="307"/>
      <c r="AG55" s="158"/>
      <c r="AH55" s="117"/>
    </row>
    <row r="56" spans="1:34" ht="17.7" customHeight="1">
      <c r="A56" s="117"/>
      <c r="B56" s="122"/>
      <c r="D56" s="292"/>
      <c r="E56" s="292"/>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5"/>
      <c r="Y56" s="306"/>
      <c r="Z56" s="306"/>
      <c r="AA56" s="306"/>
      <c r="AB56" s="306"/>
      <c r="AC56" s="306"/>
      <c r="AD56" s="306"/>
      <c r="AE56" s="306"/>
      <c r="AF56" s="307"/>
      <c r="AG56" s="158"/>
      <c r="AH56" s="117"/>
    </row>
    <row r="57" spans="1:34" ht="17.7" customHeight="1">
      <c r="A57" s="117"/>
      <c r="B57" s="122"/>
      <c r="D57" s="292"/>
      <c r="E57" s="292"/>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305"/>
      <c r="Y57" s="306"/>
      <c r="Z57" s="306"/>
      <c r="AA57" s="306"/>
      <c r="AB57" s="306"/>
      <c r="AC57" s="306"/>
      <c r="AD57" s="306"/>
      <c r="AE57" s="306"/>
      <c r="AF57" s="307"/>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-2</v>
      </c>
      <c r="W58" s="157"/>
      <c r="X58" s="305"/>
      <c r="Y58" s="306"/>
      <c r="Z58" s="306"/>
      <c r="AA58" s="306"/>
      <c r="AB58" s="306"/>
      <c r="AC58" s="306"/>
      <c r="AD58" s="306"/>
      <c r="AE58" s="306"/>
      <c r="AF58" s="307"/>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53</v>
      </c>
      <c r="V59" s="26">
        <f t="shared" si="2"/>
        <v>-22</v>
      </c>
      <c r="X59" s="305"/>
      <c r="Y59" s="306"/>
      <c r="Z59" s="306"/>
      <c r="AA59" s="306"/>
      <c r="AB59" s="306"/>
      <c r="AC59" s="306"/>
      <c r="AD59" s="306"/>
      <c r="AE59" s="306"/>
      <c r="AF59" s="307"/>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5"/>
      <c r="Y60" s="306"/>
      <c r="Z60" s="306"/>
      <c r="AA60" s="306"/>
      <c r="AB60" s="306"/>
      <c r="AC60" s="306"/>
      <c r="AD60" s="306"/>
      <c r="AE60" s="306"/>
      <c r="AF60" s="307"/>
      <c r="AG60" s="158"/>
      <c r="AH60" s="117"/>
    </row>
    <row r="61" spans="1:34">
      <c r="A61" s="117"/>
      <c r="B61" s="122"/>
      <c r="T61" s="128">
        <f>SUM(T52:T60)</f>
        <v>245</v>
      </c>
      <c r="U61" s="128">
        <f>SUM(U52:U60)</f>
        <v>245</v>
      </c>
      <c r="X61" s="305"/>
      <c r="Y61" s="306"/>
      <c r="Z61" s="306"/>
      <c r="AA61" s="306"/>
      <c r="AB61" s="306"/>
      <c r="AC61" s="306"/>
      <c r="AD61" s="306"/>
      <c r="AE61" s="306"/>
      <c r="AF61" s="307"/>
      <c r="AG61" s="158"/>
      <c r="AH61" s="117"/>
    </row>
    <row r="62" spans="1:34">
      <c r="A62" s="117"/>
      <c r="B62" s="122"/>
      <c r="X62" s="305"/>
      <c r="Y62" s="306"/>
      <c r="Z62" s="306"/>
      <c r="AA62" s="306"/>
      <c r="AB62" s="306"/>
      <c r="AC62" s="306"/>
      <c r="AD62" s="306"/>
      <c r="AE62" s="306"/>
      <c r="AF62" s="307"/>
      <c r="AG62" s="158"/>
      <c r="AH62" s="117"/>
    </row>
    <row r="63" spans="1:34">
      <c r="A63" s="117"/>
      <c r="B63" s="122"/>
      <c r="P63" s="130" t="s">
        <v>637</v>
      </c>
      <c r="Q63" s="131"/>
      <c r="R63" s="131"/>
      <c r="S63" s="131"/>
      <c r="T63" s="131"/>
      <c r="U63" s="131"/>
      <c r="V63" s="131"/>
      <c r="X63" s="305"/>
      <c r="Y63" s="306"/>
      <c r="Z63" s="306"/>
      <c r="AA63" s="306"/>
      <c r="AB63" s="306"/>
      <c r="AC63" s="306"/>
      <c r="AD63" s="306"/>
      <c r="AE63" s="306"/>
      <c r="AF63" s="307"/>
      <c r="AG63" s="158"/>
      <c r="AH63" s="117"/>
    </row>
    <row r="64" spans="1:34">
      <c r="A64" s="117"/>
      <c r="B64" s="122"/>
      <c r="O64" s="160" t="s">
        <v>622</v>
      </c>
      <c r="P64" s="26" t="s">
        <v>217</v>
      </c>
      <c r="T64" s="162" t="s">
        <v>624</v>
      </c>
      <c r="X64" s="305"/>
      <c r="Y64" s="306"/>
      <c r="Z64" s="306"/>
      <c r="AA64" s="306"/>
      <c r="AB64" s="306"/>
      <c r="AC64" s="306"/>
      <c r="AD64" s="306"/>
      <c r="AE64" s="306"/>
      <c r="AF64" s="307"/>
      <c r="AG64" s="158"/>
      <c r="AH64" s="117"/>
    </row>
    <row r="65" spans="1:34">
      <c r="A65" s="117"/>
      <c r="B65" s="122"/>
      <c r="O65" s="160" t="s">
        <v>622</v>
      </c>
      <c r="P65" s="26" t="s">
        <v>216</v>
      </c>
      <c r="T65" s="162" t="s">
        <v>624</v>
      </c>
      <c r="X65" s="305"/>
      <c r="Y65" s="306"/>
      <c r="Z65" s="306"/>
      <c r="AA65" s="306"/>
      <c r="AB65" s="306"/>
      <c r="AC65" s="306"/>
      <c r="AD65" s="306"/>
      <c r="AE65" s="306"/>
      <c r="AF65" s="307"/>
      <c r="AG65" s="158"/>
      <c r="AH65" s="117"/>
    </row>
    <row r="66" spans="1:34">
      <c r="A66" s="117"/>
      <c r="B66" s="122"/>
      <c r="O66" s="160" t="s">
        <v>622</v>
      </c>
      <c r="P66" s="26" t="s">
        <v>214</v>
      </c>
      <c r="T66" s="162" t="s">
        <v>624</v>
      </c>
      <c r="X66" s="305"/>
      <c r="Y66" s="306"/>
      <c r="Z66" s="306"/>
      <c r="AA66" s="306"/>
      <c r="AB66" s="306"/>
      <c r="AC66" s="306"/>
      <c r="AD66" s="306"/>
      <c r="AE66" s="306"/>
      <c r="AF66" s="307"/>
      <c r="AG66" s="158"/>
      <c r="AH66" s="117"/>
    </row>
    <row r="67" spans="1:34">
      <c r="A67" s="117"/>
      <c r="B67" s="122"/>
      <c r="O67" s="160" t="s">
        <v>622</v>
      </c>
      <c r="P67" s="26" t="s">
        <v>213</v>
      </c>
      <c r="T67" s="162" t="s">
        <v>624</v>
      </c>
      <c r="X67" s="305"/>
      <c r="Y67" s="306"/>
      <c r="Z67" s="306"/>
      <c r="AA67" s="306"/>
      <c r="AB67" s="306"/>
      <c r="AC67" s="306"/>
      <c r="AD67" s="306"/>
      <c r="AE67" s="306"/>
      <c r="AF67" s="307"/>
      <c r="AG67" s="158"/>
      <c r="AH67" s="117"/>
    </row>
    <row r="68" spans="1:34">
      <c r="A68" s="117"/>
      <c r="B68" s="122"/>
      <c r="O68" s="160" t="s">
        <v>622</v>
      </c>
      <c r="P68" s="26" t="s">
        <v>218</v>
      </c>
      <c r="T68" s="162" t="s">
        <v>624</v>
      </c>
      <c r="X68" s="305"/>
      <c r="Y68" s="306"/>
      <c r="Z68" s="306"/>
      <c r="AA68" s="306"/>
      <c r="AB68" s="306"/>
      <c r="AC68" s="306"/>
      <c r="AD68" s="306"/>
      <c r="AE68" s="306"/>
      <c r="AF68" s="307"/>
      <c r="AG68" s="158"/>
      <c r="AH68" s="117"/>
    </row>
    <row r="69" spans="1:34">
      <c r="A69" s="117"/>
      <c r="B69" s="122"/>
      <c r="O69" s="160" t="s">
        <v>622</v>
      </c>
      <c r="P69" s="26" t="s">
        <v>219</v>
      </c>
      <c r="T69" s="162" t="s">
        <v>624</v>
      </c>
      <c r="X69" s="305"/>
      <c r="Y69" s="306"/>
      <c r="Z69" s="306"/>
      <c r="AA69" s="306"/>
      <c r="AB69" s="306"/>
      <c r="AC69" s="306"/>
      <c r="AD69" s="306"/>
      <c r="AE69" s="306"/>
      <c r="AF69" s="307"/>
      <c r="AG69" s="158"/>
      <c r="AH69" s="117"/>
    </row>
    <row r="70" spans="1:34">
      <c r="A70" s="117"/>
      <c r="B70" s="122"/>
      <c r="O70" s="160" t="s">
        <v>622</v>
      </c>
      <c r="P70" s="26" t="s">
        <v>220</v>
      </c>
      <c r="T70" s="162" t="s">
        <v>624</v>
      </c>
      <c r="X70" s="305"/>
      <c r="Y70" s="306"/>
      <c r="Z70" s="306"/>
      <c r="AA70" s="306"/>
      <c r="AB70" s="306"/>
      <c r="AC70" s="306"/>
      <c r="AD70" s="306"/>
      <c r="AE70" s="306"/>
      <c r="AF70" s="307"/>
      <c r="AG70" s="158"/>
      <c r="AH70" s="117"/>
    </row>
    <row r="71" spans="1:34">
      <c r="A71" s="117"/>
      <c r="B71" s="122"/>
      <c r="O71" s="160" t="s">
        <v>622</v>
      </c>
      <c r="P71" s="26" t="s">
        <v>215</v>
      </c>
      <c r="T71" s="162" t="s">
        <v>624</v>
      </c>
      <c r="X71" s="305"/>
      <c r="Y71" s="306"/>
      <c r="Z71" s="306"/>
      <c r="AA71" s="306"/>
      <c r="AB71" s="306"/>
      <c r="AC71" s="306"/>
      <c r="AD71" s="306"/>
      <c r="AE71" s="306"/>
      <c r="AF71" s="307"/>
      <c r="AG71" s="158"/>
      <c r="AH71" s="117"/>
    </row>
    <row r="72" spans="1:34">
      <c r="A72" s="117"/>
      <c r="B72" s="122"/>
      <c r="O72" s="160" t="s">
        <v>622</v>
      </c>
      <c r="P72" s="26" t="s">
        <v>182</v>
      </c>
      <c r="T72" s="166" t="s">
        <v>638</v>
      </c>
      <c r="X72" s="305"/>
      <c r="Y72" s="306"/>
      <c r="Z72" s="306"/>
      <c r="AA72" s="306"/>
      <c r="AB72" s="306"/>
      <c r="AC72" s="306"/>
      <c r="AD72" s="306"/>
      <c r="AE72" s="306"/>
      <c r="AF72" s="307"/>
      <c r="AG72" s="158"/>
      <c r="AH72" s="117"/>
    </row>
    <row r="73" spans="1:34">
      <c r="A73" s="117"/>
      <c r="B73" s="122"/>
      <c r="O73" s="160" t="s">
        <v>622</v>
      </c>
      <c r="P73" s="178" t="s">
        <v>639</v>
      </c>
      <c r="T73" s="166" t="s">
        <v>640</v>
      </c>
      <c r="X73" s="305"/>
      <c r="Y73" s="306"/>
      <c r="Z73" s="306"/>
      <c r="AA73" s="306"/>
      <c r="AB73" s="306"/>
      <c r="AC73" s="306"/>
      <c r="AD73" s="306"/>
      <c r="AE73" s="306"/>
      <c r="AF73" s="307"/>
      <c r="AG73" s="158"/>
      <c r="AH73" s="117"/>
    </row>
    <row r="74" spans="1:34">
      <c r="A74" s="117"/>
      <c r="B74" s="122"/>
      <c r="P74" s="159"/>
      <c r="X74" s="305"/>
      <c r="Y74" s="306"/>
      <c r="Z74" s="306"/>
      <c r="AA74" s="306"/>
      <c r="AB74" s="306"/>
      <c r="AC74" s="306"/>
      <c r="AD74" s="306"/>
      <c r="AE74" s="306"/>
      <c r="AF74" s="307"/>
      <c r="AG74" s="158"/>
      <c r="AH74" s="117"/>
    </row>
    <row r="75" spans="1:34">
      <c r="A75" s="117"/>
      <c r="B75" s="122"/>
      <c r="P75" s="130" t="s">
        <v>641</v>
      </c>
      <c r="Q75" s="131"/>
      <c r="R75" s="131"/>
      <c r="S75" s="131"/>
      <c r="T75" s="131"/>
      <c r="U75" s="131"/>
      <c r="V75" s="131"/>
      <c r="X75" s="305"/>
      <c r="Y75" s="306"/>
      <c r="Z75" s="306"/>
      <c r="AA75" s="306"/>
      <c r="AB75" s="306"/>
      <c r="AC75" s="306"/>
      <c r="AD75" s="306"/>
      <c r="AE75" s="306"/>
      <c r="AF75" s="307"/>
      <c r="AG75" s="158"/>
      <c r="AH75" s="117"/>
    </row>
    <row r="76" spans="1:34">
      <c r="A76" s="117"/>
      <c r="B76" s="122"/>
      <c r="O76" s="160" t="s">
        <v>622</v>
      </c>
      <c r="P76" s="26" t="s">
        <v>642</v>
      </c>
      <c r="T76" s="166" t="s">
        <v>638</v>
      </c>
      <c r="X76" s="305"/>
      <c r="Y76" s="306"/>
      <c r="Z76" s="306"/>
      <c r="AA76" s="306"/>
      <c r="AB76" s="306"/>
      <c r="AC76" s="306"/>
      <c r="AD76" s="306"/>
      <c r="AE76" s="306"/>
      <c r="AF76" s="307"/>
      <c r="AG76" s="158"/>
      <c r="AH76" s="117"/>
    </row>
    <row r="77" spans="1:34">
      <c r="A77" s="117"/>
      <c r="B77" s="122"/>
      <c r="O77" s="160" t="s">
        <v>622</v>
      </c>
      <c r="P77" s="26" t="s">
        <v>312</v>
      </c>
      <c r="T77" s="162" t="s">
        <v>643</v>
      </c>
      <c r="X77" s="305"/>
      <c r="Y77" s="306"/>
      <c r="Z77" s="306"/>
      <c r="AA77" s="306"/>
      <c r="AB77" s="306"/>
      <c r="AC77" s="306"/>
      <c r="AD77" s="306"/>
      <c r="AE77" s="306"/>
      <c r="AF77" s="307"/>
      <c r="AG77" s="158"/>
      <c r="AH77" s="117"/>
    </row>
    <row r="78" spans="1:34">
      <c r="A78" s="117"/>
      <c r="B78" s="122"/>
      <c r="O78" s="160" t="s">
        <v>622</v>
      </c>
      <c r="P78" s="26" t="s">
        <v>326</v>
      </c>
      <c r="T78" s="162" t="s">
        <v>624</v>
      </c>
      <c r="X78" s="305"/>
      <c r="Y78" s="306"/>
      <c r="Z78" s="306"/>
      <c r="AA78" s="306"/>
      <c r="AB78" s="306"/>
      <c r="AC78" s="306"/>
      <c r="AD78" s="306"/>
      <c r="AE78" s="306"/>
      <c r="AF78" s="307"/>
      <c r="AG78" s="158"/>
      <c r="AH78" s="117"/>
    </row>
    <row r="79" spans="1:34">
      <c r="A79" s="117"/>
      <c r="B79" s="122"/>
      <c r="O79" s="160" t="s">
        <v>622</v>
      </c>
      <c r="P79" s="26" t="s">
        <v>334</v>
      </c>
      <c r="T79" s="166" t="s">
        <v>638</v>
      </c>
      <c r="X79" s="305"/>
      <c r="Y79" s="306"/>
      <c r="Z79" s="306"/>
      <c r="AA79" s="306"/>
      <c r="AB79" s="306"/>
      <c r="AC79" s="306"/>
      <c r="AD79" s="306"/>
      <c r="AE79" s="306"/>
      <c r="AF79" s="307"/>
      <c r="AG79" s="158"/>
      <c r="AH79" s="117"/>
    </row>
    <row r="80" spans="1:34">
      <c r="A80" s="117"/>
      <c r="B80" s="122"/>
      <c r="O80" s="160"/>
      <c r="T80" s="161"/>
      <c r="X80" s="308"/>
      <c r="Y80" s="309"/>
      <c r="Z80" s="309"/>
      <c r="AA80" s="309"/>
      <c r="AB80" s="309"/>
      <c r="AC80" s="309"/>
      <c r="AD80" s="309"/>
      <c r="AE80" s="309"/>
      <c r="AF80" s="310"/>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0" t="s">
        <v>2033</v>
      </c>
      <c r="Y87" s="320"/>
      <c r="Z87" s="320"/>
      <c r="AA87" s="320"/>
      <c r="AB87" s="320"/>
      <c r="AC87" s="320"/>
      <c r="AD87" s="320"/>
      <c r="AE87" s="320"/>
      <c r="AF87" s="320"/>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54</v>
      </c>
      <c r="V88" s="26">
        <f t="shared" ref="V88:V95" si="4">U88-T88</f>
        <v>1</v>
      </c>
      <c r="X88" s="321"/>
      <c r="Y88" s="321"/>
      <c r="Z88" s="321"/>
      <c r="AA88" s="321"/>
      <c r="AB88" s="321"/>
      <c r="AC88" s="321"/>
      <c r="AD88" s="321"/>
      <c r="AE88" s="321"/>
      <c r="AF88" s="321"/>
      <c r="AG88" s="163"/>
      <c r="AH88" s="117"/>
    </row>
    <row r="89" spans="1:34">
      <c r="A89" s="117"/>
      <c r="B89" s="122"/>
      <c r="P89" s="26" t="s">
        <v>1931</v>
      </c>
      <c r="T89" s="26">
        <f>COUNTIFS(Table4[Status Anterior],'1. Status Resumo'!$P89,Table4[Sub-âmbito],'1. Status Resumo'!$G$83,Table4[Tipo de teste],"2. Campo")</f>
        <v>3</v>
      </c>
      <c r="U89" s="26">
        <f>COUNTIFS(Table4[Status Atual],'1. Status Resumo'!$P89,Table4[Sub-âmbito],'1. Status Resumo'!$G$83,Table4[Tipo de teste],"2. Campo")</f>
        <v>6</v>
      </c>
      <c r="V89" s="26">
        <f t="shared" si="4"/>
        <v>3</v>
      </c>
      <c r="X89" s="321"/>
      <c r="Y89" s="321"/>
      <c r="Z89" s="321"/>
      <c r="AA89" s="321"/>
      <c r="AB89" s="321"/>
      <c r="AC89" s="321"/>
      <c r="AD89" s="321"/>
      <c r="AE89" s="321"/>
      <c r="AF89" s="321"/>
      <c r="AG89" s="163"/>
      <c r="AH89" s="117"/>
    </row>
    <row r="90" spans="1:34" ht="17.7" customHeight="1">
      <c r="A90" s="117"/>
      <c r="B90" s="122"/>
      <c r="D90" s="292" t="str">
        <f>"# "&amp;U96</f>
        <v># 135</v>
      </c>
      <c r="E90" s="292"/>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1"/>
      <c r="Y90" s="321"/>
      <c r="Z90" s="321"/>
      <c r="AA90" s="321"/>
      <c r="AB90" s="321"/>
      <c r="AC90" s="321"/>
      <c r="AD90" s="321"/>
      <c r="AE90" s="321"/>
      <c r="AF90" s="321"/>
      <c r="AG90" s="163"/>
      <c r="AH90" s="117"/>
    </row>
    <row r="91" spans="1:34" ht="17.7" customHeight="1">
      <c r="A91" s="117"/>
      <c r="B91" s="122"/>
      <c r="D91" s="292"/>
      <c r="E91" s="292"/>
      <c r="P91" s="26" t="s">
        <v>615</v>
      </c>
      <c r="T91" s="26">
        <f>COUNTIFS(Table4[Status Anterior],'1. Status Resumo'!$P91,Table4[Sub-âmbito],'1. Status Resumo'!$G$83,Table4[Tipo de teste],"2. Campo")</f>
        <v>18</v>
      </c>
      <c r="U91" s="26">
        <f>COUNTIFS(Table4[Status Atual],'1. Status Resumo'!$P91,Table4[Sub-âmbito],'1. Status Resumo'!$G$83,Table4[Tipo de teste],"2. Campo")</f>
        <v>26</v>
      </c>
      <c r="V91" s="26">
        <f t="shared" si="4"/>
        <v>8</v>
      </c>
      <c r="X91" s="321"/>
      <c r="Y91" s="321"/>
      <c r="Z91" s="321"/>
      <c r="AA91" s="321"/>
      <c r="AB91" s="321"/>
      <c r="AC91" s="321"/>
      <c r="AD91" s="321"/>
      <c r="AE91" s="321"/>
      <c r="AF91" s="321"/>
      <c r="AG91" s="163"/>
      <c r="AH91" s="117"/>
    </row>
    <row r="92" spans="1:34" ht="17.7" customHeight="1">
      <c r="A92" s="117"/>
      <c r="B92" s="122"/>
      <c r="D92" s="292"/>
      <c r="E92" s="292"/>
      <c r="P92" s="26" t="s">
        <v>616</v>
      </c>
      <c r="T92" s="26">
        <f>COUNTIFS(Table4[Status Anterior],'1. Status Resumo'!$P92,Table4[Sub-âmbito],'1. Status Resumo'!$G$83,Table4[Tipo de teste],"2. Campo")</f>
        <v>1</v>
      </c>
      <c r="U92" s="26">
        <f>COUNTIFS(Table4[Status Atual],'1. Status Resumo'!$P92,Table4[Sub-âmbito],'1. Status Resumo'!$G$83,Table4[Tipo de teste],"2. Campo")</f>
        <v>0</v>
      </c>
      <c r="V92" s="26">
        <f t="shared" si="4"/>
        <v>-1</v>
      </c>
      <c r="X92" s="321"/>
      <c r="Y92" s="321"/>
      <c r="Z92" s="321"/>
      <c r="AA92" s="321"/>
      <c r="AB92" s="321"/>
      <c r="AC92" s="321"/>
      <c r="AD92" s="321"/>
      <c r="AE92" s="321"/>
      <c r="AF92" s="321"/>
      <c r="AG92" s="163"/>
      <c r="AH92" s="117"/>
    </row>
    <row r="93" spans="1:34">
      <c r="A93" s="117"/>
      <c r="B93" s="122"/>
      <c r="D93" s="292"/>
      <c r="E93" s="292"/>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1"/>
      <c r="Y93" s="321"/>
      <c r="Z93" s="321"/>
      <c r="AA93" s="321"/>
      <c r="AB93" s="321"/>
      <c r="AC93" s="321"/>
      <c r="AD93" s="321"/>
      <c r="AE93" s="321"/>
      <c r="AF93" s="321"/>
      <c r="AG93" s="163"/>
      <c r="AH93" s="117"/>
    </row>
    <row r="94" spans="1:34">
      <c r="A94" s="117"/>
      <c r="B94" s="122"/>
      <c r="D94" s="292"/>
      <c r="E94" s="292"/>
      <c r="P94" s="26" t="s">
        <v>619</v>
      </c>
      <c r="T94" s="26">
        <f>COUNTIFS(Table4[Status Anterior],'1. Status Resumo'!$P94,Table4[Sub-âmbito],'1. Status Resumo'!$G$83,Table4[Tipo de teste],"2. Campo")</f>
        <v>60</v>
      </c>
      <c r="U94" s="26">
        <f>COUNTIFS(Table4[Status Atual],'1. Status Resumo'!$P94,Table4[Sub-âmbito],'1. Status Resumo'!$G$83,Table4[Tipo de teste],"2. Campo")</f>
        <v>49</v>
      </c>
      <c r="V94" s="26">
        <f t="shared" si="4"/>
        <v>-11</v>
      </c>
      <c r="X94" s="321"/>
      <c r="Y94" s="321"/>
      <c r="Z94" s="321"/>
      <c r="AA94" s="321"/>
      <c r="AB94" s="321"/>
      <c r="AC94" s="321"/>
      <c r="AD94" s="321"/>
      <c r="AE94" s="321"/>
      <c r="AF94" s="321"/>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1"/>
      <c r="Y95" s="321"/>
      <c r="Z95" s="321"/>
      <c r="AA95" s="321"/>
      <c r="AB95" s="321"/>
      <c r="AC95" s="321"/>
      <c r="AD95" s="321"/>
      <c r="AE95" s="321"/>
      <c r="AF95" s="321"/>
      <c r="AG95" s="163"/>
      <c r="AH95" s="117"/>
    </row>
    <row r="96" spans="1:34">
      <c r="A96" s="117"/>
      <c r="B96" s="122"/>
      <c r="T96" s="128">
        <f>SUM(T87:T95)</f>
        <v>135</v>
      </c>
      <c r="U96" s="128">
        <f>SUM(U87:U95)</f>
        <v>135</v>
      </c>
      <c r="X96" s="321"/>
      <c r="Y96" s="321"/>
      <c r="Z96" s="321"/>
      <c r="AA96" s="321"/>
      <c r="AB96" s="321"/>
      <c r="AC96" s="321"/>
      <c r="AD96" s="321"/>
      <c r="AE96" s="321"/>
      <c r="AF96" s="321"/>
      <c r="AG96" s="163"/>
      <c r="AH96" s="117"/>
    </row>
    <row r="97" spans="1:34">
      <c r="A97" s="117"/>
      <c r="B97" s="122"/>
      <c r="T97" s="128"/>
      <c r="U97" s="128"/>
      <c r="X97" s="321"/>
      <c r="Y97" s="321"/>
      <c r="Z97" s="321"/>
      <c r="AA97" s="321"/>
      <c r="AB97" s="321"/>
      <c r="AC97" s="321"/>
      <c r="AD97" s="321"/>
      <c r="AE97" s="321"/>
      <c r="AF97" s="321"/>
      <c r="AG97" s="163"/>
      <c r="AH97" s="117"/>
    </row>
    <row r="98" spans="1:34">
      <c r="A98" s="117"/>
      <c r="B98" s="122"/>
      <c r="P98" s="130" t="s">
        <v>620</v>
      </c>
      <c r="Q98" s="131"/>
      <c r="R98" s="131"/>
      <c r="S98" s="131"/>
      <c r="T98" s="131"/>
      <c r="U98" s="131"/>
      <c r="V98" s="131"/>
      <c r="X98" s="321"/>
      <c r="Y98" s="321"/>
      <c r="Z98" s="321"/>
      <c r="AA98" s="321"/>
      <c r="AB98" s="321"/>
      <c r="AC98" s="321"/>
      <c r="AD98" s="321"/>
      <c r="AE98" s="321"/>
      <c r="AF98" s="321"/>
      <c r="AG98" s="163"/>
      <c r="AH98" s="117"/>
    </row>
    <row r="99" spans="1:34">
      <c r="A99" s="117"/>
      <c r="B99" s="122"/>
      <c r="O99" s="160" t="s">
        <v>622</v>
      </c>
      <c r="P99" s="26" t="s">
        <v>380</v>
      </c>
      <c r="T99" s="207" t="s">
        <v>1934</v>
      </c>
      <c r="X99" s="321"/>
      <c r="Y99" s="321"/>
      <c r="Z99" s="321"/>
      <c r="AA99" s="321"/>
      <c r="AB99" s="321"/>
      <c r="AC99" s="321"/>
      <c r="AD99" s="321"/>
      <c r="AE99" s="321"/>
      <c r="AF99" s="321"/>
      <c r="AG99" s="163"/>
      <c r="AH99" s="117"/>
    </row>
    <row r="100" spans="1:34">
      <c r="A100" s="117"/>
      <c r="B100" s="122"/>
      <c r="O100" s="160" t="s">
        <v>622</v>
      </c>
      <c r="P100" s="26" t="s">
        <v>336</v>
      </c>
      <c r="T100" s="207" t="s">
        <v>1934</v>
      </c>
      <c r="X100" s="321"/>
      <c r="Y100" s="321"/>
      <c r="Z100" s="321"/>
      <c r="AA100" s="321"/>
      <c r="AB100" s="321"/>
      <c r="AC100" s="321"/>
      <c r="AD100" s="321"/>
      <c r="AE100" s="321"/>
      <c r="AF100" s="321"/>
      <c r="AG100" s="163"/>
      <c r="AH100" s="117"/>
    </row>
    <row r="101" spans="1:34">
      <c r="A101" s="117"/>
      <c r="B101" s="122"/>
      <c r="O101" s="160" t="s">
        <v>622</v>
      </c>
      <c r="P101" s="26" t="s">
        <v>369</v>
      </c>
      <c r="T101" s="207" t="s">
        <v>1934</v>
      </c>
      <c r="X101" s="321"/>
      <c r="Y101" s="321"/>
      <c r="Z101" s="321"/>
      <c r="AA101" s="321"/>
      <c r="AB101" s="321"/>
      <c r="AC101" s="321"/>
      <c r="AD101" s="321"/>
      <c r="AE101" s="321"/>
      <c r="AF101" s="321"/>
      <c r="AG101" s="163"/>
      <c r="AH101" s="117"/>
    </row>
    <row r="102" spans="1:34">
      <c r="A102" s="117"/>
      <c r="B102" s="122"/>
      <c r="O102" s="160" t="s">
        <v>622</v>
      </c>
      <c r="P102" s="26" t="s">
        <v>440</v>
      </c>
      <c r="T102" s="162" t="s">
        <v>624</v>
      </c>
      <c r="X102" s="321"/>
      <c r="Y102" s="321"/>
      <c r="Z102" s="321"/>
      <c r="AA102" s="321"/>
      <c r="AB102" s="321"/>
      <c r="AC102" s="321"/>
      <c r="AD102" s="321"/>
      <c r="AE102" s="321"/>
      <c r="AF102" s="321"/>
      <c r="AG102" s="163"/>
      <c r="AH102" s="117"/>
    </row>
    <row r="103" spans="1:34">
      <c r="A103" s="117"/>
      <c r="B103" s="122"/>
      <c r="O103" s="160" t="s">
        <v>622</v>
      </c>
      <c r="P103" s="26" t="s">
        <v>442</v>
      </c>
      <c r="T103" s="162" t="s">
        <v>624</v>
      </c>
      <c r="X103" s="321"/>
      <c r="Y103" s="321"/>
      <c r="Z103" s="321"/>
      <c r="AA103" s="321"/>
      <c r="AB103" s="321"/>
      <c r="AC103" s="321"/>
      <c r="AD103" s="321"/>
      <c r="AE103" s="321"/>
      <c r="AF103" s="321"/>
      <c r="AG103" s="163"/>
      <c r="AH103" s="117"/>
    </row>
    <row r="104" spans="1:34">
      <c r="A104" s="117"/>
      <c r="B104" s="122"/>
      <c r="O104" s="160" t="s">
        <v>622</v>
      </c>
      <c r="P104" s="26" t="s">
        <v>1965</v>
      </c>
      <c r="T104" s="323" t="s">
        <v>633</v>
      </c>
      <c r="X104" s="321"/>
      <c r="Y104" s="321"/>
      <c r="Z104" s="321"/>
      <c r="AA104" s="321"/>
      <c r="AB104" s="321"/>
      <c r="AC104" s="321"/>
      <c r="AD104" s="321"/>
      <c r="AE104" s="321"/>
      <c r="AF104" s="321"/>
      <c r="AG104" s="163"/>
      <c r="AH104" s="117"/>
    </row>
    <row r="105" spans="1:34">
      <c r="A105" s="117"/>
      <c r="B105" s="122"/>
      <c r="O105" s="160" t="s">
        <v>622</v>
      </c>
      <c r="P105" s="26" t="s">
        <v>1966</v>
      </c>
      <c r="T105" s="323" t="s">
        <v>633</v>
      </c>
      <c r="X105" s="321"/>
      <c r="Y105" s="321"/>
      <c r="Z105" s="321"/>
      <c r="AA105" s="321"/>
      <c r="AB105" s="321"/>
      <c r="AC105" s="321"/>
      <c r="AD105" s="321"/>
      <c r="AE105" s="321"/>
      <c r="AF105" s="321"/>
      <c r="AG105" s="163"/>
      <c r="AH105" s="117"/>
    </row>
    <row r="106" spans="1:34">
      <c r="A106" s="117"/>
      <c r="B106" s="122"/>
      <c r="O106" s="160" t="s">
        <v>622</v>
      </c>
      <c r="P106" s="26" t="s">
        <v>393</v>
      </c>
      <c r="T106" s="162" t="s">
        <v>624</v>
      </c>
      <c r="X106" s="321"/>
      <c r="Y106" s="321"/>
      <c r="Z106" s="321"/>
      <c r="AA106" s="321"/>
      <c r="AB106" s="321"/>
      <c r="AC106" s="321"/>
      <c r="AD106" s="321"/>
      <c r="AE106" s="321"/>
      <c r="AF106" s="321"/>
      <c r="AG106" s="163"/>
      <c r="AH106" s="117"/>
    </row>
    <row r="107" spans="1:34">
      <c r="A107" s="117"/>
      <c r="B107" s="122"/>
      <c r="O107" s="160"/>
      <c r="T107" s="162"/>
      <c r="X107" s="321"/>
      <c r="Y107" s="321"/>
      <c r="Z107" s="321"/>
      <c r="AA107" s="321"/>
      <c r="AB107" s="321"/>
      <c r="AC107" s="321"/>
      <c r="AD107" s="321"/>
      <c r="AE107" s="321"/>
      <c r="AF107" s="321"/>
      <c r="AG107" s="163"/>
      <c r="AH107" s="117"/>
    </row>
    <row r="108" spans="1:34">
      <c r="A108" s="117"/>
      <c r="B108" s="122"/>
      <c r="O108" s="160"/>
      <c r="T108" s="162"/>
      <c r="X108" s="321"/>
      <c r="Y108" s="321"/>
      <c r="Z108" s="321"/>
      <c r="AA108" s="321"/>
      <c r="AB108" s="321"/>
      <c r="AC108" s="321"/>
      <c r="AD108" s="321"/>
      <c r="AE108" s="321"/>
      <c r="AF108" s="321"/>
      <c r="AG108" s="163"/>
      <c r="AH108" s="117"/>
    </row>
    <row r="109" spans="1:34">
      <c r="A109" s="117"/>
      <c r="B109" s="122"/>
      <c r="O109" s="160"/>
      <c r="T109" s="162"/>
      <c r="X109" s="321"/>
      <c r="Y109" s="321"/>
      <c r="Z109" s="321"/>
      <c r="AA109" s="321"/>
      <c r="AB109" s="321"/>
      <c r="AC109" s="321"/>
      <c r="AD109" s="321"/>
      <c r="AE109" s="321"/>
      <c r="AF109" s="321"/>
      <c r="AG109" s="163"/>
      <c r="AH109" s="117"/>
    </row>
    <row r="110" spans="1:34">
      <c r="A110" s="117"/>
      <c r="B110" s="122"/>
      <c r="O110" s="160"/>
      <c r="T110" s="162"/>
      <c r="X110" s="321"/>
      <c r="Y110" s="321"/>
      <c r="Z110" s="321"/>
      <c r="AA110" s="321"/>
      <c r="AB110" s="321"/>
      <c r="AC110" s="321"/>
      <c r="AD110" s="321"/>
      <c r="AE110" s="321"/>
      <c r="AF110" s="321"/>
      <c r="AG110" s="163"/>
      <c r="AH110" s="117"/>
    </row>
    <row r="111" spans="1:34">
      <c r="A111" s="117"/>
      <c r="B111" s="122"/>
      <c r="X111" s="322"/>
      <c r="Y111" s="322"/>
      <c r="Z111" s="322"/>
      <c r="AA111" s="322"/>
      <c r="AB111" s="322"/>
      <c r="AC111" s="322"/>
      <c r="AD111" s="322"/>
      <c r="AE111" s="322"/>
      <c r="AF111" s="322"/>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476" activePane="bottomRight" state="frozen"/>
      <selection pane="topRight" activeCell="D136" sqref="D136"/>
      <selection pane="bottomLeft" activeCell="D136" sqref="D136"/>
      <selection pane="bottomRight" activeCell="J526" sqref="A1:N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1947</v>
      </c>
      <c r="G107" s="136" t="str">
        <f>VLOOKUP(A107,Plano_V3!$A$26:$G$592,7,0)</f>
        <v>6. Em implementação (re-especificação)</v>
      </c>
      <c r="H107" s="136"/>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4. Validação EF</v>
      </c>
      <c r="H114" s="136" t="s">
        <v>1931</v>
      </c>
      <c r="I114" s="143"/>
      <c r="J114" s="153">
        <f>IF(VLOOKUP(A114,'Aux - pivots1'!$A:$E,3,0)=0, "",VLOOKUP(A114,'Aux - pivots1'!$A:$E,3,0))</f>
        <v>45603</v>
      </c>
      <c r="K114" s="153">
        <f>IF(VLOOKUP(A114,'Aux - pivots1'!$A:$E,4,0)=0, "",VLOOKUP(A114,'Aux - pivots1'!$A:$E,4,0))</f>
        <v>45607</v>
      </c>
      <c r="L114" s="153">
        <f>IF(VLOOKUP(A114,'Aux - pivots1'!$A:$E,5,0)=0, "",VLOOKUP(A114,'Aux - pivots1'!$A:$E,5,0))</f>
        <v>45600</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4. Validação EF</v>
      </c>
      <c r="H115" s="136" t="s">
        <v>1931</v>
      </c>
      <c r="I115" s="143"/>
      <c r="J115" s="153">
        <f>IF(VLOOKUP(A115,'Aux - pivots1'!$A:$E,3,0)=0, "",VLOOKUP(A115,'Aux - pivots1'!$A:$E,3,0))</f>
        <v>45603</v>
      </c>
      <c r="K115" s="153">
        <f>IF(VLOOKUP(A115,'Aux - pivots1'!$A:$E,4,0)=0, "",VLOOKUP(A115,'Aux - pivots1'!$A:$E,4,0))</f>
        <v>45607</v>
      </c>
      <c r="L115" s="153">
        <f>IF(VLOOKUP(A115,'Aux - pivots1'!$A:$E,5,0)=0, "",VLOOKUP(A115,'Aux - pivots1'!$A:$E,5,0))</f>
        <v>45600</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4. Validação EF</v>
      </c>
      <c r="H116" s="136" t="s">
        <v>1931</v>
      </c>
      <c r="I116" s="143"/>
      <c r="J116" s="153">
        <f>IF(VLOOKUP(A116,'Aux - pivots1'!$A:$E,3,0)=0, "",VLOOKUP(A116,'Aux - pivots1'!$A:$E,3,0))</f>
        <v>45603</v>
      </c>
      <c r="K116" s="153">
        <f>IF(VLOOKUP(A116,'Aux - pivots1'!$A:$E,4,0)=0, "",VLOOKUP(A116,'Aux - pivots1'!$A:$E,4,0))</f>
        <v>45607</v>
      </c>
      <c r="L116" s="153">
        <f>IF(VLOOKUP(A116,'Aux - pivots1'!$A:$E,5,0)=0, "",VLOOKUP(A116,'Aux - pivots1'!$A:$E,5,0))</f>
        <v>45600</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4. Validação EF</v>
      </c>
      <c r="H117" s="136" t="s">
        <v>1931</v>
      </c>
      <c r="I117" s="143"/>
      <c r="J117" s="153">
        <f>IF(VLOOKUP(A117,'Aux - pivots1'!$A:$E,3,0)=0, "",VLOOKUP(A117,'Aux - pivots1'!$A:$E,3,0))</f>
        <v>45603</v>
      </c>
      <c r="K117" s="153">
        <f>IF(VLOOKUP(A117,'Aux - pivots1'!$A:$E,4,0)=0, "",VLOOKUP(A117,'Aux - pivots1'!$A:$E,4,0))</f>
        <v>45607</v>
      </c>
      <c r="L117" s="153">
        <f>IF(VLOOKUP(A117,'Aux - pivots1'!$A:$E,5,0)=0, "",VLOOKUP(A117,'Aux - pivots1'!$A:$E,5,0))</f>
        <v>45600</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4. Validação EF</v>
      </c>
      <c r="H118" s="136" t="s">
        <v>1931</v>
      </c>
      <c r="I118" s="143"/>
      <c r="J118" s="153">
        <f>IF(VLOOKUP(A118,'Aux - pivots1'!$A:$E,3,0)=0, "",VLOOKUP(A118,'Aux - pivots1'!$A:$E,3,0))</f>
        <v>45603</v>
      </c>
      <c r="K118" s="153">
        <f>IF(VLOOKUP(A118,'Aux - pivots1'!$A:$E,4,0)=0, "",VLOOKUP(A118,'Aux - pivots1'!$A:$E,4,0))</f>
        <v>45607</v>
      </c>
      <c r="L118" s="153">
        <f>IF(VLOOKUP(A118,'Aux - pivots1'!$A:$E,5,0)=0, "",VLOOKUP(A118,'Aux - pivots1'!$A:$E,5,0))</f>
        <v>45600</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4. Validação EF</v>
      </c>
      <c r="H119" s="136" t="s">
        <v>1931</v>
      </c>
      <c r="I119" s="143"/>
      <c r="J119" s="153">
        <f>IF(VLOOKUP(A119,'Aux - pivots1'!$A:$E,3,0)=0, "",VLOOKUP(A119,'Aux - pivots1'!$A:$E,3,0))</f>
        <v>45603</v>
      </c>
      <c r="K119" s="153">
        <f>IF(VLOOKUP(A119,'Aux - pivots1'!$A:$E,4,0)=0, "",VLOOKUP(A119,'Aux - pivots1'!$A:$E,4,0))</f>
        <v>45607</v>
      </c>
      <c r="L119" s="153">
        <f>IF(VLOOKUP(A119,'Aux - pivots1'!$A:$E,5,0)=0, "",VLOOKUP(A119,'Aux - pivots1'!$A:$E,5,0))</f>
        <v>45600</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4. Validação EF</v>
      </c>
      <c r="H122" s="136" t="s">
        <v>1931</v>
      </c>
      <c r="I122" s="143"/>
      <c r="J122" s="153">
        <f>IF(VLOOKUP(A122,'Aux - pivots1'!$A:$E,3,0)=0, "",VLOOKUP(A122,'Aux - pivots1'!$A:$E,3,0))</f>
        <v>45603</v>
      </c>
      <c r="K122" s="153">
        <f>IF(VLOOKUP(A122,'Aux - pivots1'!$A:$E,4,0)=0, "",VLOOKUP(A122,'Aux - pivots1'!$A:$E,4,0))</f>
        <v>45607</v>
      </c>
      <c r="L122" s="153">
        <f>IF(VLOOKUP(A122,'Aux - pivots1'!$A:$E,5,0)=0, "",VLOOKUP(A122,'Aux - pivots1'!$A:$E,5,0))</f>
        <v>45600</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4. Validação EF</v>
      </c>
      <c r="H124" s="136" t="s">
        <v>1931</v>
      </c>
      <c r="I124" s="143"/>
      <c r="J124" s="153">
        <f>IF(VLOOKUP(A124,'Aux - pivots1'!$A:$E,3,0)=0, "",VLOOKUP(A124,'Aux - pivots1'!$A:$E,3,0))</f>
        <v>45603</v>
      </c>
      <c r="K124" s="153">
        <f>IF(VLOOKUP(A124,'Aux - pivots1'!$A:$E,4,0)=0, "",VLOOKUP(A124,'Aux - pivots1'!$A:$E,4,0))</f>
        <v>45607</v>
      </c>
      <c r="L124" s="153">
        <f>IF(VLOOKUP(A124,'Aux - pivots1'!$A:$E,5,0)=0, "",VLOOKUP(A124,'Aux - pivots1'!$A:$E,5,0))</f>
        <v>45600</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4. Validação EF</v>
      </c>
      <c r="H125" s="136" t="s">
        <v>1931</v>
      </c>
      <c r="I125" s="143"/>
      <c r="J125" s="153">
        <f>IF(VLOOKUP(A125,'Aux - pivots1'!$A:$E,3,0)=0, "",VLOOKUP(A125,'Aux - pivots1'!$A:$E,3,0))</f>
        <v>45603</v>
      </c>
      <c r="K125" s="153">
        <f>IF(VLOOKUP(A125,'Aux - pivots1'!$A:$E,4,0)=0, "",VLOOKUP(A125,'Aux - pivots1'!$A:$E,4,0))</f>
        <v>45607</v>
      </c>
      <c r="L125" s="153">
        <f>IF(VLOOKUP(A125,'Aux - pivots1'!$A:$E,5,0)=0, "",VLOOKUP(A125,'Aux - pivots1'!$A:$E,5,0))</f>
        <v>45600</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4. Validação EF</v>
      </c>
      <c r="H127" s="136" t="s">
        <v>1931</v>
      </c>
      <c r="I127" s="143"/>
      <c r="J127" s="153">
        <f>IF(VLOOKUP(A127,'Aux - pivots1'!$A:$E,3,0)=0, "",VLOOKUP(A127,'Aux - pivots1'!$A:$E,3,0))</f>
        <v>45603</v>
      </c>
      <c r="K127" s="153">
        <f>IF(VLOOKUP(A127,'Aux - pivots1'!$A:$E,4,0)=0, "",VLOOKUP(A127,'Aux - pivots1'!$A:$E,4,0))</f>
        <v>45607</v>
      </c>
      <c r="L127" s="153">
        <f>IF(VLOOKUP(A127,'Aux - pivots1'!$A:$E,5,0)=0, "",VLOOKUP(A127,'Aux - pivots1'!$A:$E,5,0))</f>
        <v>45600</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4. Validação EF</v>
      </c>
      <c r="H129" s="136" t="s">
        <v>1931</v>
      </c>
      <c r="I129" s="143"/>
      <c r="J129" s="153">
        <f>IF(VLOOKUP(A129,'Aux - pivots1'!$A:$E,3,0)=0, "",VLOOKUP(A129,'Aux - pivots1'!$A:$E,3,0))</f>
        <v>45603</v>
      </c>
      <c r="K129" s="153">
        <f>IF(VLOOKUP(A129,'Aux - pivots1'!$A:$E,4,0)=0, "",VLOOKUP(A129,'Aux - pivots1'!$A:$E,4,0))</f>
        <v>45607</v>
      </c>
      <c r="L129" s="153">
        <f>IF(VLOOKUP(A129,'Aux - pivots1'!$A:$E,5,0)=0, "",VLOOKUP(A129,'Aux - pivots1'!$A:$E,5,0))</f>
        <v>45600</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4. Validação EF</v>
      </c>
      <c r="H141" s="136" t="s">
        <v>1931</v>
      </c>
      <c r="I141" s="143"/>
      <c r="J141" s="153">
        <f>IF(VLOOKUP(A141,'Aux - pivots1'!$A:$E,3,0)=0, "",VLOOKUP(A141,'Aux - pivots1'!$A:$E,3,0))</f>
        <v>45603</v>
      </c>
      <c r="K141" s="153">
        <f>IF(VLOOKUP(A141,'Aux - pivots1'!$A:$E,4,0)=0, "",VLOOKUP(A141,'Aux - pivots1'!$A:$E,4,0))</f>
        <v>45607</v>
      </c>
      <c r="L141" s="153">
        <f>IF(VLOOKUP(A141,'Aux - pivots1'!$A:$E,5,0)=0, "",VLOOKUP(A141,'Aux - pivots1'!$A:$E,5,0))</f>
        <v>45600</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4. Validação EF</v>
      </c>
      <c r="H150" s="136" t="s">
        <v>1931</v>
      </c>
      <c r="I150" s="143"/>
      <c r="J150" s="153">
        <f>IF(VLOOKUP(A150,'Aux - pivots1'!$A:$E,3,0)=0, "",VLOOKUP(A150,'Aux - pivots1'!$A:$E,3,0))</f>
        <v>45603</v>
      </c>
      <c r="K150" s="153">
        <f>IF(VLOOKUP(A150,'Aux - pivots1'!$A:$E,4,0)=0, "",VLOOKUP(A150,'Aux - pivots1'!$A:$E,4,0))</f>
        <v>45607</v>
      </c>
      <c r="L150" s="153">
        <f>IF(VLOOKUP(A150,'Aux - pivots1'!$A:$E,5,0)=0, "",VLOOKUP(A150,'Aux - pivots1'!$A:$E,5,0))</f>
        <v>45600</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4. Validação EF</v>
      </c>
      <c r="H155" s="136" t="s">
        <v>1931</v>
      </c>
      <c r="I155" s="143"/>
      <c r="J155" s="153">
        <f>IF(VLOOKUP(A155,'Aux - pivots1'!$A:$E,3,0)=0, "",VLOOKUP(A155,'Aux - pivots1'!$A:$E,3,0))</f>
        <v>45603</v>
      </c>
      <c r="K155" s="153">
        <f>IF(VLOOKUP(A155,'Aux - pivots1'!$A:$E,4,0)=0, "",VLOOKUP(A155,'Aux - pivots1'!$A:$E,4,0))</f>
        <v>45607</v>
      </c>
      <c r="L155" s="153">
        <f>IF(VLOOKUP(A155,'Aux - pivots1'!$A:$E,5,0)=0, "",VLOOKUP(A155,'Aux - pivots1'!$A:$E,5,0))</f>
        <v>45600</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4. Validação EF</v>
      </c>
      <c r="H159" s="136" t="s">
        <v>1931</v>
      </c>
      <c r="I159" s="143"/>
      <c r="J159" s="153">
        <f>IF(VLOOKUP(A159,'Aux - pivots1'!$A:$E,3,0)=0, "",VLOOKUP(A159,'Aux - pivots1'!$A:$E,3,0))</f>
        <v>45603</v>
      </c>
      <c r="K159" s="153">
        <f>IF(VLOOKUP(A159,'Aux - pivots1'!$A:$E,4,0)=0, "",VLOOKUP(A159,'Aux - pivots1'!$A:$E,4,0))</f>
        <v>45607</v>
      </c>
      <c r="L159" s="153">
        <f>IF(VLOOKUP(A159,'Aux - pivots1'!$A:$E,5,0)=0, "",VLOOKUP(A159,'Aux - pivots1'!$A:$E,5,0))</f>
        <v>45600</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4. Validação EF</v>
      </c>
      <c r="H174" s="136" t="s">
        <v>1931</v>
      </c>
      <c r="I174" s="143"/>
      <c r="J174" s="153">
        <f>IF(VLOOKUP(A174,'Aux - pivots1'!$A:$E,3,0)=0, "",VLOOKUP(A174,'Aux - pivots1'!$A:$E,3,0))</f>
        <v>45603</v>
      </c>
      <c r="K174" s="153">
        <f>IF(VLOOKUP(A174,'Aux - pivots1'!$A:$E,4,0)=0, "",VLOOKUP(A174,'Aux - pivots1'!$A:$E,4,0))</f>
        <v>45607</v>
      </c>
      <c r="L174" s="153">
        <f>IF(VLOOKUP(A174,'Aux - pivots1'!$A:$E,5,0)=0, "",VLOOKUP(A174,'Aux - pivots1'!$A:$E,5,0))</f>
        <v>45600</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4. Validação EF</v>
      </c>
      <c r="H175" s="136" t="s">
        <v>1931</v>
      </c>
      <c r="I175" s="143"/>
      <c r="J175" s="153">
        <f>IF(VLOOKUP(A175,'Aux - pivots1'!$A:$E,3,0)=0, "",VLOOKUP(A175,'Aux - pivots1'!$A:$E,3,0))</f>
        <v>45603</v>
      </c>
      <c r="K175" s="153">
        <f>IF(VLOOKUP(A175,'Aux - pivots1'!$A:$E,4,0)=0, "",VLOOKUP(A175,'Aux - pivots1'!$A:$E,4,0))</f>
        <v>45607</v>
      </c>
      <c r="L175" s="153">
        <f>IF(VLOOKUP(A175,'Aux - pivots1'!$A:$E,5,0)=0, "",VLOOKUP(A175,'Aux - pivots1'!$A:$E,5,0))</f>
        <v>45600</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4. Validação EF</v>
      </c>
      <c r="H176" s="136" t="s">
        <v>1931</v>
      </c>
      <c r="I176" s="143"/>
      <c r="J176" s="153">
        <f>IF(VLOOKUP(A176,'Aux - pivots1'!$A:$E,3,0)=0, "",VLOOKUP(A176,'Aux - pivots1'!$A:$E,3,0))</f>
        <v>45603</v>
      </c>
      <c r="K176" s="153">
        <f>IF(VLOOKUP(A176,'Aux - pivots1'!$A:$E,4,0)=0, "",VLOOKUP(A176,'Aux - pivots1'!$A:$E,4,0))</f>
        <v>45607</v>
      </c>
      <c r="L176" s="153">
        <f>IF(VLOOKUP(A176,'Aux - pivots1'!$A:$E,5,0)=0, "",VLOOKUP(A176,'Aux - pivots1'!$A:$E,5,0))</f>
        <v>45600</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4. Validação EF</v>
      </c>
      <c r="H177" s="136" t="s">
        <v>1931</v>
      </c>
      <c r="I177" s="143"/>
      <c r="J177" s="153">
        <f>IF(VLOOKUP(A177,'Aux - pivots1'!$A:$E,3,0)=0, "",VLOOKUP(A177,'Aux - pivots1'!$A:$E,3,0))</f>
        <v>45603</v>
      </c>
      <c r="K177" s="153">
        <f>IF(VLOOKUP(A177,'Aux - pivots1'!$A:$E,4,0)=0, "",VLOOKUP(A177,'Aux - pivots1'!$A:$E,4,0))</f>
        <v>45607</v>
      </c>
      <c r="L177" s="153">
        <f>IF(VLOOKUP(A177,'Aux - pivots1'!$A:$E,5,0)=0, "",VLOOKUP(A177,'Aux - pivots1'!$A:$E,5,0))</f>
        <v>45600</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4. Validação EF</v>
      </c>
      <c r="H178" s="136" t="s">
        <v>1931</v>
      </c>
      <c r="I178" s="143"/>
      <c r="J178" s="153">
        <f>IF(VLOOKUP(A178,'Aux - pivots1'!$A:$E,3,0)=0, "",VLOOKUP(A178,'Aux - pivots1'!$A:$E,3,0))</f>
        <v>45603</v>
      </c>
      <c r="K178" s="153">
        <f>IF(VLOOKUP(A178,'Aux - pivots1'!$A:$E,4,0)=0, "",VLOOKUP(A178,'Aux - pivots1'!$A:$E,4,0))</f>
        <v>45607</v>
      </c>
      <c r="L178" s="153">
        <f>IF(VLOOKUP(A178,'Aux - pivots1'!$A:$E,5,0)=0, "",VLOOKUP(A178,'Aux - pivots1'!$A:$E,5,0))</f>
        <v>45600</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4. Validação EF</v>
      </c>
      <c r="H179" s="136" t="s">
        <v>1931</v>
      </c>
      <c r="I179" s="143"/>
      <c r="J179" s="153">
        <f>IF(VLOOKUP(A179,'Aux - pivots1'!$A:$E,3,0)=0, "",VLOOKUP(A179,'Aux - pivots1'!$A:$E,3,0))</f>
        <v>45603</v>
      </c>
      <c r="K179" s="153">
        <f>IF(VLOOKUP(A179,'Aux - pivots1'!$A:$E,4,0)=0, "",VLOOKUP(A179,'Aux - pivots1'!$A:$E,4,0))</f>
        <v>45607</v>
      </c>
      <c r="L179" s="153">
        <f>IF(VLOOKUP(A179,'Aux - pivots1'!$A:$E,5,0)=0, "",VLOOKUP(A179,'Aux - pivots1'!$A:$E,5,0))</f>
        <v>45600</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4. Validação EF</v>
      </c>
      <c r="H180" s="136" t="s">
        <v>1931</v>
      </c>
      <c r="I180" s="143"/>
      <c r="J180" s="153">
        <f>IF(VLOOKUP(A180,'Aux - pivots1'!$A:$E,3,0)=0, "",VLOOKUP(A180,'Aux - pivots1'!$A:$E,3,0))</f>
        <v>45603</v>
      </c>
      <c r="K180" s="153">
        <f>IF(VLOOKUP(A180,'Aux - pivots1'!$A:$E,4,0)=0, "",VLOOKUP(A180,'Aux - pivots1'!$A:$E,4,0))</f>
        <v>45607</v>
      </c>
      <c r="L180" s="153">
        <f>IF(VLOOKUP(A180,'Aux - pivots1'!$A:$E,5,0)=0, "",VLOOKUP(A180,'Aux - pivots1'!$A:$E,5,0))</f>
        <v>45600</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2.1 Em Teste</v>
      </c>
      <c r="H182" s="136" t="s">
        <v>619</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2.1 Em Teste</v>
      </c>
      <c r="H191" s="136" t="s">
        <v>619</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2.1 Em Teste</v>
      </c>
      <c r="H192" s="136" t="s">
        <v>619</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2.1 Em Teste</v>
      </c>
      <c r="H193" s="136" t="s">
        <v>619</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2.1 Em Teste</v>
      </c>
      <c r="H194" s="136" t="s">
        <v>617</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2.1 Em Teste</v>
      </c>
      <c r="H195" s="136" t="s">
        <v>617</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2.1 Em Teste</v>
      </c>
      <c r="H199" s="136" t="s">
        <v>619</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2.1 Em Teste</v>
      </c>
      <c r="H200" s="136" t="s">
        <v>619</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2.1 Em Teste</v>
      </c>
      <c r="H201" s="136" t="s">
        <v>619</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2.1 Em Teste</v>
      </c>
      <c r="H202" s="136" t="s">
        <v>619</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2.1 Em Teste</v>
      </c>
      <c r="H203" s="136" t="s">
        <v>619</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2.1 Em Teste</v>
      </c>
      <c r="H204" s="136" t="s">
        <v>619</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2.1 Em Teste</v>
      </c>
      <c r="H205" s="136" t="s">
        <v>619</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2.1 Em Teste</v>
      </c>
      <c r="H206" s="136" t="s">
        <v>619</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2.1 Em Teste</v>
      </c>
      <c r="H207" s="136" t="s">
        <v>619</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2.1 Em Teste</v>
      </c>
      <c r="H209" s="136" t="s">
        <v>619</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2.1 Em Teste</v>
      </c>
      <c r="H210" s="136" t="s">
        <v>619</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2.1 Em Teste</v>
      </c>
      <c r="H356" s="136" t="s">
        <v>619</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2.1 Em Teste</v>
      </c>
      <c r="H357" s="136" t="s">
        <v>619</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619</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2.1 Em Teste</v>
      </c>
      <c r="H360" s="136" t="s">
        <v>619</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2.1 Em Teste</v>
      </c>
      <c r="H361" s="136" t="s">
        <v>619</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2.1 Em Teste</v>
      </c>
      <c r="H363" s="136" t="s">
        <v>619</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2.1 Em Teste</v>
      </c>
      <c r="H364" s="136" t="s">
        <v>619</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619</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619</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615</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619</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619</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619</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619</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619</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619</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619</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hidden="1" customHeight="1">
      <c r="A463" s="30" t="str">
        <f t="shared" si="9"/>
        <v>lt004_protectionep_scr</v>
      </c>
      <c r="B463" s="142" t="s">
        <v>26</v>
      </c>
      <c r="C463" s="138" t="s">
        <v>26</v>
      </c>
      <c r="D463" s="134" t="s">
        <v>40</v>
      </c>
      <c r="E463" s="137" t="s">
        <v>369</v>
      </c>
      <c r="F463" s="137" t="s">
        <v>371</v>
      </c>
      <c r="G463" s="136" t="str">
        <f>VLOOKUP(A463,Plano_V3!$A$26:$G$592,7,0)</f>
        <v>2.1 Em Teste</v>
      </c>
      <c r="H463" s="136" t="s">
        <v>619</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137" t="s">
        <v>372</v>
      </c>
      <c r="G464" s="136" t="str">
        <f>VLOOKUP(A464,Plano_V3!$A$26:$G$592,7,0)</f>
        <v>2.1 Em Teste</v>
      </c>
      <c r="H464" s="136" t="s">
        <v>619</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137" t="s">
        <v>373</v>
      </c>
      <c r="G465" s="136" t="str">
        <f>VLOOKUP(A465,Plano_V3!$A$26:$G$592,7,0)</f>
        <v>2.1 Em Teste</v>
      </c>
      <c r="H465" s="136" t="s">
        <v>619</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hidden="1"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hidden="1"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hidden="1"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hidden="1"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hidden="1"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619</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619</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1965</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1965</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hidden="1" customHeight="1">
      <c r="A483" s="30" t="str">
        <f t="shared" si="10"/>
        <v>lt827_mthd_usd_instrmntambito</v>
      </c>
      <c r="B483" s="142" t="s">
        <v>26</v>
      </c>
      <c r="C483" s="138" t="s">
        <v>26</v>
      </c>
      <c r="D483" s="134" t="s">
        <v>40</v>
      </c>
      <c r="E483" s="137" t="s">
        <v>1966</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hidden="1" customHeight="1">
      <c r="A484" s="30" t="str">
        <f t="shared" si="10"/>
        <v>lt827_mthd_usd_instrmntref_date</v>
      </c>
      <c r="B484" s="142" t="s">
        <v>26</v>
      </c>
      <c r="C484" s="138" t="s">
        <v>26</v>
      </c>
      <c r="D484" s="134" t="s">
        <v>40</v>
      </c>
      <c r="E484" s="137" t="s">
        <v>1966</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hidden="1" customHeight="1">
      <c r="A485" s="30" t="str">
        <f t="shared" si="10"/>
        <v>lt827_mthd_usd_instrmntordem</v>
      </c>
      <c r="B485" s="142" t="s">
        <v>26</v>
      </c>
      <c r="C485" s="138" t="s">
        <v>26</v>
      </c>
      <c r="D485" s="134" t="s">
        <v>40</v>
      </c>
      <c r="E485" s="137" t="s">
        <v>1966</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hidden="1" customHeight="1">
      <c r="A486" s="30" t="str">
        <f t="shared" si="10"/>
        <v>lt827_mthd_usd_instrmnttabela</v>
      </c>
      <c r="B486" s="142" t="s">
        <v>26</v>
      </c>
      <c r="C486" s="138" t="s">
        <v>26</v>
      </c>
      <c r="D486" s="134" t="s">
        <v>40</v>
      </c>
      <c r="E486" s="137" t="s">
        <v>1966</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hidden="1">
      <c r="A487" s="30" t="str">
        <f t="shared" si="10"/>
        <v>lt827_mthd_usd_instrmntorigem_scp1_emss</v>
      </c>
      <c r="B487" s="142" t="s">
        <v>26</v>
      </c>
      <c r="C487" s="138" t="s">
        <v>26</v>
      </c>
      <c r="D487" s="134" t="s">
        <v>40</v>
      </c>
      <c r="E487" s="137" t="s">
        <v>1966</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hidden="1">
      <c r="A488" s="30" t="str">
        <f t="shared" si="10"/>
        <v>lt827_mthd_usd_instrmntorigem_scp2_emss</v>
      </c>
      <c r="B488" s="142" t="s">
        <v>26</v>
      </c>
      <c r="C488" s="138" t="s">
        <v>26</v>
      </c>
      <c r="D488" s="134" t="s">
        <v>40</v>
      </c>
      <c r="E488" s="137" t="s">
        <v>1966</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hidden="1">
      <c r="A489" s="30" t="str">
        <f t="shared" si="10"/>
        <v>lt827_mthd_usd_instrmntorigem_scp3_emss</v>
      </c>
      <c r="B489" s="142" t="s">
        <v>26</v>
      </c>
      <c r="C489" s="138" t="s">
        <v>26</v>
      </c>
      <c r="D489" s="134" t="s">
        <v>40</v>
      </c>
      <c r="E489" s="137" t="s">
        <v>1966</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hidden="1">
      <c r="A490" s="30" t="str">
        <f t="shared" si="10"/>
        <v>lt827_mthd_usd_instrmntmthd_usd_instrmnt_scp_1</v>
      </c>
      <c r="B490" s="142" t="s">
        <v>26</v>
      </c>
      <c r="C490" s="138" t="s">
        <v>26</v>
      </c>
      <c r="D490" s="134" t="s">
        <v>40</v>
      </c>
      <c r="E490" s="137" t="s">
        <v>1966</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hidden="1">
      <c r="A491" s="30" t="str">
        <f t="shared" si="10"/>
        <v>lt827_mthd_usd_instrmntmthd_usd_instrmnt_scp_2</v>
      </c>
      <c r="B491" s="142" t="s">
        <v>26</v>
      </c>
      <c r="C491" s="138" t="s">
        <v>26</v>
      </c>
      <c r="D491" s="134" t="s">
        <v>40</v>
      </c>
      <c r="E491" s="137" t="s">
        <v>1966</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hidden="1">
      <c r="A492" s="30" t="str">
        <f t="shared" si="10"/>
        <v>lt827_mthd_usd_instrmntmthd_usd_instrmnt_scp_3</v>
      </c>
      <c r="B492" s="142" t="s">
        <v>26</v>
      </c>
      <c r="C492" s="138" t="s">
        <v>26</v>
      </c>
      <c r="D492" s="134" t="s">
        <v>40</v>
      </c>
      <c r="E492" s="137" t="s">
        <v>1966</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hidden="1">
      <c r="A493" s="30" t="str">
        <f t="shared" si="10"/>
        <v>lt827_mthd_usd_instrmntpurpose_code</v>
      </c>
      <c r="B493" s="142" t="s">
        <v>26</v>
      </c>
      <c r="C493" s="138" t="s">
        <v>26</v>
      </c>
      <c r="D493" s="134" t="s">
        <v>40</v>
      </c>
      <c r="E493" s="137" t="s">
        <v>1966</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hidden="1">
      <c r="A494" s="30" t="str">
        <f t="shared" si="10"/>
        <v>lt827_mthd_usd_instrmntflg_fin</v>
      </c>
      <c r="B494" s="142" t="s">
        <v>26</v>
      </c>
      <c r="C494" s="138" t="s">
        <v>26</v>
      </c>
      <c r="D494" s="134" t="s">
        <v>40</v>
      </c>
      <c r="E494" s="137" t="s">
        <v>1966</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hidden="1">
      <c r="A495" s="30" t="str">
        <f t="shared" si="10"/>
        <v>lt827_mthd_usd_instrmntflg_exec</v>
      </c>
      <c r="B495" s="142" t="s">
        <v>26</v>
      </c>
      <c r="C495" s="138" t="s">
        <v>26</v>
      </c>
      <c r="D495" s="134" t="s">
        <v>40</v>
      </c>
      <c r="E495" s="137" t="s">
        <v>1966</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hidden="1">
      <c r="A496" s="30" t="str">
        <f t="shared" si="10"/>
        <v>lt827_mthd_usd_instrmntflg_col</v>
      </c>
      <c r="B496" s="142" t="s">
        <v>26</v>
      </c>
      <c r="C496" s="138" t="s">
        <v>26</v>
      </c>
      <c r="D496" s="134" t="s">
        <v>40</v>
      </c>
      <c r="E496" s="137" t="s">
        <v>1966</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hidden="1">
      <c r="A497" s="30" t="str">
        <f t="shared" si="10"/>
        <v>lt827_mthd_usd_instrmntflg_pro</v>
      </c>
      <c r="B497" s="142" t="s">
        <v>26</v>
      </c>
      <c r="C497" s="138" t="s">
        <v>26</v>
      </c>
      <c r="D497" s="134" t="s">
        <v>40</v>
      </c>
      <c r="E497" s="137" t="s">
        <v>1966</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1965</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1965</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hidden="1"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hidden="1"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hidden="1">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616</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hidden="1">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1336.2443750000007</v>
      </c>
      <c r="L24" s="186">
        <f>L25+L40+L204+L371+L456</f>
        <v>169</v>
      </c>
      <c r="M24" s="181">
        <f>((M25*J25)+(M40*J40)+(M204*J204)+(M371*J371)+(M456*J456))/J24</f>
        <v>0.57885304659498205</v>
      </c>
      <c r="N24" s="181">
        <f>((N25*L25)+(N40*L40)+(N204*L204)+(N371*L371)+(N456*L456))/L24</f>
        <v>0.6874971516777536</v>
      </c>
      <c r="O24" s="181">
        <f t="shared" ref="O24:O87" si="15">N24-M24</f>
        <v>0.10864410508277156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4. Validação EF</v>
      </c>
      <c r="H135" s="65">
        <f>VLOOKUP(A135,'Aux - pivots1'!$A:$B,2,0)</f>
        <v>5</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4. Validação EF</v>
      </c>
      <c r="H136" s="65">
        <f>VLOOKUP(A136,'Aux - pivots1'!$A:$B,2,0)</f>
        <v>5</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4. Validação EF</v>
      </c>
      <c r="H137" s="65">
        <f>VLOOKUP(A137,'Aux - pivots1'!$A:$B,2,0)</f>
        <v>5</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4. Validação EF</v>
      </c>
      <c r="H138" s="65">
        <f>VLOOKUP(A138,'Aux - pivots1'!$A:$B,2,0)</f>
        <v>5</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4. Validação EF</v>
      </c>
      <c r="H139" s="65">
        <f>VLOOKUP(A139,'Aux - pivots1'!$A:$B,2,0)</f>
        <v>5</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4. Validação EF</v>
      </c>
      <c r="H140" s="65">
        <f>VLOOKUP(A140,'Aux - pivots1'!$A:$B,2,0)</f>
        <v>5</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4. Validação EF</v>
      </c>
      <c r="H143" s="65">
        <f>VLOOKUP(A143,'Aux - pivots1'!$A:$B,2,0)</f>
        <v>5</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4. Validação EF</v>
      </c>
      <c r="H145" s="65">
        <f>VLOOKUP(A145,'Aux - pivots1'!$A:$B,2,0)</f>
        <v>5</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4. Validação EF</v>
      </c>
      <c r="H146" s="65">
        <f>VLOOKUP(A146,'Aux - pivots1'!$A:$B,2,0)</f>
        <v>5</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4. Validação EF</v>
      </c>
      <c r="H148" s="65">
        <f>VLOOKUP(A148,'Aux - pivots1'!$A:$B,2,0)</f>
        <v>5</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4. Validação EF</v>
      </c>
      <c r="H150" s="65">
        <f>VLOOKUP(A150,'Aux - pivots1'!$A:$B,2,0)</f>
        <v>5</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4. Validação EF</v>
      </c>
      <c r="H162" s="65">
        <f>VLOOKUP(A162,'Aux - pivots1'!$A:$B,2,0)</f>
        <v>5</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4. Validação EF</v>
      </c>
      <c r="H171" s="65">
        <f>VLOOKUP(A171,'Aux - pivots1'!$A:$B,2,0)</f>
        <v>5</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4. Validação EF</v>
      </c>
      <c r="H176" s="65">
        <f>VLOOKUP(A176,'Aux - pivots1'!$A:$B,2,0)</f>
        <v>5</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4. Validação EF</v>
      </c>
      <c r="H180" s="65">
        <f>VLOOKUP(A180,'Aux - pivots1'!$A:$B,2,0)</f>
        <v>5</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4. Validação EF</v>
      </c>
      <c r="H195" s="65">
        <f>VLOOKUP(A195,'Aux - pivots1'!$A:$B,2,0)</f>
        <v>5</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4. Validação EF</v>
      </c>
      <c r="H196" s="65">
        <f>VLOOKUP(A196,'Aux - pivots1'!$A:$B,2,0)</f>
        <v>5</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4. Validação EF</v>
      </c>
      <c r="H197" s="65">
        <f>VLOOKUP(A197,'Aux - pivots1'!$A:$B,2,0)</f>
        <v>5</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4. Validação EF</v>
      </c>
      <c r="H198" s="65">
        <f>VLOOKUP(A198,'Aux - pivots1'!$A:$B,2,0)</f>
        <v>5</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4. Validação EF</v>
      </c>
      <c r="H199" s="65">
        <f>VLOOKUP(A199,'Aux - pivots1'!$A:$B,2,0)</f>
        <v>5</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4. Validação EF</v>
      </c>
      <c r="H200" s="65">
        <f>VLOOKUP(A200,'Aux - pivots1'!$A:$B,2,0)</f>
        <v>5</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4. Validação EF</v>
      </c>
      <c r="H201" s="65">
        <f>VLOOKUP(A201,'Aux - pivots1'!$A:$B,2,0)</f>
        <v>5</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154.34999999999957</v>
      </c>
      <c r="L204" s="189">
        <f>ROUNDUP(K204/8,0)</f>
        <v>20</v>
      </c>
      <c r="M204" s="188">
        <f>SUMIFS(R204:ES204,$R$9:$ES$9,"S")/J204</f>
        <v>1</v>
      </c>
      <c r="N204" s="188">
        <f>IFERROR(L204/J204,0)</f>
        <v>0.86956521739130432</v>
      </c>
      <c r="O204" s="188">
        <f t="shared" si="31"/>
        <v>-0.13043478260869568</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2.1 Em Teste</v>
      </c>
      <c r="H205" s="65">
        <f>VLOOKUP(A205,'Aux - pivots1'!$A:$B,2,0)</f>
        <v>2</v>
      </c>
      <c r="I205" s="190">
        <f>SUMIFS(Table1[Estimação (horas)],Table1[Tabela],Plano_V3!E205,Table1[Campo],Plano_V3!F205)</f>
        <v>8.5</v>
      </c>
      <c r="J205" s="190">
        <f t="shared" ref="J205:J270" si="42">I205/8</f>
        <v>1.0625</v>
      </c>
      <c r="K205" s="190">
        <f>SUMIFS(Table1[Horas efetivas],Table1[Tabela],Plano_V3!E205,Table1[Campo],Plano_V3!F205)</f>
        <v>4.25</v>
      </c>
      <c r="L205" s="190">
        <f>K205/8</f>
        <v>0.53125</v>
      </c>
      <c r="M205" s="184"/>
      <c r="N205" s="184">
        <f>L205/J205</f>
        <v>0.5</v>
      </c>
      <c r="O205" s="184">
        <f t="shared" si="31"/>
        <v>0.5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2.1 Em Teste</v>
      </c>
      <c r="H214" s="65">
        <f>VLOOKUP(A214,'Aux - pivots1'!$A:$B,2,0)</f>
        <v>2</v>
      </c>
      <c r="I214" s="190">
        <f>SUMIFS(Table1[Estimação (horas)],Table1[Tabela],Plano_V3!E214,Table1[Campo],Plano_V3!F214)</f>
        <v>0.6</v>
      </c>
      <c r="J214" s="190">
        <f t="shared" si="42"/>
        <v>7.4999999999999997E-2</v>
      </c>
      <c r="K214" s="190">
        <f>SUMIFS(Table1[Horas efetivas],Table1[Tabela],Plano_V3!E214,Table1[Campo],Plano_V3!F214)</f>
        <v>0.3</v>
      </c>
      <c r="L214" s="190">
        <f t="shared" si="43"/>
        <v>3.7499999999999999E-2</v>
      </c>
      <c r="M214" s="184"/>
      <c r="N214" s="184">
        <f t="shared" si="44"/>
        <v>0.5</v>
      </c>
      <c r="O214" s="184">
        <f t="shared" si="31"/>
        <v>0.5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2.1 Em Teste</v>
      </c>
      <c r="H215" s="65">
        <f>VLOOKUP(A215,'Aux - pivots1'!$A:$B,2,0)</f>
        <v>2</v>
      </c>
      <c r="I215" s="190">
        <f>SUMIFS(Table1[Estimação (horas)],Table1[Tabela],Plano_V3!E215,Table1[Campo],Plano_V3!F215)</f>
        <v>0.6</v>
      </c>
      <c r="J215" s="190">
        <f t="shared" si="42"/>
        <v>7.4999999999999997E-2</v>
      </c>
      <c r="K215" s="190">
        <f>SUMIFS(Table1[Horas efetivas],Table1[Tabela],Plano_V3!E215,Table1[Campo],Plano_V3!F215)</f>
        <v>0.3</v>
      </c>
      <c r="L215" s="190">
        <f t="shared" si="43"/>
        <v>3.7499999999999999E-2</v>
      </c>
      <c r="M215" s="184"/>
      <c r="N215" s="184">
        <f t="shared" si="44"/>
        <v>0.5</v>
      </c>
      <c r="O215" s="184">
        <f t="shared" si="31"/>
        <v>0.5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2.1 Em Teste</v>
      </c>
      <c r="H216" s="65">
        <f>VLOOKUP(A216,'Aux - pivots1'!$A:$B,2,0)</f>
        <v>2</v>
      </c>
      <c r="I216" s="190">
        <f>SUMIFS(Table1[Estimação (horas)],Table1[Tabela],Plano_V3!E216,Table1[Campo],Plano_V3!F216)</f>
        <v>0.6</v>
      </c>
      <c r="J216" s="190">
        <f t="shared" si="42"/>
        <v>7.4999999999999997E-2</v>
      </c>
      <c r="K216" s="190">
        <f>SUMIFS(Table1[Horas efetivas],Table1[Tabela],Plano_V3!E216,Table1[Campo],Plano_V3!F216)</f>
        <v>0.3</v>
      </c>
      <c r="L216" s="190">
        <f t="shared" si="43"/>
        <v>3.7499999999999999E-2</v>
      </c>
      <c r="M216" s="184"/>
      <c r="N216" s="184">
        <f t="shared" si="44"/>
        <v>0.5</v>
      </c>
      <c r="O216" s="184">
        <f t="shared" si="31"/>
        <v>0.5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2.1 Em Teste</v>
      </c>
      <c r="H217" s="65">
        <f>VLOOKUP(A217,'Aux - pivots1'!$A:$B,2,0)</f>
        <v>2</v>
      </c>
      <c r="I217" s="190">
        <f>SUMIFS(Table1[Estimação (horas)],Table1[Tabela],Plano_V3!E217,Table1[Campo],Plano_V3!F217)</f>
        <v>0.6</v>
      </c>
      <c r="J217" s="190">
        <f t="shared" si="42"/>
        <v>7.4999999999999997E-2</v>
      </c>
      <c r="K217" s="190">
        <f>SUMIFS(Table1[Horas efetivas],Table1[Tabela],Plano_V3!E217,Table1[Campo],Plano_V3!F217)</f>
        <v>0.3</v>
      </c>
      <c r="L217" s="190">
        <f t="shared" si="43"/>
        <v>3.7499999999999999E-2</v>
      </c>
      <c r="M217" s="184"/>
      <c r="N217" s="184">
        <f t="shared" si="44"/>
        <v>0.5</v>
      </c>
      <c r="O217" s="184">
        <f t="shared" ref="O217:O280" si="45">N217-M217</f>
        <v>0.5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2.1 Em Teste</v>
      </c>
      <c r="H218" s="65">
        <f>VLOOKUP(A218,'Aux - pivots1'!$A:$B,2,0)</f>
        <v>2</v>
      </c>
      <c r="I218" s="190">
        <f>SUMIFS(Table1[Estimação (horas)],Table1[Tabela],Plano_V3!E218,Table1[Campo],Plano_V3!F218)</f>
        <v>0.6</v>
      </c>
      <c r="J218" s="190">
        <f t="shared" si="42"/>
        <v>7.4999999999999997E-2</v>
      </c>
      <c r="K218" s="190">
        <f>SUMIFS(Table1[Horas efetivas],Table1[Tabela],Plano_V3!E218,Table1[Campo],Plano_V3!F218)</f>
        <v>0.3</v>
      </c>
      <c r="L218" s="190">
        <f t="shared" si="43"/>
        <v>3.7499999999999999E-2</v>
      </c>
      <c r="M218" s="184"/>
      <c r="N218" s="184">
        <f t="shared" si="44"/>
        <v>0.5</v>
      </c>
      <c r="O218" s="184">
        <f t="shared" si="45"/>
        <v>0.5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2.1 Em Teste</v>
      </c>
      <c r="H222" s="65">
        <f>VLOOKUP(A222,'Aux - pivots1'!$A:$B,2,0)</f>
        <v>2</v>
      </c>
      <c r="I222" s="190">
        <f>SUMIFS(Table1[Estimação (horas)],Table1[Tabela],Plano_V3!E222,Table1[Campo],Plano_V3!F222)</f>
        <v>0.6</v>
      </c>
      <c r="J222" s="190">
        <f t="shared" si="42"/>
        <v>7.4999999999999997E-2</v>
      </c>
      <c r="K222" s="190">
        <f>SUMIFS(Table1[Horas efetivas],Table1[Tabela],Plano_V3!E222,Table1[Campo],Plano_V3!F222)</f>
        <v>0.3</v>
      </c>
      <c r="L222" s="190">
        <f t="shared" si="43"/>
        <v>3.7499999999999999E-2</v>
      </c>
      <c r="M222" s="184"/>
      <c r="N222" s="184">
        <f t="shared" si="44"/>
        <v>0.5</v>
      </c>
      <c r="O222" s="184">
        <f t="shared" si="45"/>
        <v>0.5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2.1 Em Teste</v>
      </c>
      <c r="H223" s="65">
        <f>VLOOKUP(A223,'Aux - pivots1'!$A:$B,2,0)</f>
        <v>2</v>
      </c>
      <c r="I223" s="190">
        <f>SUMIFS(Table1[Estimação (horas)],Table1[Tabela],Plano_V3!E223,Table1[Campo],Plano_V3!F223)</f>
        <v>0.6</v>
      </c>
      <c r="J223" s="190">
        <f t="shared" si="42"/>
        <v>7.4999999999999997E-2</v>
      </c>
      <c r="K223" s="190">
        <f>SUMIFS(Table1[Horas efetivas],Table1[Tabela],Plano_V3!E223,Table1[Campo],Plano_V3!F223)</f>
        <v>0.3</v>
      </c>
      <c r="L223" s="190">
        <f t="shared" si="43"/>
        <v>3.7499999999999999E-2</v>
      </c>
      <c r="M223" s="184"/>
      <c r="N223" s="184">
        <f t="shared" si="44"/>
        <v>0.5</v>
      </c>
      <c r="O223" s="184">
        <f t="shared" si="45"/>
        <v>0.5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2.1 Em Teste</v>
      </c>
      <c r="H224" s="65">
        <f>VLOOKUP(A224,'Aux - pivots1'!$A:$B,2,0)</f>
        <v>2</v>
      </c>
      <c r="I224" s="190">
        <f>SUMIFS(Table1[Estimação (horas)],Table1[Tabela],Plano_V3!E224,Table1[Campo],Plano_V3!F224)</f>
        <v>0.6</v>
      </c>
      <c r="J224" s="190">
        <f t="shared" si="42"/>
        <v>7.4999999999999997E-2</v>
      </c>
      <c r="K224" s="190">
        <f>SUMIFS(Table1[Horas efetivas],Table1[Tabela],Plano_V3!E224,Table1[Campo],Plano_V3!F224)</f>
        <v>0.3</v>
      </c>
      <c r="L224" s="190">
        <f t="shared" si="43"/>
        <v>3.7499999999999999E-2</v>
      </c>
      <c r="M224" s="184"/>
      <c r="N224" s="184">
        <f t="shared" si="44"/>
        <v>0.5</v>
      </c>
      <c r="O224" s="184">
        <f t="shared" si="45"/>
        <v>0.5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2.1 Em Teste</v>
      </c>
      <c r="H225" s="65">
        <f>VLOOKUP(A225,'Aux - pivots1'!$A:$B,2,0)</f>
        <v>2</v>
      </c>
      <c r="I225" s="190">
        <f>SUMIFS(Table1[Estimação (horas)],Table1[Tabela],Plano_V3!E225,Table1[Campo],Plano_V3!F225)</f>
        <v>0.6</v>
      </c>
      <c r="J225" s="190">
        <f t="shared" si="42"/>
        <v>7.4999999999999997E-2</v>
      </c>
      <c r="K225" s="190">
        <f>SUMIFS(Table1[Horas efetivas],Table1[Tabela],Plano_V3!E225,Table1[Campo],Plano_V3!F225)</f>
        <v>0.3</v>
      </c>
      <c r="L225" s="190">
        <f t="shared" si="43"/>
        <v>3.7499999999999999E-2</v>
      </c>
      <c r="M225" s="184"/>
      <c r="N225" s="184">
        <f t="shared" si="44"/>
        <v>0.5</v>
      </c>
      <c r="O225" s="184">
        <f t="shared" si="45"/>
        <v>0.5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2.1 Em Teste</v>
      </c>
      <c r="H226" s="65">
        <f>VLOOKUP(A226,'Aux - pivots1'!$A:$B,2,0)</f>
        <v>2</v>
      </c>
      <c r="I226" s="190">
        <f>SUMIFS(Table1[Estimação (horas)],Table1[Tabela],Plano_V3!E226,Table1[Campo],Plano_V3!F226)</f>
        <v>0.6</v>
      </c>
      <c r="J226" s="190">
        <f t="shared" si="42"/>
        <v>7.4999999999999997E-2</v>
      </c>
      <c r="K226" s="190">
        <f>SUMIFS(Table1[Horas efetivas],Table1[Tabela],Plano_V3!E226,Table1[Campo],Plano_V3!F226)</f>
        <v>0.3</v>
      </c>
      <c r="L226" s="190">
        <f t="shared" si="43"/>
        <v>3.7499999999999999E-2</v>
      </c>
      <c r="M226" s="184"/>
      <c r="N226" s="184">
        <f t="shared" si="44"/>
        <v>0.5</v>
      </c>
      <c r="O226" s="184">
        <f t="shared" si="45"/>
        <v>0.5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2.1 Em Teste</v>
      </c>
      <c r="H227" s="65">
        <f>VLOOKUP(A227,'Aux - pivots1'!$A:$B,2,0)</f>
        <v>2</v>
      </c>
      <c r="I227" s="190">
        <f>SUMIFS(Table1[Estimação (horas)],Table1[Tabela],Plano_V3!E227,Table1[Campo],Plano_V3!F227)</f>
        <v>0.6</v>
      </c>
      <c r="J227" s="190">
        <f t="shared" si="42"/>
        <v>7.4999999999999997E-2</v>
      </c>
      <c r="K227" s="190">
        <f>SUMIFS(Table1[Horas efetivas],Table1[Tabela],Plano_V3!E227,Table1[Campo],Plano_V3!F227)</f>
        <v>0.3</v>
      </c>
      <c r="L227" s="190">
        <f t="shared" si="43"/>
        <v>3.7499999999999999E-2</v>
      </c>
      <c r="M227" s="184"/>
      <c r="N227" s="184">
        <f t="shared" si="44"/>
        <v>0.5</v>
      </c>
      <c r="O227" s="184">
        <f t="shared" si="45"/>
        <v>0.5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2.1 Em Teste</v>
      </c>
      <c r="H228" s="65">
        <f>VLOOKUP(A228,'Aux - pivots1'!$A:$B,2,0)</f>
        <v>2</v>
      </c>
      <c r="I228" s="190">
        <f>SUMIFS(Table1[Estimação (horas)],Table1[Tabela],Plano_V3!E228,Table1[Campo],Plano_V3!F228)</f>
        <v>0.6</v>
      </c>
      <c r="J228" s="190">
        <f t="shared" si="42"/>
        <v>7.4999999999999997E-2</v>
      </c>
      <c r="K228" s="190">
        <f>SUMIFS(Table1[Horas efetivas],Table1[Tabela],Plano_V3!E228,Table1[Campo],Plano_V3!F228)</f>
        <v>0.3</v>
      </c>
      <c r="L228" s="190">
        <f t="shared" si="43"/>
        <v>3.7499999999999999E-2</v>
      </c>
      <c r="M228" s="184"/>
      <c r="N228" s="184">
        <f t="shared" si="44"/>
        <v>0.5</v>
      </c>
      <c r="O228" s="184">
        <f t="shared" si="45"/>
        <v>0.5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2.1 Em Teste</v>
      </c>
      <c r="H229" s="65">
        <f>VLOOKUP(A229,'Aux - pivots1'!$A:$B,2,0)</f>
        <v>2</v>
      </c>
      <c r="I229" s="190">
        <f>SUMIFS(Table1[Estimação (horas)],Table1[Tabela],Plano_V3!E229,Table1[Campo],Plano_V3!F229)</f>
        <v>0.6</v>
      </c>
      <c r="J229" s="190">
        <f t="shared" si="42"/>
        <v>7.4999999999999997E-2</v>
      </c>
      <c r="K229" s="190">
        <f>SUMIFS(Table1[Horas efetivas],Table1[Tabela],Plano_V3!E229,Table1[Campo],Plano_V3!F229)</f>
        <v>0.3</v>
      </c>
      <c r="L229" s="190">
        <f t="shared" si="43"/>
        <v>3.7499999999999999E-2</v>
      </c>
      <c r="M229" s="184"/>
      <c r="N229" s="184">
        <f t="shared" si="44"/>
        <v>0.5</v>
      </c>
      <c r="O229" s="184">
        <f t="shared" si="45"/>
        <v>0.5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2.1 Em Teste</v>
      </c>
      <c r="H230" s="65">
        <f>VLOOKUP(A230,'Aux - pivots1'!$A:$B,2,0)</f>
        <v>2</v>
      </c>
      <c r="I230" s="190">
        <f>SUMIFS(Table1[Estimação (horas)],Table1[Tabela],Plano_V3!E230,Table1[Campo],Plano_V3!F230)</f>
        <v>0.6</v>
      </c>
      <c r="J230" s="190">
        <f t="shared" si="42"/>
        <v>7.4999999999999997E-2</v>
      </c>
      <c r="K230" s="190">
        <f>SUMIFS(Table1[Horas efetivas],Table1[Tabela],Plano_V3!E230,Table1[Campo],Plano_V3!F230)</f>
        <v>0.3</v>
      </c>
      <c r="L230" s="190">
        <f t="shared" si="43"/>
        <v>3.7499999999999999E-2</v>
      </c>
      <c r="M230" s="184"/>
      <c r="N230" s="184">
        <f t="shared" si="44"/>
        <v>0.5</v>
      </c>
      <c r="O230" s="184">
        <f t="shared" si="45"/>
        <v>0.5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2.1 Em Teste</v>
      </c>
      <c r="H232" s="65">
        <f>VLOOKUP(A232,'Aux - pivots1'!$A:$B,2,0)</f>
        <v>2</v>
      </c>
      <c r="I232" s="190">
        <f>SUMIFS(Table1[Estimação (horas)],Table1[Tabela],Plano_V3!E232,Table1[Campo],Plano_V3!F232)</f>
        <v>0.6</v>
      </c>
      <c r="J232" s="190">
        <f t="shared" si="42"/>
        <v>7.4999999999999997E-2</v>
      </c>
      <c r="K232" s="190">
        <f>SUMIFS(Table1[Horas efetivas],Table1[Tabela],Plano_V3!E232,Table1[Campo],Plano_V3!F232)</f>
        <v>0.3</v>
      </c>
      <c r="L232" s="190">
        <f t="shared" si="43"/>
        <v>3.7499999999999999E-2</v>
      </c>
      <c r="M232" s="184"/>
      <c r="N232" s="184">
        <f t="shared" si="44"/>
        <v>0.5</v>
      </c>
      <c r="O232" s="184">
        <f t="shared" si="45"/>
        <v>0.5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2.1 Em Teste</v>
      </c>
      <c r="H233" s="65">
        <f>VLOOKUP(A233,'Aux - pivots1'!$A:$B,2,0)</f>
        <v>2</v>
      </c>
      <c r="I233" s="190">
        <f>SUMIFS(Table1[Estimação (horas)],Table1[Tabela],Plano_V3!E233,Table1[Campo],Plano_V3!F233)</f>
        <v>0.6</v>
      </c>
      <c r="J233" s="190">
        <f t="shared" si="42"/>
        <v>7.4999999999999997E-2</v>
      </c>
      <c r="K233" s="190">
        <f>SUMIFS(Table1[Horas efetivas],Table1[Tabela],Plano_V3!E233,Table1[Campo],Plano_V3!F233)</f>
        <v>0.3</v>
      </c>
      <c r="L233" s="190">
        <f t="shared" si="43"/>
        <v>3.7499999999999999E-2</v>
      </c>
      <c r="M233" s="184"/>
      <c r="N233" s="184">
        <f t="shared" si="44"/>
        <v>0.5</v>
      </c>
      <c r="O233" s="184">
        <f t="shared" si="45"/>
        <v>0.5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286.34062500000022</v>
      </c>
      <c r="L371" s="189">
        <f>ROUNDUP(K371/8,0)</f>
        <v>36</v>
      </c>
      <c r="M371" s="188">
        <f>SUMIFS(R371:ES371,$R$9:$ES$9,"S")/J371</f>
        <v>0.32500000000000001</v>
      </c>
      <c r="N371" s="188">
        <f>IFERROR(L371/J371,0)-15%</f>
        <v>0.21</v>
      </c>
      <c r="O371" s="188">
        <f t="shared" si="61"/>
        <v>-0.11500000000000002</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2.1 Em Teste</v>
      </c>
      <c r="H381" s="65">
        <f>VLOOKUP(A381,'Aux - pivots1'!$A:$B,2,0)</f>
        <v>2</v>
      </c>
      <c r="I381" s="190">
        <f>SUMIFS(Table1[Estimação (horas)],Table1[Tabela],Plano_V3!E381,Table1[Campo],Plano_V3!F381)</f>
        <v>4.0999999999999996</v>
      </c>
      <c r="J381" s="190">
        <f t="shared" si="64"/>
        <v>0.51249999999999996</v>
      </c>
      <c r="K381" s="190">
        <f>SUMIFS(Table1[Horas efetivas],Table1[Tabela],Plano_V3!E381,Table1[Campo],Plano_V3!F381)</f>
        <v>2.0499999999999998</v>
      </c>
      <c r="L381" s="190">
        <f t="shared" si="65"/>
        <v>0.25624999999999998</v>
      </c>
      <c r="M381" s="184"/>
      <c r="N381" s="184">
        <f t="shared" si="66"/>
        <v>0.5</v>
      </c>
      <c r="O381" s="184">
        <f t="shared" si="61"/>
        <v>0.5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2.1 Em Teste</v>
      </c>
      <c r="H382" s="65">
        <f>VLOOKUP(A382,'Aux - pivots1'!$A:$B,2,0)</f>
        <v>2</v>
      </c>
      <c r="I382" s="190">
        <f>SUMIFS(Table1[Estimação (horas)],Table1[Tabela],Plano_V3!E382,Table1[Campo],Plano_V3!F382)</f>
        <v>4.0999999999999996</v>
      </c>
      <c r="J382" s="190">
        <f t="shared" si="64"/>
        <v>0.51249999999999996</v>
      </c>
      <c r="K382" s="190">
        <f>SUMIFS(Table1[Horas efetivas],Table1[Tabela],Plano_V3!E382,Table1[Campo],Plano_V3!F382)</f>
        <v>2.0499999999999998</v>
      </c>
      <c r="L382" s="190">
        <f t="shared" si="65"/>
        <v>0.25624999999999998</v>
      </c>
      <c r="M382" s="184"/>
      <c r="N382" s="184">
        <f t="shared" si="66"/>
        <v>0.5</v>
      </c>
      <c r="O382" s="184">
        <f t="shared" si="61"/>
        <v>0.5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2.1 Em Teste</v>
      </c>
      <c r="H385" s="65">
        <f>VLOOKUP(A385,'Aux - pivots1'!$A:$B,2,0)</f>
        <v>2</v>
      </c>
      <c r="I385" s="190">
        <f>SUMIFS(Table1[Estimação (horas)],Table1[Tabela],Plano_V3!E385,Table1[Campo],Plano_V3!F385)</f>
        <v>8.1</v>
      </c>
      <c r="J385" s="190">
        <f t="shared" si="64"/>
        <v>1.0125</v>
      </c>
      <c r="K385" s="190">
        <f>SUMIFS(Table1[Horas efetivas],Table1[Tabela],Plano_V3!E385,Table1[Campo],Plano_V3!F385)</f>
        <v>4.05</v>
      </c>
      <c r="L385" s="190">
        <f t="shared" si="65"/>
        <v>0.50624999999999998</v>
      </c>
      <c r="M385" s="184"/>
      <c r="N385" s="184">
        <f t="shared" si="66"/>
        <v>0.5</v>
      </c>
      <c r="O385" s="184">
        <f t="shared" si="61"/>
        <v>0.5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2.1 Em Teste</v>
      </c>
      <c r="H386" s="65">
        <f>VLOOKUP(A386,'Aux - pivots1'!$A:$B,2,0)</f>
        <v>2</v>
      </c>
      <c r="I386" s="190">
        <f>SUMIFS(Table1[Estimação (horas)],Table1[Tabela],Plano_V3!E386,Table1[Campo],Plano_V3!F386)</f>
        <v>8.1</v>
      </c>
      <c r="J386" s="190">
        <f t="shared" si="64"/>
        <v>1.0125</v>
      </c>
      <c r="K386" s="190">
        <f>SUMIFS(Table1[Horas efetivas],Table1[Tabela],Plano_V3!E386,Table1[Campo],Plano_V3!F386)</f>
        <v>4.05</v>
      </c>
      <c r="L386" s="190">
        <f t="shared" si="65"/>
        <v>0.50624999999999998</v>
      </c>
      <c r="M386" s="184"/>
      <c r="N386" s="184">
        <f t="shared" si="66"/>
        <v>0.5</v>
      </c>
      <c r="O386" s="184">
        <f t="shared" si="61"/>
        <v>0.5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2.1 Em Teste</v>
      </c>
      <c r="H388" s="65">
        <f>VLOOKUP(A388,'Aux - pivots1'!$A:$B,2,0)</f>
        <v>2</v>
      </c>
      <c r="I388" s="190">
        <f>SUMIFS(Table1[Estimação (horas)],Table1[Tabela],Plano_V3!E388,Table1[Campo],Plano_V3!F388)</f>
        <v>4.0999999999999996</v>
      </c>
      <c r="J388" s="190">
        <f t="shared" si="64"/>
        <v>0.51249999999999996</v>
      </c>
      <c r="K388" s="190">
        <f>SUMIFS(Table1[Horas efetivas],Table1[Tabela],Plano_V3!E388,Table1[Campo],Plano_V3!F388)</f>
        <v>2.0499999999999998</v>
      </c>
      <c r="L388" s="190">
        <f t="shared" si="65"/>
        <v>0.25624999999999998</v>
      </c>
      <c r="M388" s="184"/>
      <c r="N388" s="184">
        <f t="shared" si="66"/>
        <v>0.5</v>
      </c>
      <c r="O388" s="184">
        <f t="shared" si="61"/>
        <v>0.5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2.1 Em Teste</v>
      </c>
      <c r="H389" s="65">
        <f>VLOOKUP(A389,'Aux - pivots1'!$A:$B,2,0)</f>
        <v>2</v>
      </c>
      <c r="I389" s="190">
        <f>SUMIFS(Table1[Estimação (horas)],Table1[Tabela],Plano_V3!E389,Table1[Campo],Plano_V3!F389)</f>
        <v>4.0999999999999996</v>
      </c>
      <c r="J389" s="190">
        <f t="shared" si="64"/>
        <v>0.51249999999999996</v>
      </c>
      <c r="K389" s="190">
        <f>SUMIFS(Table1[Horas efetivas],Table1[Tabela],Plano_V3!E389,Table1[Campo],Plano_V3!F389)</f>
        <v>2.0499999999999998</v>
      </c>
      <c r="L389" s="190">
        <f t="shared" si="65"/>
        <v>0.25624999999999998</v>
      </c>
      <c r="M389" s="184"/>
      <c r="N389" s="184">
        <f t="shared" si="66"/>
        <v>0.5</v>
      </c>
      <c r="O389" s="184">
        <f t="shared" si="61"/>
        <v>0.5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31.815625000000022</v>
      </c>
      <c r="L455" s="190">
        <f>K455/8</f>
        <v>3.9769531250000028</v>
      </c>
      <c r="M455" s="184"/>
      <c r="N455" s="184">
        <f t="shared" si="72"/>
        <v>0.35954937138013809</v>
      </c>
      <c r="O455" s="184">
        <f t="shared" si="67"/>
        <v>0.35954937138013809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1965</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1965</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1966</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1966</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1966</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1966</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1966</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1966</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1966</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1966</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1966</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1966</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1966</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1966</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1966</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1966</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1966</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1965</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1965</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0.7401938613369653</v>
      </c>
      <c r="O594" s="181">
        <f t="shared" ref="O594" si="85">N594-M594</f>
        <v>0.1175823963688124</v>
      </c>
      <c r="P594" s="183" t="s">
        <v>25</v>
      </c>
    </row>
    <row r="595" spans="2:51">
      <c r="O595"/>
    </row>
    <row r="596" spans="2:51"/>
  </sheetData>
  <conditionalFormatting sqref="O14:O17 O19:O22 O594">
    <cfRule type="cellIs" dxfId="174" priority="23" operator="lessThan">
      <formula>0</formula>
    </cfRule>
    <cfRule type="cellIs" dxfId="173" priority="24" operator="greaterThanOrEqual">
      <formula>0</formula>
    </cfRule>
  </conditionalFormatting>
  <conditionalFormatting sqref="O24:O592">
    <cfRule type="cellIs" dxfId="172" priority="1" operator="lessThan">
      <formula>0</formula>
    </cfRule>
    <cfRule type="cellIs" dxfId="171" priority="2" operator="greaterThanOrEqual">
      <formula>0</formula>
    </cfRule>
  </conditionalFormatting>
  <conditionalFormatting sqref="Q15:Q17">
    <cfRule type="cellIs" dxfId="170" priority="50" operator="notEqual">
      <formula>0</formula>
    </cfRule>
  </conditionalFormatting>
  <conditionalFormatting sqref="Q20:Q22">
    <cfRule type="cellIs" dxfId="169" priority="42" operator="notEqual">
      <formula>0</formula>
    </cfRule>
  </conditionalFormatting>
  <conditionalFormatting sqref="Q25:Q456">
    <cfRule type="cellIs" dxfId="168" priority="5" operator="notEqual">
      <formula>0</formula>
    </cfRule>
  </conditionalFormatting>
  <conditionalFormatting sqref="R5:R6 S6:ES6">
    <cfRule type="cellIs" dxfId="167" priority="51" operator="notEqual">
      <formula>0</formula>
    </cfRule>
  </conditionalFormatting>
  <conditionalFormatting sqref="R15:ES17 R20:ES22 R25:ES25">
    <cfRule type="cellIs" dxfId="166" priority="49" operator="greaterThan">
      <formula>0</formula>
    </cfRule>
  </conditionalFormatting>
  <conditionalFormatting sqref="R40:ES40">
    <cfRule type="cellIs" dxfId="165" priority="47" operator="greaterThan">
      <formula>0</formula>
    </cfRule>
  </conditionalFormatting>
  <conditionalFormatting sqref="R204:ES204">
    <cfRule type="cellIs" dxfId="164" priority="46" operator="greaterThan">
      <formula>0</formula>
    </cfRule>
  </conditionalFormatting>
  <conditionalFormatting sqref="R371:ES371">
    <cfRule type="cellIs" dxfId="163" priority="45" operator="greaterThan">
      <formula>0</formula>
    </cfRule>
  </conditionalFormatting>
  <conditionalFormatting sqref="R456:ES456">
    <cfRule type="cellIs" dxfId="16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9">
        <v>7</v>
      </c>
      <c r="C4" s="175">
        <v>45510</v>
      </c>
      <c r="D4" s="175">
        <v>45624</v>
      </c>
      <c r="E4" s="289"/>
    </row>
    <row r="5" spans="1:5">
      <c r="A5" t="s">
        <v>680</v>
      </c>
      <c r="B5" s="289">
        <v>7</v>
      </c>
      <c r="C5" s="175">
        <v>45510</v>
      </c>
      <c r="D5" s="175">
        <v>45624</v>
      </c>
      <c r="E5" s="289"/>
    </row>
    <row r="6" spans="1:5">
      <c r="A6" t="s">
        <v>681</v>
      </c>
      <c r="B6" s="289">
        <v>7</v>
      </c>
      <c r="C6" s="175">
        <v>45510</v>
      </c>
      <c r="D6" s="175">
        <v>45624</v>
      </c>
      <c r="E6" s="289"/>
    </row>
    <row r="7" spans="1:5">
      <c r="A7" t="s">
        <v>682</v>
      </c>
      <c r="B7" s="289">
        <v>7</v>
      </c>
      <c r="C7" s="175">
        <v>45510</v>
      </c>
      <c r="D7" s="175">
        <v>45624</v>
      </c>
      <c r="E7" s="289"/>
    </row>
    <row r="8" spans="1:5">
      <c r="A8" t="s">
        <v>683</v>
      </c>
      <c r="B8" s="289">
        <v>7</v>
      </c>
      <c r="C8" s="175">
        <v>45510</v>
      </c>
      <c r="D8" s="175">
        <v>45624</v>
      </c>
      <c r="E8" s="289"/>
    </row>
    <row r="9" spans="1:5">
      <c r="A9" t="s">
        <v>684</v>
      </c>
      <c r="B9" s="289">
        <v>7</v>
      </c>
      <c r="C9" s="175">
        <v>45510</v>
      </c>
      <c r="D9" s="175">
        <v>45624</v>
      </c>
      <c r="E9" s="289"/>
    </row>
    <row r="10" spans="1:5">
      <c r="A10" t="s">
        <v>685</v>
      </c>
      <c r="B10" s="289">
        <v>7</v>
      </c>
      <c r="C10" s="175">
        <v>45510</v>
      </c>
      <c r="D10" s="175">
        <v>45624</v>
      </c>
      <c r="E10" s="289"/>
    </row>
    <row r="11" spans="1:5">
      <c r="A11" t="s">
        <v>686</v>
      </c>
      <c r="B11" s="289">
        <v>7</v>
      </c>
      <c r="C11" s="175">
        <v>45510</v>
      </c>
      <c r="D11" s="175">
        <v>45624</v>
      </c>
      <c r="E11" s="289"/>
    </row>
    <row r="12" spans="1:5">
      <c r="A12" t="s">
        <v>687</v>
      </c>
      <c r="B12" s="289">
        <v>7</v>
      </c>
      <c r="C12" s="175">
        <v>45510</v>
      </c>
      <c r="D12" s="175">
        <v>45624</v>
      </c>
      <c r="E12" s="289"/>
    </row>
    <row r="13" spans="1:5">
      <c r="A13" t="s">
        <v>688</v>
      </c>
      <c r="B13" s="289">
        <v>7</v>
      </c>
      <c r="C13" s="175">
        <v>45510</v>
      </c>
      <c r="D13" s="175">
        <v>45624</v>
      </c>
      <c r="E13" s="289"/>
    </row>
    <row r="14" spans="1:5">
      <c r="A14" t="s">
        <v>689</v>
      </c>
      <c r="B14" s="289">
        <v>7</v>
      </c>
      <c r="C14" s="175">
        <v>45510</v>
      </c>
      <c r="D14" s="175">
        <v>45624</v>
      </c>
      <c r="E14" s="289"/>
    </row>
    <row r="15" spans="1:5">
      <c r="A15" t="s">
        <v>690</v>
      </c>
      <c r="B15" s="289">
        <v>7</v>
      </c>
      <c r="C15" s="175">
        <v>45510</v>
      </c>
      <c r="D15" s="175">
        <v>45624</v>
      </c>
      <c r="E15" s="289"/>
    </row>
    <row r="16" spans="1:5">
      <c r="A16" t="s">
        <v>691</v>
      </c>
      <c r="B16" s="289">
        <v>7</v>
      </c>
      <c r="C16" s="175">
        <v>45510</v>
      </c>
      <c r="D16" s="175">
        <v>45624</v>
      </c>
      <c r="E16" s="289"/>
    </row>
    <row r="17" spans="1:5">
      <c r="A17" t="s">
        <v>692</v>
      </c>
      <c r="B17" s="289">
        <v>1</v>
      </c>
      <c r="C17" s="289"/>
      <c r="D17" s="289"/>
      <c r="E17" s="289"/>
    </row>
    <row r="18" spans="1:5">
      <c r="A18" t="s">
        <v>693</v>
      </c>
      <c r="B18" s="289">
        <v>1</v>
      </c>
      <c r="C18" s="289"/>
      <c r="D18" s="289"/>
      <c r="E18" s="289"/>
    </row>
    <row r="19" spans="1:5">
      <c r="A19" t="s">
        <v>694</v>
      </c>
      <c r="B19" s="289">
        <v>1</v>
      </c>
      <c r="C19" s="289"/>
      <c r="D19" s="289"/>
      <c r="E19" s="289"/>
    </row>
    <row r="20" spans="1:5">
      <c r="A20" t="s">
        <v>695</v>
      </c>
      <c r="B20" s="289">
        <v>1</v>
      </c>
      <c r="C20" s="289"/>
      <c r="D20" s="289"/>
      <c r="E20" s="289"/>
    </row>
    <row r="21" spans="1:5">
      <c r="A21" t="s">
        <v>696</v>
      </c>
      <c r="B21" s="289">
        <v>1</v>
      </c>
      <c r="C21" s="289"/>
      <c r="D21" s="289"/>
      <c r="E21" s="289"/>
    </row>
    <row r="22" spans="1:5">
      <c r="A22" t="s">
        <v>697</v>
      </c>
      <c r="B22" s="289">
        <v>1</v>
      </c>
      <c r="C22" s="289"/>
      <c r="D22" s="289"/>
      <c r="E22" s="289"/>
    </row>
    <row r="23" spans="1:5">
      <c r="A23" t="s">
        <v>698</v>
      </c>
      <c r="B23" s="289">
        <v>1</v>
      </c>
      <c r="C23" s="289"/>
      <c r="D23" s="289"/>
      <c r="E23" s="289"/>
    </row>
    <row r="24" spans="1:5">
      <c r="A24" t="s">
        <v>699</v>
      </c>
      <c r="B24" s="289">
        <v>1</v>
      </c>
      <c r="C24" s="289"/>
      <c r="D24" s="289"/>
      <c r="E24" s="289"/>
    </row>
    <row r="25" spans="1:5">
      <c r="A25" t="s">
        <v>700</v>
      </c>
      <c r="B25" s="289">
        <v>2</v>
      </c>
      <c r="C25" s="289"/>
      <c r="D25" s="289"/>
      <c r="E25" s="289"/>
    </row>
    <row r="26" spans="1:5">
      <c r="A26" t="s">
        <v>701</v>
      </c>
      <c r="B26" s="289">
        <v>2</v>
      </c>
      <c r="C26" s="289"/>
      <c r="D26" s="289"/>
      <c r="E26" s="289"/>
    </row>
    <row r="27" spans="1:5">
      <c r="A27" t="s">
        <v>702</v>
      </c>
      <c r="B27" s="289">
        <v>1</v>
      </c>
      <c r="C27" s="289"/>
      <c r="D27" s="289"/>
      <c r="E27" s="289"/>
    </row>
    <row r="28" spans="1:5">
      <c r="A28" t="s">
        <v>703</v>
      </c>
      <c r="B28" s="289">
        <v>2</v>
      </c>
      <c r="C28" s="289"/>
      <c r="D28" s="289"/>
      <c r="E28" s="289"/>
    </row>
    <row r="29" spans="1:5">
      <c r="A29" t="s">
        <v>704</v>
      </c>
      <c r="B29" s="289">
        <v>1</v>
      </c>
      <c r="C29" s="289"/>
      <c r="D29" s="289"/>
      <c r="E29" s="289"/>
    </row>
    <row r="30" spans="1:5">
      <c r="A30" t="s">
        <v>705</v>
      </c>
      <c r="B30" s="289">
        <v>1</v>
      </c>
      <c r="C30" s="289"/>
      <c r="D30" s="289"/>
      <c r="E30" s="289"/>
    </row>
    <row r="31" spans="1:5">
      <c r="A31" t="s">
        <v>706</v>
      </c>
      <c r="B31" s="289">
        <v>1</v>
      </c>
      <c r="C31" s="289"/>
      <c r="D31" s="289"/>
      <c r="E31" s="289"/>
    </row>
    <row r="32" spans="1:5">
      <c r="A32" t="s">
        <v>707</v>
      </c>
      <c r="B32" s="289">
        <v>1</v>
      </c>
      <c r="C32" s="289"/>
      <c r="D32" s="289"/>
      <c r="E32" s="289"/>
    </row>
    <row r="33" spans="1:5">
      <c r="A33" t="s">
        <v>708</v>
      </c>
      <c r="B33" s="289">
        <v>1</v>
      </c>
      <c r="C33" s="289"/>
      <c r="D33" s="289"/>
      <c r="E33" s="289"/>
    </row>
    <row r="34" spans="1:5">
      <c r="A34" t="s">
        <v>709</v>
      </c>
      <c r="B34" s="289">
        <v>1</v>
      </c>
      <c r="C34" s="289"/>
      <c r="D34" s="289"/>
      <c r="E34" s="289"/>
    </row>
    <row r="35" spans="1:5">
      <c r="A35" t="s">
        <v>710</v>
      </c>
      <c r="B35" s="289">
        <v>1</v>
      </c>
      <c r="C35" s="175">
        <v>45583</v>
      </c>
      <c r="D35" s="175">
        <v>45589</v>
      </c>
      <c r="E35" s="175">
        <v>45589</v>
      </c>
    </row>
    <row r="36" spans="1:5">
      <c r="A36" t="s">
        <v>711</v>
      </c>
      <c r="B36" s="289">
        <v>7</v>
      </c>
      <c r="C36" s="175">
        <v>45593</v>
      </c>
      <c r="D36" s="175">
        <v>45611</v>
      </c>
      <c r="E36" s="289"/>
    </row>
    <row r="37" spans="1:5">
      <c r="A37" t="s">
        <v>712</v>
      </c>
      <c r="B37" s="289">
        <v>7</v>
      </c>
      <c r="C37" s="175">
        <v>45593</v>
      </c>
      <c r="D37" s="175">
        <v>45611</v>
      </c>
      <c r="E37" s="289"/>
    </row>
    <row r="38" spans="1:5">
      <c r="A38" t="s">
        <v>713</v>
      </c>
      <c r="B38" s="289">
        <v>7</v>
      </c>
      <c r="C38" s="175">
        <v>45593</v>
      </c>
      <c r="D38" s="175">
        <v>45611</v>
      </c>
      <c r="E38" s="289"/>
    </row>
    <row r="39" spans="1:5">
      <c r="A39" t="s">
        <v>714</v>
      </c>
      <c r="B39" s="289">
        <v>1</v>
      </c>
      <c r="C39" s="289"/>
      <c r="D39" s="289"/>
      <c r="E39" s="289"/>
    </row>
    <row r="40" spans="1:5">
      <c r="A40" t="s">
        <v>715</v>
      </c>
      <c r="B40" s="289">
        <v>1</v>
      </c>
      <c r="C40" s="289"/>
      <c r="D40" s="289"/>
      <c r="E40" s="289"/>
    </row>
    <row r="41" spans="1:5">
      <c r="A41" t="s">
        <v>716</v>
      </c>
      <c r="B41" s="289">
        <v>1</v>
      </c>
      <c r="C41" s="289"/>
      <c r="D41" s="289"/>
      <c r="E41" s="289"/>
    </row>
    <row r="42" spans="1:5">
      <c r="A42" t="s">
        <v>717</v>
      </c>
      <c r="B42" s="289">
        <v>7</v>
      </c>
      <c r="C42" s="175">
        <v>45595</v>
      </c>
      <c r="D42" s="175">
        <v>374342</v>
      </c>
      <c r="E42" s="289"/>
    </row>
    <row r="43" spans="1:5">
      <c r="A43" t="s">
        <v>718</v>
      </c>
      <c r="B43" s="289">
        <v>7</v>
      </c>
      <c r="C43" s="175">
        <v>45595</v>
      </c>
      <c r="D43" s="175">
        <v>374329</v>
      </c>
      <c r="E43" s="289"/>
    </row>
    <row r="44" spans="1:5">
      <c r="A44" t="s">
        <v>719</v>
      </c>
      <c r="B44" s="289">
        <v>7</v>
      </c>
      <c r="C44" s="175">
        <v>45593</v>
      </c>
      <c r="D44" s="175">
        <v>45624</v>
      </c>
      <c r="E44" s="289"/>
    </row>
    <row r="45" spans="1:5">
      <c r="A45" t="s">
        <v>720</v>
      </c>
      <c r="B45" s="289">
        <v>1</v>
      </c>
      <c r="C45" s="289"/>
      <c r="D45" s="289"/>
      <c r="E45" s="289"/>
    </row>
    <row r="46" spans="1:5">
      <c r="A46" t="s">
        <v>721</v>
      </c>
      <c r="B46" s="289">
        <v>1</v>
      </c>
      <c r="C46" s="289"/>
      <c r="D46" s="289"/>
      <c r="E46" s="289"/>
    </row>
    <row r="47" spans="1:5">
      <c r="A47" t="s">
        <v>722</v>
      </c>
      <c r="B47" s="289">
        <v>1</v>
      </c>
      <c r="C47" s="289"/>
      <c r="D47" s="289"/>
      <c r="E47" s="289"/>
    </row>
    <row r="48" spans="1:5">
      <c r="A48" t="s">
        <v>723</v>
      </c>
      <c r="B48" s="289">
        <v>4</v>
      </c>
      <c r="C48" s="289"/>
      <c r="D48" s="175">
        <v>45621</v>
      </c>
      <c r="E48" s="175">
        <v>45596</v>
      </c>
    </row>
    <row r="49" spans="1:5">
      <c r="A49" t="s">
        <v>724</v>
      </c>
      <c r="B49" s="289">
        <v>4</v>
      </c>
      <c r="C49" s="289"/>
      <c r="D49" s="175">
        <v>45621</v>
      </c>
      <c r="E49" s="175">
        <v>45596</v>
      </c>
    </row>
    <row r="50" spans="1:5">
      <c r="A50" t="s">
        <v>725</v>
      </c>
      <c r="B50" s="289">
        <v>4</v>
      </c>
      <c r="C50" s="289"/>
      <c r="D50" s="175">
        <v>45621</v>
      </c>
      <c r="E50" s="175">
        <v>45596</v>
      </c>
    </row>
    <row r="51" spans="1:5">
      <c r="A51" t="s">
        <v>726</v>
      </c>
      <c r="B51" s="289">
        <v>1</v>
      </c>
      <c r="C51" s="289"/>
      <c r="D51" s="289"/>
      <c r="E51" s="289"/>
    </row>
    <row r="52" spans="1:5">
      <c r="A52" t="s">
        <v>727</v>
      </c>
      <c r="B52" s="289">
        <v>1</v>
      </c>
      <c r="C52" s="289"/>
      <c r="D52" s="289"/>
      <c r="E52" s="289"/>
    </row>
    <row r="53" spans="1:5">
      <c r="A53" t="s">
        <v>728</v>
      </c>
      <c r="B53" s="289">
        <v>1</v>
      </c>
      <c r="C53" s="289"/>
      <c r="D53" s="289"/>
      <c r="E53" s="289"/>
    </row>
    <row r="54" spans="1:5">
      <c r="A54" t="s">
        <v>729</v>
      </c>
      <c r="B54" s="289">
        <v>1</v>
      </c>
      <c r="C54" s="289"/>
      <c r="D54" s="289"/>
      <c r="E54" s="289"/>
    </row>
    <row r="55" spans="1:5">
      <c r="A55" t="s">
        <v>730</v>
      </c>
      <c r="B55" s="289">
        <v>4</v>
      </c>
      <c r="C55" s="289"/>
      <c r="D55" s="175">
        <v>45614</v>
      </c>
      <c r="E55" s="175">
        <v>45596</v>
      </c>
    </row>
    <row r="56" spans="1:5">
      <c r="A56" t="s">
        <v>731</v>
      </c>
      <c r="B56" s="289">
        <v>4</v>
      </c>
      <c r="C56" s="289"/>
      <c r="D56" s="175">
        <v>45614</v>
      </c>
      <c r="E56" s="175">
        <v>45596</v>
      </c>
    </row>
    <row r="57" spans="1:5">
      <c r="A57" t="s">
        <v>732</v>
      </c>
      <c r="B57" s="289">
        <v>4</v>
      </c>
      <c r="C57" s="289"/>
      <c r="D57" s="175">
        <v>45614</v>
      </c>
      <c r="E57" s="175">
        <v>45596</v>
      </c>
    </row>
    <row r="58" spans="1:5">
      <c r="A58" t="s">
        <v>733</v>
      </c>
      <c r="B58" s="289">
        <v>4</v>
      </c>
      <c r="C58" s="289"/>
      <c r="D58" s="175">
        <v>45614</v>
      </c>
      <c r="E58" s="175">
        <v>45596</v>
      </c>
    </row>
    <row r="59" spans="1:5">
      <c r="A59" t="s">
        <v>734</v>
      </c>
      <c r="B59" s="289">
        <v>1</v>
      </c>
      <c r="C59" s="289"/>
      <c r="D59" s="289"/>
      <c r="E59" s="289"/>
    </row>
    <row r="60" spans="1:5">
      <c r="A60" t="s">
        <v>735</v>
      </c>
      <c r="B60" s="289">
        <v>1</v>
      </c>
      <c r="C60" s="289"/>
      <c r="D60" s="289"/>
      <c r="E60" s="289"/>
    </row>
    <row r="61" spans="1:5">
      <c r="A61" t="s">
        <v>736</v>
      </c>
      <c r="B61" s="289">
        <v>7</v>
      </c>
      <c r="C61" s="175">
        <v>45583</v>
      </c>
      <c r="D61" s="175">
        <v>45611</v>
      </c>
      <c r="E61" s="289"/>
    </row>
    <row r="62" spans="1:5">
      <c r="A62" t="s">
        <v>737</v>
      </c>
      <c r="B62" s="289">
        <v>4</v>
      </c>
      <c r="C62" s="175">
        <v>45589</v>
      </c>
      <c r="D62" s="289"/>
      <c r="E62" s="175">
        <v>45596</v>
      </c>
    </row>
    <row r="63" spans="1:5">
      <c r="A63" t="s">
        <v>738</v>
      </c>
      <c r="B63" s="289">
        <v>4</v>
      </c>
      <c r="C63" s="175">
        <v>45589</v>
      </c>
      <c r="D63" s="289"/>
      <c r="E63" s="175">
        <v>45596</v>
      </c>
    </row>
    <row r="64" spans="1:5">
      <c r="A64" t="s">
        <v>739</v>
      </c>
      <c r="B64" s="289">
        <v>4</v>
      </c>
      <c r="C64" s="289"/>
      <c r="D64" s="175">
        <v>45614</v>
      </c>
      <c r="E64" s="175">
        <v>45596</v>
      </c>
    </row>
    <row r="65" spans="1:5">
      <c r="A65" t="s">
        <v>740</v>
      </c>
      <c r="B65" s="289">
        <v>4</v>
      </c>
      <c r="C65" s="175">
        <v>45589</v>
      </c>
      <c r="D65" s="289"/>
      <c r="E65" s="175">
        <v>45596</v>
      </c>
    </row>
    <row r="66" spans="1:5">
      <c r="A66" t="s">
        <v>741</v>
      </c>
      <c r="B66" s="289">
        <v>7</v>
      </c>
      <c r="C66" s="175">
        <v>45589</v>
      </c>
      <c r="D66" s="175">
        <v>45611</v>
      </c>
      <c r="E66" s="289"/>
    </row>
    <row r="67" spans="1:5">
      <c r="A67" t="s">
        <v>742</v>
      </c>
      <c r="B67" s="289">
        <v>7</v>
      </c>
      <c r="C67" s="175">
        <v>45593</v>
      </c>
      <c r="D67" s="175">
        <v>45611</v>
      </c>
      <c r="E67" s="289"/>
    </row>
    <row r="68" spans="1:5">
      <c r="A68" t="s">
        <v>743</v>
      </c>
      <c r="B68" s="289">
        <v>4</v>
      </c>
      <c r="C68" s="175">
        <v>45589</v>
      </c>
      <c r="D68" s="289"/>
      <c r="E68" s="175">
        <v>45596</v>
      </c>
    </row>
    <row r="69" spans="1:5">
      <c r="A69" t="s">
        <v>744</v>
      </c>
      <c r="B69" s="289">
        <v>4</v>
      </c>
      <c r="C69" s="175">
        <v>45589</v>
      </c>
      <c r="D69" s="289"/>
      <c r="E69" s="175">
        <v>45596</v>
      </c>
    </row>
    <row r="70" spans="1:5">
      <c r="A70" t="s">
        <v>745</v>
      </c>
      <c r="B70" s="289">
        <v>4</v>
      </c>
      <c r="C70" s="175">
        <v>45589</v>
      </c>
      <c r="D70" s="289"/>
      <c r="E70" s="175">
        <v>45596</v>
      </c>
    </row>
    <row r="71" spans="1:5">
      <c r="A71" t="s">
        <v>746</v>
      </c>
      <c r="B71" s="289">
        <v>1</v>
      </c>
      <c r="C71" s="289"/>
      <c r="D71" s="289"/>
      <c r="E71" s="289"/>
    </row>
    <row r="72" spans="1:5">
      <c r="A72" t="s">
        <v>747</v>
      </c>
      <c r="B72" s="289">
        <v>1</v>
      </c>
      <c r="C72" s="289"/>
      <c r="D72" s="289"/>
      <c r="E72" s="289"/>
    </row>
    <row r="73" spans="1:5">
      <c r="A73" t="s">
        <v>748</v>
      </c>
      <c r="B73" s="289">
        <v>7</v>
      </c>
      <c r="C73" s="175">
        <v>45593</v>
      </c>
      <c r="D73" s="175">
        <v>45611</v>
      </c>
      <c r="E73" s="289"/>
    </row>
    <row r="74" spans="1:5">
      <c r="A74" t="s">
        <v>749</v>
      </c>
      <c r="B74" s="289">
        <v>7</v>
      </c>
      <c r="C74" s="175">
        <v>45589</v>
      </c>
      <c r="D74" s="289"/>
      <c r="E74" s="289"/>
    </row>
    <row r="75" spans="1:5">
      <c r="A75" t="s">
        <v>750</v>
      </c>
      <c r="B75" s="289">
        <v>1</v>
      </c>
      <c r="C75" s="289"/>
      <c r="D75" s="289"/>
      <c r="E75" s="289"/>
    </row>
    <row r="76" spans="1:5">
      <c r="A76" t="s">
        <v>751</v>
      </c>
      <c r="B76" s="289">
        <v>4</v>
      </c>
      <c r="C76" s="175">
        <v>45583</v>
      </c>
      <c r="D76" s="289"/>
      <c r="E76" s="175">
        <v>45596</v>
      </c>
    </row>
    <row r="77" spans="1:5">
      <c r="A77" t="s">
        <v>752</v>
      </c>
      <c r="B77" s="289">
        <v>1</v>
      </c>
      <c r="C77" s="175">
        <v>45589</v>
      </c>
      <c r="D77" s="175">
        <v>45596</v>
      </c>
      <c r="E77" s="175">
        <v>45596</v>
      </c>
    </row>
    <row r="78" spans="1:5">
      <c r="A78" t="s">
        <v>753</v>
      </c>
      <c r="B78" s="289">
        <v>7</v>
      </c>
      <c r="C78" s="289"/>
      <c r="D78" s="175">
        <v>45611</v>
      </c>
      <c r="E78" s="289"/>
    </row>
    <row r="79" spans="1:5">
      <c r="A79" t="s">
        <v>754</v>
      </c>
      <c r="B79" s="289">
        <v>4</v>
      </c>
      <c r="C79" s="289"/>
      <c r="D79" s="175">
        <v>45614</v>
      </c>
      <c r="E79" s="175">
        <v>45596</v>
      </c>
    </row>
    <row r="80" spans="1:5">
      <c r="A80" t="s">
        <v>755</v>
      </c>
      <c r="B80" s="289">
        <v>4</v>
      </c>
      <c r="C80" s="289"/>
      <c r="D80" s="175">
        <v>45614</v>
      </c>
      <c r="E80" s="175">
        <v>45596</v>
      </c>
    </row>
    <row r="81" spans="1:5">
      <c r="A81" t="s">
        <v>756</v>
      </c>
      <c r="B81" s="289">
        <v>4</v>
      </c>
      <c r="C81" s="289"/>
      <c r="D81" s="175">
        <v>45614</v>
      </c>
      <c r="E81" s="175">
        <v>45596</v>
      </c>
    </row>
    <row r="82" spans="1:5">
      <c r="A82" t="s">
        <v>757</v>
      </c>
      <c r="B82" s="289">
        <v>4</v>
      </c>
      <c r="C82" s="289"/>
      <c r="D82" s="175">
        <v>45614</v>
      </c>
      <c r="E82" s="175">
        <v>45596</v>
      </c>
    </row>
    <row r="83" spans="1:5">
      <c r="A83" t="s">
        <v>758</v>
      </c>
      <c r="B83" s="289">
        <v>4</v>
      </c>
      <c r="C83" s="289"/>
      <c r="D83" s="175">
        <v>45614</v>
      </c>
      <c r="E83" s="175">
        <v>45596</v>
      </c>
    </row>
    <row r="84" spans="1:5">
      <c r="A84" t="s">
        <v>759</v>
      </c>
      <c r="B84" s="289">
        <v>1</v>
      </c>
      <c r="C84" s="289"/>
      <c r="D84" s="289"/>
      <c r="E84" s="289"/>
    </row>
    <row r="85" spans="1:5">
      <c r="A85" t="s">
        <v>760</v>
      </c>
      <c r="B85" s="289">
        <v>7</v>
      </c>
      <c r="C85" s="175">
        <v>45593</v>
      </c>
      <c r="D85" s="175">
        <v>45624</v>
      </c>
      <c r="E85" s="289"/>
    </row>
    <row r="86" spans="1:5">
      <c r="A86" t="s">
        <v>761</v>
      </c>
      <c r="B86" s="289">
        <v>4</v>
      </c>
      <c r="C86" s="289"/>
      <c r="D86" s="175">
        <v>45614</v>
      </c>
      <c r="E86" s="175">
        <v>45596</v>
      </c>
    </row>
    <row r="87" spans="1:5">
      <c r="A87" t="s">
        <v>762</v>
      </c>
      <c r="B87" s="289">
        <v>4</v>
      </c>
      <c r="C87" s="175">
        <v>45583</v>
      </c>
      <c r="D87" s="175">
        <v>45614</v>
      </c>
      <c r="E87" s="175">
        <v>45596</v>
      </c>
    </row>
    <row r="88" spans="1:5">
      <c r="A88" t="s">
        <v>763</v>
      </c>
      <c r="B88" s="289">
        <v>4</v>
      </c>
      <c r="C88" s="289"/>
      <c r="D88" s="175">
        <v>45614</v>
      </c>
      <c r="E88" s="175">
        <v>45596</v>
      </c>
    </row>
    <row r="89" spans="1:5">
      <c r="A89" t="s">
        <v>764</v>
      </c>
      <c r="B89" s="289">
        <v>4</v>
      </c>
      <c r="C89" s="289"/>
      <c r="D89" s="175">
        <v>45614</v>
      </c>
      <c r="E89" s="175">
        <v>45596</v>
      </c>
    </row>
    <row r="90" spans="1:5">
      <c r="A90" t="s">
        <v>765</v>
      </c>
      <c r="B90" s="289">
        <v>1</v>
      </c>
      <c r="C90" s="289"/>
      <c r="D90" s="289"/>
      <c r="E90" s="289"/>
    </row>
    <row r="91" spans="1:5">
      <c r="A91" t="s">
        <v>766</v>
      </c>
      <c r="B91" s="289">
        <v>1</v>
      </c>
      <c r="C91" s="289"/>
      <c r="D91" s="289"/>
      <c r="E91" s="289"/>
    </row>
    <row r="92" spans="1:5">
      <c r="A92" t="s">
        <v>767</v>
      </c>
      <c r="B92" s="289">
        <v>7</v>
      </c>
      <c r="C92" s="175">
        <v>45583</v>
      </c>
      <c r="D92" s="175">
        <v>45596</v>
      </c>
      <c r="E92" s="175">
        <v>45596</v>
      </c>
    </row>
    <row r="93" spans="1:5">
      <c r="A93" t="s">
        <v>768</v>
      </c>
      <c r="B93" s="289">
        <v>7</v>
      </c>
      <c r="C93" s="175">
        <v>45583</v>
      </c>
      <c r="D93" s="175">
        <v>45596</v>
      </c>
      <c r="E93" s="175">
        <v>45596</v>
      </c>
    </row>
    <row r="94" spans="1:5">
      <c r="A94" t="s">
        <v>769</v>
      </c>
      <c r="B94" s="289">
        <v>7</v>
      </c>
      <c r="C94" s="175">
        <v>45583</v>
      </c>
      <c r="D94" s="175">
        <v>45596</v>
      </c>
      <c r="E94" s="175">
        <v>45596</v>
      </c>
    </row>
    <row r="95" spans="1:5">
      <c r="A95" t="s">
        <v>770</v>
      </c>
      <c r="B95" s="289">
        <v>2</v>
      </c>
      <c r="C95" s="175">
        <v>45583</v>
      </c>
      <c r="D95" s="175">
        <v>45596</v>
      </c>
      <c r="E95" s="175">
        <v>45596</v>
      </c>
    </row>
    <row r="96" spans="1:5">
      <c r="A96" t="s">
        <v>771</v>
      </c>
      <c r="B96" s="289">
        <v>2</v>
      </c>
      <c r="C96" s="175">
        <v>45583</v>
      </c>
      <c r="D96" s="175">
        <v>45596</v>
      </c>
      <c r="E96" s="175">
        <v>45596</v>
      </c>
    </row>
    <row r="97" spans="1:5">
      <c r="A97" t="s">
        <v>772</v>
      </c>
      <c r="B97" s="289">
        <v>4</v>
      </c>
      <c r="C97" s="175">
        <v>45583</v>
      </c>
      <c r="D97" s="175">
        <v>45596</v>
      </c>
      <c r="E97" s="175">
        <v>45596</v>
      </c>
    </row>
    <row r="98" spans="1:5">
      <c r="A98" t="s">
        <v>773</v>
      </c>
      <c r="B98" s="289">
        <v>4</v>
      </c>
      <c r="C98" s="175">
        <v>45583</v>
      </c>
      <c r="D98" s="175">
        <v>45596</v>
      </c>
      <c r="E98" s="175">
        <v>45596</v>
      </c>
    </row>
    <row r="99" spans="1:5">
      <c r="A99" t="s">
        <v>774</v>
      </c>
      <c r="B99" s="289">
        <v>7</v>
      </c>
      <c r="C99" s="175">
        <v>45593</v>
      </c>
      <c r="D99" s="175">
        <v>45624</v>
      </c>
      <c r="E99" s="289"/>
    </row>
    <row r="100" spans="1:5">
      <c r="A100" t="s">
        <v>775</v>
      </c>
      <c r="B100" s="289">
        <v>7</v>
      </c>
      <c r="C100" s="175">
        <v>45593</v>
      </c>
      <c r="D100" s="175">
        <v>45624</v>
      </c>
      <c r="E100" s="289"/>
    </row>
    <row r="101" spans="1:5">
      <c r="A101" t="s">
        <v>776</v>
      </c>
      <c r="B101" s="289">
        <v>7</v>
      </c>
      <c r="C101" s="175">
        <v>45593</v>
      </c>
      <c r="D101" s="175">
        <v>45624</v>
      </c>
      <c r="E101" s="289"/>
    </row>
    <row r="102" spans="1:5">
      <c r="A102" t="s">
        <v>777</v>
      </c>
      <c r="B102" s="289">
        <v>7</v>
      </c>
      <c r="C102" s="175">
        <v>45593</v>
      </c>
      <c r="D102" s="175">
        <v>45624</v>
      </c>
      <c r="E102" s="289"/>
    </row>
    <row r="103" spans="1:5">
      <c r="A103" t="s">
        <v>778</v>
      </c>
      <c r="B103" s="289">
        <v>7</v>
      </c>
      <c r="C103" s="175">
        <v>45583</v>
      </c>
      <c r="D103" s="175">
        <v>45596</v>
      </c>
      <c r="E103" s="175">
        <v>45596</v>
      </c>
    </row>
    <row r="104" spans="1:5">
      <c r="A104" t="s">
        <v>779</v>
      </c>
      <c r="B104" s="289">
        <v>7</v>
      </c>
      <c r="C104" s="175">
        <v>45583</v>
      </c>
      <c r="D104" s="175">
        <v>45596</v>
      </c>
      <c r="E104" s="175">
        <v>45596</v>
      </c>
    </row>
    <row r="105" spans="1:5">
      <c r="A105" t="s">
        <v>780</v>
      </c>
      <c r="B105" s="289">
        <v>7</v>
      </c>
      <c r="C105" s="175">
        <v>45583</v>
      </c>
      <c r="D105" s="175">
        <v>45596</v>
      </c>
      <c r="E105" s="175">
        <v>45596</v>
      </c>
    </row>
    <row r="106" spans="1:5">
      <c r="A106" t="s">
        <v>781</v>
      </c>
      <c r="B106" s="289">
        <v>7</v>
      </c>
      <c r="C106" s="175">
        <v>45595</v>
      </c>
      <c r="D106" s="175">
        <v>45611</v>
      </c>
      <c r="E106" s="289"/>
    </row>
    <row r="107" spans="1:5">
      <c r="A107" t="s">
        <v>782</v>
      </c>
      <c r="B107" s="289">
        <v>7</v>
      </c>
      <c r="C107" s="175">
        <v>45589</v>
      </c>
      <c r="D107" s="175">
        <v>45611</v>
      </c>
      <c r="E107" s="289"/>
    </row>
    <row r="108" spans="1:5">
      <c r="A108" t="s">
        <v>783</v>
      </c>
      <c r="B108" s="289">
        <v>7</v>
      </c>
      <c r="C108" s="175">
        <v>45589</v>
      </c>
      <c r="D108" s="175">
        <v>45624</v>
      </c>
      <c r="E108" s="289"/>
    </row>
    <row r="109" spans="1:5">
      <c r="A109" t="s">
        <v>784</v>
      </c>
      <c r="B109" s="289">
        <v>7</v>
      </c>
      <c r="C109" s="175">
        <v>45589</v>
      </c>
      <c r="D109" s="175">
        <v>45611</v>
      </c>
      <c r="E109" s="289"/>
    </row>
    <row r="110" spans="1:5">
      <c r="A110" t="s">
        <v>785</v>
      </c>
      <c r="B110" s="289">
        <v>7</v>
      </c>
      <c r="C110" s="175">
        <v>45589</v>
      </c>
      <c r="D110" s="175">
        <v>45611</v>
      </c>
      <c r="E110" s="289"/>
    </row>
    <row r="111" spans="1:5">
      <c r="A111" t="s">
        <v>786</v>
      </c>
      <c r="B111" s="289">
        <v>7</v>
      </c>
      <c r="C111" s="175">
        <v>45583</v>
      </c>
      <c r="D111" s="175">
        <v>45611</v>
      </c>
      <c r="E111" s="289"/>
    </row>
    <row r="112" spans="1:5">
      <c r="A112" t="s">
        <v>787</v>
      </c>
      <c r="B112" s="289">
        <v>2</v>
      </c>
      <c r="C112" s="175">
        <v>45583</v>
      </c>
      <c r="D112" s="175">
        <v>45596</v>
      </c>
      <c r="E112" s="175">
        <v>45596</v>
      </c>
    </row>
    <row r="113" spans="1:5">
      <c r="A113" t="s">
        <v>788</v>
      </c>
      <c r="B113" s="289">
        <v>7</v>
      </c>
      <c r="C113" s="175">
        <v>45588</v>
      </c>
      <c r="D113" s="289"/>
      <c r="E113" s="289"/>
    </row>
    <row r="114" spans="1:5">
      <c r="A114" t="s">
        <v>789</v>
      </c>
      <c r="B114" s="289">
        <v>1</v>
      </c>
      <c r="C114" s="289"/>
      <c r="D114" s="289"/>
      <c r="E114" s="289"/>
    </row>
    <row r="115" spans="1:5">
      <c r="A115" t="s">
        <v>790</v>
      </c>
      <c r="B115" s="289">
        <v>1</v>
      </c>
      <c r="C115" s="289"/>
      <c r="D115" s="289"/>
      <c r="E115" s="289"/>
    </row>
    <row r="116" spans="1:5">
      <c r="A116" t="s">
        <v>791</v>
      </c>
      <c r="B116" s="289">
        <v>1</v>
      </c>
      <c r="C116" s="289"/>
      <c r="D116" s="289"/>
      <c r="E116" s="289"/>
    </row>
    <row r="117" spans="1:5">
      <c r="A117" t="s">
        <v>792</v>
      </c>
      <c r="B117" s="289">
        <v>1</v>
      </c>
      <c r="C117" s="289"/>
      <c r="D117" s="289"/>
      <c r="E117" s="289"/>
    </row>
    <row r="118" spans="1:5">
      <c r="A118" t="s">
        <v>793</v>
      </c>
      <c r="B118" s="289">
        <v>1</v>
      </c>
      <c r="C118" s="289"/>
      <c r="D118" s="289"/>
      <c r="E118" s="289"/>
    </row>
    <row r="119" spans="1:5">
      <c r="A119" t="s">
        <v>794</v>
      </c>
      <c r="B119" s="289">
        <v>1</v>
      </c>
      <c r="C119" s="289"/>
      <c r="D119" s="289"/>
      <c r="E119" s="289"/>
    </row>
    <row r="120" spans="1:5">
      <c r="A120" t="s">
        <v>795</v>
      </c>
      <c r="B120" s="289">
        <v>1</v>
      </c>
      <c r="C120" s="289"/>
      <c r="D120" s="289"/>
      <c r="E120" s="289"/>
    </row>
    <row r="121" spans="1:5">
      <c r="A121" t="s">
        <v>796</v>
      </c>
      <c r="B121" s="289">
        <v>1</v>
      </c>
      <c r="C121" s="289"/>
      <c r="D121" s="289"/>
      <c r="E121" s="289"/>
    </row>
    <row r="122" spans="1:5">
      <c r="A122" t="s">
        <v>797</v>
      </c>
      <c r="B122" s="289">
        <v>1</v>
      </c>
      <c r="C122" s="289"/>
      <c r="D122" s="289"/>
      <c r="E122" s="289"/>
    </row>
    <row r="123" spans="1:5">
      <c r="A123" t="s">
        <v>798</v>
      </c>
      <c r="B123" s="289">
        <v>1</v>
      </c>
      <c r="C123" s="289"/>
      <c r="D123" s="289"/>
      <c r="E123" s="289"/>
    </row>
    <row r="124" spans="1:5">
      <c r="A124" t="s">
        <v>1990</v>
      </c>
      <c r="B124" s="289">
        <v>7</v>
      </c>
      <c r="C124" s="175">
        <v>45593</v>
      </c>
      <c r="D124" s="175">
        <v>45624</v>
      </c>
      <c r="E124" s="289"/>
    </row>
    <row r="125" spans="1:5">
      <c r="A125" t="s">
        <v>1991</v>
      </c>
      <c r="B125" s="289">
        <v>7</v>
      </c>
      <c r="C125" s="175">
        <v>45593</v>
      </c>
      <c r="D125" s="175">
        <v>45624</v>
      </c>
      <c r="E125" s="289"/>
    </row>
    <row r="126" spans="1:5">
      <c r="A126" t="s">
        <v>1992</v>
      </c>
      <c r="B126" s="289">
        <v>7</v>
      </c>
      <c r="C126" s="289"/>
      <c r="D126" s="175">
        <v>45624</v>
      </c>
      <c r="E126" s="289"/>
    </row>
    <row r="127" spans="1:5">
      <c r="A127" t="s">
        <v>1993</v>
      </c>
      <c r="B127" s="289">
        <v>7</v>
      </c>
      <c r="C127" s="175">
        <v>45593</v>
      </c>
      <c r="D127" s="175">
        <v>45624</v>
      </c>
      <c r="E127" s="289"/>
    </row>
    <row r="128" spans="1:5">
      <c r="A128" t="s">
        <v>799</v>
      </c>
      <c r="B128" s="289">
        <v>1</v>
      </c>
      <c r="C128" s="289"/>
      <c r="D128" s="289"/>
      <c r="E128" s="289"/>
    </row>
    <row r="129" spans="1:5">
      <c r="A129" t="s">
        <v>800</v>
      </c>
      <c r="B129" s="289">
        <v>1</v>
      </c>
      <c r="C129" s="289"/>
      <c r="D129" s="289"/>
      <c r="E129" s="289"/>
    </row>
    <row r="130" spans="1:5">
      <c r="A130" t="s">
        <v>801</v>
      </c>
      <c r="B130" s="289">
        <v>1</v>
      </c>
      <c r="C130" s="289"/>
      <c r="D130" s="289"/>
      <c r="E130" s="289"/>
    </row>
    <row r="131" spans="1:5">
      <c r="A131" t="s">
        <v>802</v>
      </c>
      <c r="B131" s="289">
        <v>1</v>
      </c>
      <c r="C131" s="289"/>
      <c r="D131" s="289"/>
      <c r="E131" s="289"/>
    </row>
    <row r="132" spans="1:5">
      <c r="A132" t="s">
        <v>803</v>
      </c>
      <c r="B132" s="289">
        <v>1</v>
      </c>
      <c r="C132" s="289"/>
      <c r="D132" s="289"/>
      <c r="E132" s="289"/>
    </row>
    <row r="133" spans="1:5">
      <c r="A133" t="s">
        <v>804</v>
      </c>
      <c r="B133" s="289">
        <v>1</v>
      </c>
      <c r="C133" s="289"/>
      <c r="D133" s="289"/>
      <c r="E133" s="289"/>
    </row>
    <row r="134" spans="1:5">
      <c r="A134" t="s">
        <v>805</v>
      </c>
      <c r="B134" s="289">
        <v>1</v>
      </c>
      <c r="C134" s="289"/>
      <c r="D134" s="289"/>
      <c r="E134" s="289"/>
    </row>
    <row r="135" spans="1:5">
      <c r="A135" t="s">
        <v>806</v>
      </c>
      <c r="B135" s="289">
        <v>1</v>
      </c>
      <c r="C135" s="289"/>
      <c r="D135" s="289"/>
      <c r="E135" s="289"/>
    </row>
    <row r="136" spans="1:5">
      <c r="A136" t="s">
        <v>807</v>
      </c>
      <c r="B136" s="289">
        <v>1</v>
      </c>
      <c r="C136" s="289"/>
      <c r="D136" s="289"/>
      <c r="E136" s="289"/>
    </row>
    <row r="137" spans="1:5">
      <c r="A137" t="s">
        <v>1994</v>
      </c>
      <c r="B137" s="289">
        <v>7</v>
      </c>
      <c r="C137" s="175">
        <v>45593</v>
      </c>
      <c r="D137" s="175">
        <v>45611</v>
      </c>
      <c r="E137" s="289"/>
    </row>
    <row r="138" spans="1:5">
      <c r="A138" t="s">
        <v>1995</v>
      </c>
      <c r="B138" s="289">
        <v>7</v>
      </c>
      <c r="C138" s="289"/>
      <c r="D138" s="175">
        <v>45611</v>
      </c>
      <c r="E138" s="289"/>
    </row>
    <row r="139" spans="1:5">
      <c r="A139" t="s">
        <v>1996</v>
      </c>
      <c r="B139" s="289">
        <v>7</v>
      </c>
      <c r="C139" s="289"/>
      <c r="D139" s="175">
        <v>45611</v>
      </c>
      <c r="E139" s="289"/>
    </row>
    <row r="140" spans="1:5">
      <c r="A140" t="s">
        <v>1997</v>
      </c>
      <c r="B140" s="289">
        <v>7</v>
      </c>
      <c r="C140" s="289"/>
      <c r="D140" s="175">
        <v>45611</v>
      </c>
      <c r="E140" s="289"/>
    </row>
    <row r="141" spans="1:5">
      <c r="A141" t="s">
        <v>1998</v>
      </c>
      <c r="B141" s="289">
        <v>7</v>
      </c>
      <c r="C141" s="289"/>
      <c r="D141" s="175">
        <v>45611</v>
      </c>
      <c r="E141" s="289"/>
    </row>
    <row r="142" spans="1:5">
      <c r="A142" t="s">
        <v>1999</v>
      </c>
      <c r="B142" s="289">
        <v>7</v>
      </c>
      <c r="C142" s="175">
        <v>45593</v>
      </c>
      <c r="D142" s="175">
        <v>45611</v>
      </c>
      <c r="E142" s="289"/>
    </row>
    <row r="143" spans="1:5">
      <c r="A143" t="s">
        <v>2000</v>
      </c>
      <c r="B143" s="289">
        <v>7</v>
      </c>
      <c r="C143" s="175">
        <v>45593</v>
      </c>
      <c r="D143" s="175">
        <v>45611</v>
      </c>
      <c r="E143" s="289"/>
    </row>
    <row r="144" spans="1:5">
      <c r="A144" t="s">
        <v>2001</v>
      </c>
      <c r="B144" s="289">
        <v>7</v>
      </c>
      <c r="C144" s="175">
        <v>45593</v>
      </c>
      <c r="D144" s="175">
        <v>45611</v>
      </c>
      <c r="E144" s="289"/>
    </row>
    <row r="145" spans="1:5">
      <c r="A145" t="s">
        <v>2002</v>
      </c>
      <c r="B145" s="289">
        <v>7</v>
      </c>
      <c r="C145" s="175">
        <v>45593</v>
      </c>
      <c r="D145" s="175">
        <v>45611</v>
      </c>
      <c r="E145" s="289"/>
    </row>
    <row r="146" spans="1:5">
      <c r="A146" t="s">
        <v>2003</v>
      </c>
      <c r="B146" s="289">
        <v>7</v>
      </c>
      <c r="C146" s="175">
        <v>45593</v>
      </c>
      <c r="D146" s="175">
        <v>45611</v>
      </c>
      <c r="E146" s="289"/>
    </row>
    <row r="147" spans="1:5">
      <c r="A147" t="s">
        <v>2004</v>
      </c>
      <c r="B147" s="289">
        <v>7</v>
      </c>
      <c r="C147" s="175">
        <v>45593</v>
      </c>
      <c r="D147" s="175">
        <v>45611</v>
      </c>
      <c r="E147" s="289"/>
    </row>
    <row r="148" spans="1:5">
      <c r="A148" t="s">
        <v>2005</v>
      </c>
      <c r="B148" s="289">
        <v>7</v>
      </c>
      <c r="C148" s="175">
        <v>45593</v>
      </c>
      <c r="D148" s="175">
        <v>45611</v>
      </c>
      <c r="E148" s="289"/>
    </row>
    <row r="149" spans="1:5">
      <c r="A149" t="s">
        <v>2006</v>
      </c>
      <c r="B149" s="289">
        <v>7</v>
      </c>
      <c r="C149" s="289"/>
      <c r="D149" s="175">
        <v>45611</v>
      </c>
      <c r="E149" s="289"/>
    </row>
    <row r="150" spans="1:5">
      <c r="A150" t="s">
        <v>2007</v>
      </c>
      <c r="B150" s="289">
        <v>7</v>
      </c>
      <c r="C150" s="175">
        <v>45593</v>
      </c>
      <c r="D150" s="175">
        <v>45611</v>
      </c>
      <c r="E150" s="289"/>
    </row>
    <row r="151" spans="1:5">
      <c r="A151" t="s">
        <v>2008</v>
      </c>
      <c r="B151" s="289">
        <v>7</v>
      </c>
      <c r="C151" s="175">
        <v>45593</v>
      </c>
      <c r="D151" s="175">
        <v>45611</v>
      </c>
      <c r="E151" s="289"/>
    </row>
    <row r="152" spans="1:5">
      <c r="A152" t="s">
        <v>808</v>
      </c>
      <c r="B152" s="289">
        <v>1</v>
      </c>
      <c r="C152" s="289"/>
      <c r="D152" s="175">
        <v>45603</v>
      </c>
      <c r="E152" s="289"/>
    </row>
    <row r="153" spans="1:5">
      <c r="A153" t="s">
        <v>809</v>
      </c>
      <c r="B153" s="289">
        <v>1</v>
      </c>
      <c r="C153" s="289"/>
      <c r="D153" s="175">
        <v>45603</v>
      </c>
      <c r="E153" s="289"/>
    </row>
    <row r="154" spans="1:5">
      <c r="A154" t="s">
        <v>810</v>
      </c>
      <c r="B154" s="289">
        <v>1</v>
      </c>
      <c r="C154" s="289"/>
      <c r="D154" s="175">
        <v>45603</v>
      </c>
      <c r="E154" s="289"/>
    </row>
    <row r="155" spans="1:5">
      <c r="A155" t="s">
        <v>811</v>
      </c>
      <c r="B155" s="289">
        <v>1</v>
      </c>
      <c r="C155" s="289"/>
      <c r="D155" s="175">
        <v>45603</v>
      </c>
      <c r="E155" s="289"/>
    </row>
    <row r="156" spans="1:5">
      <c r="A156" t="s">
        <v>812</v>
      </c>
      <c r="B156" s="289">
        <v>1</v>
      </c>
      <c r="C156" s="289"/>
      <c r="D156" s="175">
        <v>45603</v>
      </c>
      <c r="E156" s="289"/>
    </row>
    <row r="157" spans="1:5">
      <c r="A157" t="s">
        <v>813</v>
      </c>
      <c r="B157" s="289">
        <v>1</v>
      </c>
      <c r="C157" s="289"/>
      <c r="D157" s="175">
        <v>45603</v>
      </c>
      <c r="E157" s="289"/>
    </row>
    <row r="158" spans="1:5">
      <c r="A158" t="s">
        <v>814</v>
      </c>
      <c r="B158" s="289">
        <v>1</v>
      </c>
      <c r="C158" s="289"/>
      <c r="D158" s="175">
        <v>45603</v>
      </c>
      <c r="E158" s="289"/>
    </row>
    <row r="159" spans="1:5">
      <c r="A159" t="s">
        <v>815</v>
      </c>
      <c r="B159" s="289">
        <v>1</v>
      </c>
      <c r="C159" s="289"/>
      <c r="D159" s="175">
        <v>45603</v>
      </c>
      <c r="E159" s="289"/>
    </row>
    <row r="160" spans="1:5">
      <c r="A160" t="s">
        <v>816</v>
      </c>
      <c r="B160" s="289">
        <v>1</v>
      </c>
      <c r="C160" s="289"/>
      <c r="D160" s="175">
        <v>45603</v>
      </c>
      <c r="E160" s="175">
        <v>45534</v>
      </c>
    </row>
    <row r="161" spans="1:5">
      <c r="A161" t="s">
        <v>817</v>
      </c>
      <c r="B161" s="289">
        <v>1</v>
      </c>
      <c r="C161" s="289"/>
      <c r="D161" s="175">
        <v>45603</v>
      </c>
      <c r="E161" s="175">
        <v>45534</v>
      </c>
    </row>
    <row r="162" spans="1:5">
      <c r="A162" t="s">
        <v>818</v>
      </c>
      <c r="B162" s="289">
        <v>1</v>
      </c>
      <c r="C162" s="289"/>
      <c r="D162" s="175">
        <v>45603</v>
      </c>
      <c r="E162" s="175">
        <v>45534</v>
      </c>
    </row>
    <row r="163" spans="1:5">
      <c r="A163" t="s">
        <v>819</v>
      </c>
      <c r="B163" s="289">
        <v>0</v>
      </c>
      <c r="C163" s="289"/>
      <c r="D163" s="175">
        <v>45534</v>
      </c>
      <c r="E163" s="175">
        <v>45534</v>
      </c>
    </row>
    <row r="164" spans="1:5">
      <c r="A164" t="s">
        <v>820</v>
      </c>
      <c r="B164" s="289">
        <v>1</v>
      </c>
      <c r="C164" s="289"/>
      <c r="D164" s="175">
        <v>45603</v>
      </c>
      <c r="E164" s="175">
        <v>45534</v>
      </c>
    </row>
    <row r="165" spans="1:5">
      <c r="A165" t="s">
        <v>821</v>
      </c>
      <c r="B165" s="289">
        <v>1</v>
      </c>
      <c r="C165" s="289"/>
      <c r="D165" s="175">
        <v>45603</v>
      </c>
      <c r="E165" s="175">
        <v>45534</v>
      </c>
    </row>
    <row r="166" spans="1:5">
      <c r="A166" t="s">
        <v>822</v>
      </c>
      <c r="B166" s="289">
        <v>1</v>
      </c>
      <c r="C166" s="289"/>
      <c r="D166" s="175">
        <v>45603</v>
      </c>
      <c r="E166" s="175">
        <v>45534</v>
      </c>
    </row>
    <row r="167" spans="1:5">
      <c r="A167" t="s">
        <v>823</v>
      </c>
      <c r="B167" s="289">
        <v>1</v>
      </c>
      <c r="C167" s="289"/>
      <c r="D167" s="175">
        <v>45603</v>
      </c>
      <c r="E167" s="175">
        <v>45534</v>
      </c>
    </row>
    <row r="168" spans="1:5">
      <c r="A168" t="s">
        <v>824</v>
      </c>
      <c r="B168" s="289">
        <v>1</v>
      </c>
      <c r="C168" s="289"/>
      <c r="D168" s="175">
        <v>45603</v>
      </c>
      <c r="E168" s="175">
        <v>45534</v>
      </c>
    </row>
    <row r="169" spans="1:5">
      <c r="A169" t="s">
        <v>825</v>
      </c>
      <c r="B169" s="289">
        <v>1</v>
      </c>
      <c r="C169" s="289"/>
      <c r="D169" s="175">
        <v>45603</v>
      </c>
      <c r="E169" s="175">
        <v>45534</v>
      </c>
    </row>
    <row r="170" spans="1:5">
      <c r="A170" t="s">
        <v>826</v>
      </c>
      <c r="B170" s="289">
        <v>1</v>
      </c>
      <c r="C170" s="289"/>
      <c r="D170" s="175">
        <v>45603</v>
      </c>
      <c r="E170" s="175">
        <v>45534</v>
      </c>
    </row>
    <row r="171" spans="1:5">
      <c r="A171" t="s">
        <v>827</v>
      </c>
      <c r="B171" s="289">
        <v>1</v>
      </c>
      <c r="C171" s="289"/>
      <c r="D171" s="175">
        <v>45603</v>
      </c>
      <c r="E171" s="175">
        <v>45534</v>
      </c>
    </row>
    <row r="172" spans="1:5">
      <c r="A172" t="s">
        <v>828</v>
      </c>
      <c r="B172" s="289">
        <v>1</v>
      </c>
      <c r="C172" s="289"/>
      <c r="D172" s="175">
        <v>45603</v>
      </c>
      <c r="E172" s="175">
        <v>45534</v>
      </c>
    </row>
    <row r="173" spans="1:5">
      <c r="A173" t="s">
        <v>829</v>
      </c>
      <c r="B173" s="289">
        <v>1</v>
      </c>
      <c r="C173" s="289"/>
      <c r="D173" s="175">
        <v>45603</v>
      </c>
      <c r="E173" s="175">
        <v>45534</v>
      </c>
    </row>
    <row r="174" spans="1:5">
      <c r="A174" t="s">
        <v>830</v>
      </c>
      <c r="B174" s="289">
        <v>1</v>
      </c>
      <c r="C174" s="289"/>
      <c r="D174" s="175">
        <v>45603</v>
      </c>
      <c r="E174" s="175">
        <v>45534</v>
      </c>
    </row>
    <row r="175" spans="1:5">
      <c r="A175" t="s">
        <v>831</v>
      </c>
      <c r="B175" s="289">
        <v>1</v>
      </c>
      <c r="C175" s="289"/>
      <c r="D175" s="175">
        <v>45603</v>
      </c>
      <c r="E175" s="175">
        <v>45534</v>
      </c>
    </row>
    <row r="176" spans="1:5">
      <c r="A176" t="s">
        <v>832</v>
      </c>
      <c r="B176" s="289">
        <v>1</v>
      </c>
      <c r="C176" s="289"/>
      <c r="D176" s="175">
        <v>45603</v>
      </c>
      <c r="E176" s="175">
        <v>45534</v>
      </c>
    </row>
    <row r="177" spans="1:5">
      <c r="A177" t="s">
        <v>833</v>
      </c>
      <c r="B177" s="289">
        <v>1</v>
      </c>
      <c r="C177" s="289"/>
      <c r="D177" s="175">
        <v>45603</v>
      </c>
      <c r="E177" s="175">
        <v>45534</v>
      </c>
    </row>
    <row r="178" spans="1:5">
      <c r="A178" t="s">
        <v>834</v>
      </c>
      <c r="B178" s="289">
        <v>1</v>
      </c>
      <c r="C178" s="289"/>
      <c r="D178" s="175">
        <v>45603</v>
      </c>
      <c r="E178" s="175">
        <v>45534</v>
      </c>
    </row>
    <row r="179" spans="1:5">
      <c r="A179" t="s">
        <v>835</v>
      </c>
      <c r="B179" s="289">
        <v>1</v>
      </c>
      <c r="C179" s="289"/>
      <c r="D179" s="175">
        <v>45603</v>
      </c>
      <c r="E179" s="289"/>
    </row>
    <row r="180" spans="1:5">
      <c r="A180" t="s">
        <v>836</v>
      </c>
      <c r="B180" s="289">
        <v>0</v>
      </c>
      <c r="C180" s="289"/>
      <c r="D180" s="289"/>
      <c r="E180" s="289"/>
    </row>
    <row r="181" spans="1:5">
      <c r="A181" t="s">
        <v>837</v>
      </c>
      <c r="B181" s="289">
        <v>1</v>
      </c>
      <c r="C181" s="289"/>
      <c r="D181" s="175">
        <v>45603</v>
      </c>
      <c r="E181" s="289"/>
    </row>
    <row r="182" spans="1:5">
      <c r="A182" t="s">
        <v>838</v>
      </c>
      <c r="B182" s="289">
        <v>1</v>
      </c>
      <c r="C182" s="289"/>
      <c r="D182" s="175">
        <v>45603</v>
      </c>
      <c r="E182" s="289"/>
    </row>
    <row r="183" spans="1:5">
      <c r="A183" t="s">
        <v>839</v>
      </c>
      <c r="B183" s="289">
        <v>1</v>
      </c>
      <c r="C183" s="289"/>
      <c r="D183" s="175">
        <v>45603</v>
      </c>
      <c r="E183" s="289"/>
    </row>
    <row r="184" spans="1:5">
      <c r="A184" t="s">
        <v>840</v>
      </c>
      <c r="B184" s="289">
        <v>0</v>
      </c>
      <c r="C184" s="289"/>
      <c r="D184" s="289"/>
      <c r="E184" s="289"/>
    </row>
    <row r="185" spans="1:5">
      <c r="A185" t="s">
        <v>841</v>
      </c>
      <c r="B185" s="289">
        <v>1</v>
      </c>
      <c r="C185" s="289"/>
      <c r="D185" s="175">
        <v>45603</v>
      </c>
      <c r="E185" s="289"/>
    </row>
    <row r="186" spans="1:5">
      <c r="A186" t="s">
        <v>842</v>
      </c>
      <c r="B186" s="289">
        <v>1</v>
      </c>
      <c r="C186" s="289"/>
      <c r="D186" s="175">
        <v>45603</v>
      </c>
      <c r="E186" s="289"/>
    </row>
    <row r="187" spans="1:5">
      <c r="A187" t="s">
        <v>843</v>
      </c>
      <c r="B187" s="289">
        <v>1</v>
      </c>
      <c r="C187" s="289"/>
      <c r="D187" s="175">
        <v>45603</v>
      </c>
      <c r="E187" s="289"/>
    </row>
    <row r="188" spans="1:5">
      <c r="A188" t="s">
        <v>844</v>
      </c>
      <c r="B188" s="289">
        <v>0</v>
      </c>
      <c r="C188" s="289"/>
      <c r="D188" s="289"/>
      <c r="E188" s="289"/>
    </row>
    <row r="189" spans="1:5">
      <c r="A189" t="s">
        <v>845</v>
      </c>
      <c r="B189" s="289">
        <v>1</v>
      </c>
      <c r="C189" s="289"/>
      <c r="D189" s="175">
        <v>45603</v>
      </c>
      <c r="E189" s="289"/>
    </row>
    <row r="190" spans="1:5">
      <c r="A190" t="s">
        <v>846</v>
      </c>
      <c r="B190" s="289">
        <v>1</v>
      </c>
      <c r="C190" s="289"/>
      <c r="D190" s="175">
        <v>45603</v>
      </c>
      <c r="E190" s="289"/>
    </row>
    <row r="191" spans="1:5">
      <c r="A191" t="s">
        <v>847</v>
      </c>
      <c r="B191" s="289">
        <v>1</v>
      </c>
      <c r="C191" s="289"/>
      <c r="D191" s="175">
        <v>45603</v>
      </c>
      <c r="E191" s="289"/>
    </row>
    <row r="192" spans="1:5">
      <c r="A192" t="s">
        <v>848</v>
      </c>
      <c r="B192" s="289">
        <v>1</v>
      </c>
      <c r="C192" s="289"/>
      <c r="D192" s="175">
        <v>45603</v>
      </c>
      <c r="E192" s="289"/>
    </row>
    <row r="193" spans="1:5">
      <c r="A193" t="s">
        <v>849</v>
      </c>
      <c r="B193" s="289">
        <v>1</v>
      </c>
      <c r="C193" s="289"/>
      <c r="D193" s="175">
        <v>45603</v>
      </c>
      <c r="E193" s="289"/>
    </row>
    <row r="194" spans="1:5">
      <c r="A194" t="s">
        <v>850</v>
      </c>
      <c r="B194" s="289">
        <v>1</v>
      </c>
      <c r="C194" s="289"/>
      <c r="D194" s="175">
        <v>45603</v>
      </c>
      <c r="E194" s="289"/>
    </row>
    <row r="195" spans="1:5">
      <c r="A195" t="s">
        <v>851</v>
      </c>
      <c r="B195" s="289">
        <v>0</v>
      </c>
      <c r="C195" s="289"/>
      <c r="D195" s="289"/>
      <c r="E195" s="289"/>
    </row>
    <row r="196" spans="1:5">
      <c r="A196" t="s">
        <v>852</v>
      </c>
      <c r="B196" s="289">
        <v>0</v>
      </c>
      <c r="C196" s="289"/>
      <c r="D196" s="289"/>
      <c r="E196" s="289"/>
    </row>
    <row r="197" spans="1:5">
      <c r="A197" t="s">
        <v>853</v>
      </c>
      <c r="B197" s="289">
        <v>0</v>
      </c>
      <c r="C197" s="289"/>
      <c r="D197" s="289"/>
      <c r="E197" s="289"/>
    </row>
    <row r="198" spans="1:5">
      <c r="A198" t="s">
        <v>854</v>
      </c>
      <c r="B198" s="289">
        <v>1</v>
      </c>
      <c r="C198" s="289"/>
      <c r="D198" s="175">
        <v>45603</v>
      </c>
      <c r="E198" s="289"/>
    </row>
    <row r="199" spans="1:5">
      <c r="A199" t="s">
        <v>855</v>
      </c>
      <c r="B199" s="289">
        <v>1</v>
      </c>
      <c r="C199" s="289"/>
      <c r="D199" s="175">
        <v>45603</v>
      </c>
      <c r="E199" s="289"/>
    </row>
    <row r="200" spans="1:5">
      <c r="A200" t="s">
        <v>856</v>
      </c>
      <c r="B200" s="289">
        <v>0</v>
      </c>
      <c r="C200" s="289"/>
      <c r="D200" s="289"/>
      <c r="E200" s="289"/>
    </row>
    <row r="201" spans="1:5">
      <c r="A201" t="s">
        <v>857</v>
      </c>
      <c r="B201" s="289">
        <v>1</v>
      </c>
      <c r="C201" s="289"/>
      <c r="D201" s="175">
        <v>45603</v>
      </c>
      <c r="E201" s="289"/>
    </row>
    <row r="202" spans="1:5">
      <c r="A202" t="s">
        <v>858</v>
      </c>
      <c r="B202" s="289">
        <v>1</v>
      </c>
      <c r="C202" s="289"/>
      <c r="D202" s="175">
        <v>45603</v>
      </c>
      <c r="E202" s="289"/>
    </row>
    <row r="203" spans="1:5">
      <c r="A203" t="s">
        <v>859</v>
      </c>
      <c r="B203" s="289">
        <v>1</v>
      </c>
      <c r="C203" s="289"/>
      <c r="D203" s="175">
        <v>45603</v>
      </c>
      <c r="E203" s="289"/>
    </row>
    <row r="204" spans="1:5">
      <c r="A204" t="s">
        <v>860</v>
      </c>
      <c r="B204" s="289">
        <v>1</v>
      </c>
      <c r="C204" s="289"/>
      <c r="D204" s="175">
        <v>45603</v>
      </c>
      <c r="E204" s="289"/>
    </row>
    <row r="205" spans="1:5">
      <c r="A205" t="s">
        <v>861</v>
      </c>
      <c r="B205" s="289">
        <v>1</v>
      </c>
      <c r="C205" s="289"/>
      <c r="D205" s="175">
        <v>45603</v>
      </c>
      <c r="E205" s="289"/>
    </row>
    <row r="206" spans="1:5">
      <c r="A206" t="s">
        <v>862</v>
      </c>
      <c r="B206" s="289">
        <v>1</v>
      </c>
      <c r="C206" s="289"/>
      <c r="D206" s="175">
        <v>45603</v>
      </c>
      <c r="E206" s="289"/>
    </row>
    <row r="207" spans="1:5">
      <c r="A207" t="s">
        <v>863</v>
      </c>
      <c r="B207" s="289">
        <v>1</v>
      </c>
      <c r="C207" s="289"/>
      <c r="D207" s="175">
        <v>45603</v>
      </c>
      <c r="E207" s="289"/>
    </row>
    <row r="208" spans="1:5">
      <c r="A208" t="s">
        <v>864</v>
      </c>
      <c r="B208" s="289">
        <v>1</v>
      </c>
      <c r="C208" s="289"/>
      <c r="D208" s="175">
        <v>45603</v>
      </c>
      <c r="E208" s="289"/>
    </row>
    <row r="209" spans="1:5">
      <c r="A209" t="s">
        <v>865</v>
      </c>
      <c r="B209" s="289">
        <v>1</v>
      </c>
      <c r="C209" s="289"/>
      <c r="D209" s="175">
        <v>45603</v>
      </c>
      <c r="E209" s="289"/>
    </row>
    <row r="210" spans="1:5">
      <c r="A210" t="s">
        <v>866</v>
      </c>
      <c r="B210" s="289">
        <v>1</v>
      </c>
      <c r="C210" s="289"/>
      <c r="D210" s="175">
        <v>45603</v>
      </c>
      <c r="E210" s="289"/>
    </row>
    <row r="211" spans="1:5">
      <c r="A211" t="s">
        <v>867</v>
      </c>
      <c r="B211" s="289">
        <v>1</v>
      </c>
      <c r="C211" s="289"/>
      <c r="D211" s="175">
        <v>45603</v>
      </c>
      <c r="E211" s="289"/>
    </row>
    <row r="212" spans="1:5">
      <c r="A212" t="s">
        <v>868</v>
      </c>
      <c r="B212" s="289">
        <v>1</v>
      </c>
      <c r="C212" s="289"/>
      <c r="D212" s="175">
        <v>45603</v>
      </c>
      <c r="E212" s="289"/>
    </row>
    <row r="213" spans="1:5">
      <c r="A213" t="s">
        <v>869</v>
      </c>
      <c r="B213" s="289">
        <v>1</v>
      </c>
      <c r="C213" s="289"/>
      <c r="D213" s="175">
        <v>45603</v>
      </c>
      <c r="E213" s="289"/>
    </row>
    <row r="214" spans="1:5">
      <c r="A214" t="s">
        <v>870</v>
      </c>
      <c r="B214" s="289">
        <v>1</v>
      </c>
      <c r="C214" s="289"/>
      <c r="D214" s="175">
        <v>45603</v>
      </c>
      <c r="E214" s="289"/>
    </row>
    <row r="215" spans="1:5">
      <c r="A215" t="s">
        <v>871</v>
      </c>
      <c r="B215" s="289">
        <v>1</v>
      </c>
      <c r="C215" s="289"/>
      <c r="D215" s="175">
        <v>45603</v>
      </c>
      <c r="E215" s="289"/>
    </row>
    <row r="216" spans="1:5">
      <c r="A216" t="s">
        <v>872</v>
      </c>
      <c r="B216" s="289">
        <v>1</v>
      </c>
      <c r="C216" s="175">
        <v>45491</v>
      </c>
      <c r="D216" s="175">
        <v>45603</v>
      </c>
      <c r="E216" s="175">
        <v>45499</v>
      </c>
    </row>
    <row r="217" spans="1:5">
      <c r="A217" t="s">
        <v>873</v>
      </c>
      <c r="B217" s="289">
        <v>1</v>
      </c>
      <c r="C217" s="175">
        <v>45491</v>
      </c>
      <c r="D217" s="175">
        <v>45603</v>
      </c>
      <c r="E217" s="175">
        <v>45499</v>
      </c>
    </row>
    <row r="218" spans="1:5">
      <c r="A218" t="s">
        <v>874</v>
      </c>
      <c r="B218" s="289">
        <v>1</v>
      </c>
      <c r="C218" s="289"/>
      <c r="D218" s="175">
        <v>45603</v>
      </c>
      <c r="E218" s="289"/>
    </row>
    <row r="219" spans="1:5">
      <c r="A219" t="s">
        <v>875</v>
      </c>
      <c r="B219" s="289">
        <v>1</v>
      </c>
      <c r="C219" s="289"/>
      <c r="D219" s="175">
        <v>45603</v>
      </c>
      <c r="E219" s="175">
        <v>45534</v>
      </c>
    </row>
    <row r="220" spans="1:5">
      <c r="A220" t="s">
        <v>876</v>
      </c>
      <c r="B220" s="289">
        <v>1</v>
      </c>
      <c r="C220" s="289"/>
      <c r="D220" s="175">
        <v>45603</v>
      </c>
      <c r="E220" s="175">
        <v>45534</v>
      </c>
    </row>
    <row r="221" spans="1:5">
      <c r="A221" t="s">
        <v>877</v>
      </c>
      <c r="B221" s="289">
        <v>1</v>
      </c>
      <c r="C221" s="175">
        <v>45471</v>
      </c>
      <c r="D221" s="175">
        <v>45603</v>
      </c>
      <c r="E221" s="175">
        <v>45534</v>
      </c>
    </row>
    <row r="222" spans="1:5">
      <c r="A222" t="s">
        <v>878</v>
      </c>
      <c r="B222" s="289">
        <v>1</v>
      </c>
      <c r="C222" s="289"/>
      <c r="D222" s="175">
        <v>45603</v>
      </c>
      <c r="E222" s="175">
        <v>45534</v>
      </c>
    </row>
    <row r="223" spans="1:5">
      <c r="A223" t="s">
        <v>879</v>
      </c>
      <c r="B223" s="289">
        <v>1</v>
      </c>
      <c r="C223" s="289"/>
      <c r="D223" s="175">
        <v>45603</v>
      </c>
      <c r="E223" s="175">
        <v>45534</v>
      </c>
    </row>
    <row r="224" spans="1:5">
      <c r="A224" t="s">
        <v>880</v>
      </c>
      <c r="B224" s="289">
        <v>1</v>
      </c>
      <c r="C224" s="289"/>
      <c r="D224" s="175">
        <v>45603</v>
      </c>
      <c r="E224" s="175">
        <v>45534</v>
      </c>
    </row>
    <row r="225" spans="1:5">
      <c r="A225" t="s">
        <v>881</v>
      </c>
      <c r="B225" s="289">
        <v>1</v>
      </c>
      <c r="C225" s="289"/>
      <c r="D225" s="175">
        <v>45603</v>
      </c>
      <c r="E225" s="175">
        <v>45534</v>
      </c>
    </row>
    <row r="226" spans="1:5">
      <c r="A226" t="s">
        <v>882</v>
      </c>
      <c r="B226" s="289">
        <v>1</v>
      </c>
      <c r="C226" s="289"/>
      <c r="D226" s="175">
        <v>45603</v>
      </c>
      <c r="E226" s="175">
        <v>45534</v>
      </c>
    </row>
    <row r="227" spans="1:5">
      <c r="A227" t="s">
        <v>883</v>
      </c>
      <c r="B227" s="289">
        <v>1</v>
      </c>
      <c r="C227" s="289"/>
      <c r="D227" s="175">
        <v>45603</v>
      </c>
      <c r="E227" s="175">
        <v>45534</v>
      </c>
    </row>
    <row r="228" spans="1:5">
      <c r="A228" t="s">
        <v>884</v>
      </c>
      <c r="B228" s="289">
        <v>1</v>
      </c>
      <c r="C228" s="289"/>
      <c r="D228" s="175">
        <v>45603</v>
      </c>
      <c r="E228" s="175">
        <v>45534</v>
      </c>
    </row>
    <row r="229" spans="1:5">
      <c r="A229" t="s">
        <v>885</v>
      </c>
      <c r="B229" s="289">
        <v>1</v>
      </c>
      <c r="C229" s="289"/>
      <c r="D229" s="175">
        <v>45603</v>
      </c>
      <c r="E229" s="175">
        <v>45534</v>
      </c>
    </row>
    <row r="230" spans="1:5">
      <c r="A230" t="s">
        <v>886</v>
      </c>
      <c r="B230" s="289">
        <v>1</v>
      </c>
      <c r="C230" s="289"/>
      <c r="D230" s="175">
        <v>45603</v>
      </c>
      <c r="E230" s="175">
        <v>45534</v>
      </c>
    </row>
    <row r="231" spans="1:5">
      <c r="A231" t="s">
        <v>887</v>
      </c>
      <c r="B231" s="289">
        <v>1</v>
      </c>
      <c r="C231" s="289"/>
      <c r="D231" s="175">
        <v>45603</v>
      </c>
      <c r="E231" s="175">
        <v>45534</v>
      </c>
    </row>
    <row r="232" spans="1:5">
      <c r="A232" t="s">
        <v>888</v>
      </c>
      <c r="B232" s="289">
        <v>1</v>
      </c>
      <c r="C232" s="289"/>
      <c r="D232" s="175">
        <v>45603</v>
      </c>
      <c r="E232" s="175">
        <v>45534</v>
      </c>
    </row>
    <row r="233" spans="1:5">
      <c r="A233" t="s">
        <v>889</v>
      </c>
      <c r="B233" s="289">
        <v>1</v>
      </c>
      <c r="C233" s="289"/>
      <c r="D233" s="175">
        <v>45603</v>
      </c>
      <c r="E233" s="175">
        <v>45534</v>
      </c>
    </row>
    <row r="234" spans="1:5">
      <c r="A234" t="s">
        <v>890</v>
      </c>
      <c r="B234" s="289">
        <v>1</v>
      </c>
      <c r="C234" s="289"/>
      <c r="D234" s="175">
        <v>45603</v>
      </c>
      <c r="E234" s="175">
        <v>45534</v>
      </c>
    </row>
    <row r="235" spans="1:5">
      <c r="A235" t="s">
        <v>891</v>
      </c>
      <c r="B235" s="289">
        <v>1</v>
      </c>
      <c r="C235" s="289"/>
      <c r="D235" s="175">
        <v>45603</v>
      </c>
      <c r="E235" s="175">
        <v>45534</v>
      </c>
    </row>
    <row r="236" spans="1:5">
      <c r="A236" t="s">
        <v>892</v>
      </c>
      <c r="B236" s="289">
        <v>1</v>
      </c>
      <c r="C236" s="289"/>
      <c r="D236" s="175">
        <v>45603</v>
      </c>
      <c r="E236" s="175">
        <v>45534</v>
      </c>
    </row>
    <row r="237" spans="1:5">
      <c r="A237" t="s">
        <v>893</v>
      </c>
      <c r="B237" s="289">
        <v>1</v>
      </c>
      <c r="C237" s="289"/>
      <c r="D237" s="175">
        <v>45603</v>
      </c>
      <c r="E237" s="175">
        <v>45534</v>
      </c>
    </row>
    <row r="238" spans="1:5">
      <c r="A238" t="s">
        <v>894</v>
      </c>
      <c r="B238" s="289">
        <v>0</v>
      </c>
      <c r="C238" s="289"/>
      <c r="D238" s="289"/>
      <c r="E238" s="289"/>
    </row>
    <row r="239" spans="1:5">
      <c r="A239" t="s">
        <v>895</v>
      </c>
      <c r="B239" s="289">
        <v>0</v>
      </c>
      <c r="C239" s="289"/>
      <c r="D239" s="289"/>
      <c r="E239" s="289"/>
    </row>
    <row r="240" spans="1:5">
      <c r="A240" t="s">
        <v>896</v>
      </c>
      <c r="B240" s="289">
        <v>0</v>
      </c>
      <c r="C240" s="289"/>
      <c r="D240" s="289"/>
      <c r="E240" s="289"/>
    </row>
    <row r="241" spans="1:5">
      <c r="A241" t="s">
        <v>897</v>
      </c>
      <c r="B241" s="289">
        <v>1</v>
      </c>
      <c r="C241" s="289"/>
      <c r="D241" s="175">
        <v>45603</v>
      </c>
      <c r="E241" s="175">
        <v>45534</v>
      </c>
    </row>
    <row r="242" spans="1:5">
      <c r="A242" t="s">
        <v>898</v>
      </c>
      <c r="B242" s="289">
        <v>1</v>
      </c>
      <c r="C242" s="289"/>
      <c r="D242" s="175">
        <v>45603</v>
      </c>
      <c r="E242" s="175">
        <v>45534</v>
      </c>
    </row>
    <row r="243" spans="1:5">
      <c r="A243" t="s">
        <v>899</v>
      </c>
      <c r="B243" s="289">
        <v>1</v>
      </c>
      <c r="C243" s="289"/>
      <c r="D243" s="175">
        <v>45603</v>
      </c>
      <c r="E243" s="175">
        <v>45534</v>
      </c>
    </row>
    <row r="244" spans="1:5">
      <c r="A244" t="s">
        <v>900</v>
      </c>
      <c r="B244" s="289">
        <v>1</v>
      </c>
      <c r="C244" s="289"/>
      <c r="D244" s="175">
        <v>45603</v>
      </c>
      <c r="E244" s="175">
        <v>45534</v>
      </c>
    </row>
    <row r="245" spans="1:5">
      <c r="A245" t="s">
        <v>901</v>
      </c>
      <c r="B245" s="289">
        <v>1</v>
      </c>
      <c r="C245" s="289"/>
      <c r="D245" s="175">
        <v>45603</v>
      </c>
      <c r="E245" s="175">
        <v>45534</v>
      </c>
    </row>
    <row r="246" spans="1:5">
      <c r="A246" t="s">
        <v>902</v>
      </c>
      <c r="B246" s="289">
        <v>1</v>
      </c>
      <c r="C246" s="289"/>
      <c r="D246" s="175">
        <v>45603</v>
      </c>
      <c r="E246" s="175">
        <v>45534</v>
      </c>
    </row>
    <row r="247" spans="1:5">
      <c r="A247" t="s">
        <v>903</v>
      </c>
      <c r="B247" s="289">
        <v>1</v>
      </c>
      <c r="C247" s="289"/>
      <c r="D247" s="175">
        <v>45603</v>
      </c>
      <c r="E247" s="175">
        <v>45534</v>
      </c>
    </row>
    <row r="248" spans="1:5">
      <c r="A248" t="s">
        <v>904</v>
      </c>
      <c r="B248" s="289">
        <v>1</v>
      </c>
      <c r="C248" s="289"/>
      <c r="D248" s="175">
        <v>45603</v>
      </c>
      <c r="E248" s="175">
        <v>45534</v>
      </c>
    </row>
    <row r="249" spans="1:5">
      <c r="A249" t="s">
        <v>905</v>
      </c>
      <c r="B249" s="289">
        <v>1</v>
      </c>
      <c r="C249" s="289"/>
      <c r="D249" s="175">
        <v>45603</v>
      </c>
      <c r="E249" s="175">
        <v>45534</v>
      </c>
    </row>
    <row r="250" spans="1:5">
      <c r="A250" t="s">
        <v>906</v>
      </c>
      <c r="B250" s="289">
        <v>1</v>
      </c>
      <c r="C250" s="289"/>
      <c r="D250" s="175">
        <v>45603</v>
      </c>
      <c r="E250" s="175">
        <v>45534</v>
      </c>
    </row>
    <row r="251" spans="1:5">
      <c r="A251" t="s">
        <v>907</v>
      </c>
      <c r="B251" s="289">
        <v>1</v>
      </c>
      <c r="C251" s="289"/>
      <c r="D251" s="175">
        <v>45603</v>
      </c>
      <c r="E251" s="175">
        <v>45534</v>
      </c>
    </row>
    <row r="252" spans="1:5">
      <c r="A252" t="s">
        <v>908</v>
      </c>
      <c r="B252" s="289">
        <v>1</v>
      </c>
      <c r="C252" s="289"/>
      <c r="D252" s="175">
        <v>45603</v>
      </c>
      <c r="E252" s="175">
        <v>45534</v>
      </c>
    </row>
    <row r="253" spans="1:5">
      <c r="A253" t="s">
        <v>909</v>
      </c>
      <c r="B253" s="289">
        <v>1</v>
      </c>
      <c r="C253" s="289"/>
      <c r="D253" s="175">
        <v>45603</v>
      </c>
      <c r="E253" s="175">
        <v>45534</v>
      </c>
    </row>
    <row r="254" spans="1:5">
      <c r="A254" t="s">
        <v>910</v>
      </c>
      <c r="B254" s="289">
        <v>1</v>
      </c>
      <c r="C254" s="289"/>
      <c r="D254" s="175">
        <v>45603</v>
      </c>
      <c r="E254" s="175">
        <v>45534</v>
      </c>
    </row>
    <row r="255" spans="1:5">
      <c r="A255" t="s">
        <v>911</v>
      </c>
      <c r="B255" s="289">
        <v>1</v>
      </c>
      <c r="C255" s="289"/>
      <c r="D255" s="175">
        <v>45603</v>
      </c>
      <c r="E255" s="175">
        <v>45534</v>
      </c>
    </row>
    <row r="256" spans="1:5">
      <c r="A256" t="s">
        <v>912</v>
      </c>
      <c r="B256" s="289">
        <v>1</v>
      </c>
      <c r="C256" s="289"/>
      <c r="D256" s="175">
        <v>45603</v>
      </c>
      <c r="E256" s="175">
        <v>45534</v>
      </c>
    </row>
    <row r="257" spans="1:5">
      <c r="A257" t="s">
        <v>913</v>
      </c>
      <c r="B257" s="289">
        <v>1</v>
      </c>
      <c r="C257" s="289"/>
      <c r="D257" s="175">
        <v>45603</v>
      </c>
      <c r="E257" s="175">
        <v>45534</v>
      </c>
    </row>
    <row r="258" spans="1:5">
      <c r="A258" t="s">
        <v>914</v>
      </c>
      <c r="B258" s="289">
        <v>1</v>
      </c>
      <c r="C258" s="289"/>
      <c r="D258" s="175">
        <v>45603</v>
      </c>
      <c r="E258" s="175">
        <v>45534</v>
      </c>
    </row>
    <row r="259" spans="1:5">
      <c r="A259" t="s">
        <v>915</v>
      </c>
      <c r="B259" s="289">
        <v>1</v>
      </c>
      <c r="C259" s="289"/>
      <c r="D259" s="175">
        <v>45603</v>
      </c>
      <c r="E259" s="175">
        <v>45534</v>
      </c>
    </row>
    <row r="260" spans="1:5">
      <c r="A260" t="s">
        <v>916</v>
      </c>
      <c r="B260" s="289">
        <v>1</v>
      </c>
      <c r="C260" s="289"/>
      <c r="D260" s="175">
        <v>45603</v>
      </c>
      <c r="E260" s="175">
        <v>45534</v>
      </c>
    </row>
    <row r="261" spans="1:5">
      <c r="A261" t="s">
        <v>917</v>
      </c>
      <c r="B261" s="289">
        <v>1</v>
      </c>
      <c r="C261" s="289"/>
      <c r="D261" s="175">
        <v>45603</v>
      </c>
      <c r="E261" s="175">
        <v>45534</v>
      </c>
    </row>
    <row r="262" spans="1:5">
      <c r="A262" t="s">
        <v>918</v>
      </c>
      <c r="B262" s="289">
        <v>1</v>
      </c>
      <c r="C262" s="289"/>
      <c r="D262" s="175">
        <v>45603</v>
      </c>
      <c r="E262" s="175">
        <v>45534</v>
      </c>
    </row>
    <row r="263" spans="1:5">
      <c r="A263" t="s">
        <v>919</v>
      </c>
      <c r="B263" s="289">
        <v>1</v>
      </c>
      <c r="C263" s="289"/>
      <c r="D263" s="175">
        <v>45603</v>
      </c>
      <c r="E263" s="175">
        <v>45534</v>
      </c>
    </row>
    <row r="264" spans="1:5">
      <c r="A264" t="s">
        <v>920</v>
      </c>
      <c r="B264" s="289">
        <v>1</v>
      </c>
      <c r="C264" s="289"/>
      <c r="D264" s="175">
        <v>45603</v>
      </c>
      <c r="E264" s="175">
        <v>45534</v>
      </c>
    </row>
    <row r="265" spans="1:5">
      <c r="A265" t="s">
        <v>921</v>
      </c>
      <c r="B265" s="289">
        <v>1</v>
      </c>
      <c r="C265" s="289"/>
      <c r="D265" s="175">
        <v>45603</v>
      </c>
      <c r="E265" s="175">
        <v>45534</v>
      </c>
    </row>
    <row r="266" spans="1:5">
      <c r="A266" t="s">
        <v>922</v>
      </c>
      <c r="B266" s="289">
        <v>1</v>
      </c>
      <c r="C266" s="289"/>
      <c r="D266" s="175">
        <v>45603</v>
      </c>
      <c r="E266" s="175">
        <v>45534</v>
      </c>
    </row>
    <row r="267" spans="1:5">
      <c r="A267" t="s">
        <v>923</v>
      </c>
      <c r="B267" s="289">
        <v>1</v>
      </c>
      <c r="C267" s="289"/>
      <c r="D267" s="175">
        <v>45603</v>
      </c>
      <c r="E267" s="175">
        <v>45534</v>
      </c>
    </row>
    <row r="268" spans="1:5">
      <c r="A268" t="s">
        <v>924</v>
      </c>
      <c r="B268" s="289">
        <v>1</v>
      </c>
      <c r="C268" s="289"/>
      <c r="D268" s="175">
        <v>45603</v>
      </c>
      <c r="E268" s="175">
        <v>45534</v>
      </c>
    </row>
    <row r="269" spans="1:5">
      <c r="A269" t="s">
        <v>925</v>
      </c>
      <c r="B269" s="289">
        <v>1</v>
      </c>
      <c r="C269" s="289"/>
      <c r="D269" s="175">
        <v>45603</v>
      </c>
      <c r="E269" s="175">
        <v>45534</v>
      </c>
    </row>
    <row r="270" spans="1:5">
      <c r="A270" t="s">
        <v>926</v>
      </c>
      <c r="B270" s="289">
        <v>1</v>
      </c>
      <c r="C270" s="289"/>
      <c r="D270" s="175">
        <v>45603</v>
      </c>
      <c r="E270" s="175">
        <v>45534</v>
      </c>
    </row>
    <row r="271" spans="1:5">
      <c r="A271" t="s">
        <v>927</v>
      </c>
      <c r="B271" s="289">
        <v>1</v>
      </c>
      <c r="C271" s="289"/>
      <c r="D271" s="175">
        <v>45603</v>
      </c>
      <c r="E271" s="175">
        <v>45534</v>
      </c>
    </row>
    <row r="272" spans="1:5">
      <c r="A272" t="s">
        <v>928</v>
      </c>
      <c r="B272" s="289">
        <v>1</v>
      </c>
      <c r="C272" s="289"/>
      <c r="D272" s="175">
        <v>45603</v>
      </c>
      <c r="E272" s="175">
        <v>45534</v>
      </c>
    </row>
    <row r="273" spans="1:5">
      <c r="A273" t="s">
        <v>929</v>
      </c>
      <c r="B273" s="289">
        <v>1</v>
      </c>
      <c r="C273" s="289"/>
      <c r="D273" s="175">
        <v>45603</v>
      </c>
      <c r="E273" s="175">
        <v>45534</v>
      </c>
    </row>
    <row r="274" spans="1:5">
      <c r="A274" t="s">
        <v>930</v>
      </c>
      <c r="B274" s="289">
        <v>1</v>
      </c>
      <c r="C274" s="289"/>
      <c r="D274" s="175">
        <v>45603</v>
      </c>
      <c r="E274" s="175">
        <v>45534</v>
      </c>
    </row>
    <row r="275" spans="1:5">
      <c r="A275" t="s">
        <v>931</v>
      </c>
      <c r="B275" s="289">
        <v>1</v>
      </c>
      <c r="C275" s="289"/>
      <c r="D275" s="175">
        <v>45603</v>
      </c>
      <c r="E275" s="175">
        <v>45534</v>
      </c>
    </row>
    <row r="276" spans="1:5">
      <c r="A276" t="s">
        <v>932</v>
      </c>
      <c r="B276" s="289">
        <v>1</v>
      </c>
      <c r="C276" s="289"/>
      <c r="D276" s="175">
        <v>45603</v>
      </c>
      <c r="E276" s="175">
        <v>45534</v>
      </c>
    </row>
    <row r="277" spans="1:5">
      <c r="A277" t="s">
        <v>933</v>
      </c>
      <c r="B277" s="289">
        <v>1</v>
      </c>
      <c r="C277" s="289"/>
      <c r="D277" s="175">
        <v>45603</v>
      </c>
      <c r="E277" s="175">
        <v>45534</v>
      </c>
    </row>
    <row r="278" spans="1:5">
      <c r="A278" t="s">
        <v>934</v>
      </c>
      <c r="B278" s="289">
        <v>1</v>
      </c>
      <c r="C278" s="289"/>
      <c r="D278" s="175">
        <v>45603</v>
      </c>
      <c r="E278" s="175">
        <v>45534</v>
      </c>
    </row>
    <row r="279" spans="1:5">
      <c r="A279" t="s">
        <v>935</v>
      </c>
      <c r="B279" s="289">
        <v>1</v>
      </c>
      <c r="C279" s="289"/>
      <c r="D279" s="175">
        <v>45603</v>
      </c>
      <c r="E279" s="175">
        <v>45534</v>
      </c>
    </row>
    <row r="280" spans="1:5">
      <c r="A280" t="s">
        <v>936</v>
      </c>
      <c r="B280" s="289">
        <v>1</v>
      </c>
      <c r="C280" s="289"/>
      <c r="D280" s="175">
        <v>45603</v>
      </c>
      <c r="E280" s="175">
        <v>45534</v>
      </c>
    </row>
    <row r="281" spans="1:5">
      <c r="A281" t="s">
        <v>937</v>
      </c>
      <c r="B281" s="289">
        <v>1</v>
      </c>
      <c r="C281" s="289"/>
      <c r="D281" s="175">
        <v>45603</v>
      </c>
      <c r="E281" s="175">
        <v>45534</v>
      </c>
    </row>
    <row r="282" spans="1:5">
      <c r="A282" t="s">
        <v>938</v>
      </c>
      <c r="B282" s="289">
        <v>1</v>
      </c>
      <c r="C282" s="289"/>
      <c r="D282" s="175">
        <v>45603</v>
      </c>
      <c r="E282" s="175">
        <v>45534</v>
      </c>
    </row>
    <row r="283" spans="1:5">
      <c r="A283" t="s">
        <v>939</v>
      </c>
      <c r="B283" s="289">
        <v>1</v>
      </c>
      <c r="C283" s="289"/>
      <c r="D283" s="175">
        <v>45603</v>
      </c>
      <c r="E283" s="175">
        <v>45534</v>
      </c>
    </row>
    <row r="284" spans="1:5">
      <c r="A284" t="s">
        <v>940</v>
      </c>
      <c r="B284" s="289">
        <v>1</v>
      </c>
      <c r="C284" s="289"/>
      <c r="D284" s="175">
        <v>45603</v>
      </c>
      <c r="E284" s="175">
        <v>45534</v>
      </c>
    </row>
    <row r="285" spans="1:5">
      <c r="A285" t="s">
        <v>941</v>
      </c>
      <c r="B285" s="289">
        <v>1</v>
      </c>
      <c r="C285" s="289"/>
      <c r="D285" s="175">
        <v>45603</v>
      </c>
      <c r="E285" s="175">
        <v>45534</v>
      </c>
    </row>
    <row r="286" spans="1:5">
      <c r="A286" t="s">
        <v>942</v>
      </c>
      <c r="B286" s="289">
        <v>1</v>
      </c>
      <c r="C286" s="289"/>
      <c r="D286" s="175">
        <v>45603</v>
      </c>
      <c r="E286" s="175">
        <v>45534</v>
      </c>
    </row>
    <row r="287" spans="1:5">
      <c r="A287" t="s">
        <v>943</v>
      </c>
      <c r="B287" s="289">
        <v>1</v>
      </c>
      <c r="C287" s="289"/>
      <c r="D287" s="175">
        <v>45603</v>
      </c>
      <c r="E287" s="175">
        <v>45534</v>
      </c>
    </row>
    <row r="288" spans="1:5">
      <c r="A288" t="s">
        <v>944</v>
      </c>
      <c r="B288" s="289">
        <v>1</v>
      </c>
      <c r="C288" s="289"/>
      <c r="D288" s="175">
        <v>45603</v>
      </c>
      <c r="E288" s="175">
        <v>45534</v>
      </c>
    </row>
    <row r="289" spans="1:5">
      <c r="A289" t="s">
        <v>945</v>
      </c>
      <c r="B289" s="289">
        <v>1</v>
      </c>
      <c r="C289" s="289"/>
      <c r="D289" s="175">
        <v>45603</v>
      </c>
      <c r="E289" s="289"/>
    </row>
    <row r="290" spans="1:5">
      <c r="A290" t="s">
        <v>946</v>
      </c>
      <c r="B290" s="289">
        <v>1</v>
      </c>
      <c r="C290" s="289"/>
      <c r="D290" s="175">
        <v>45603</v>
      </c>
      <c r="E290" s="289"/>
    </row>
    <row r="291" spans="1:5">
      <c r="A291" t="s">
        <v>947</v>
      </c>
      <c r="B291" s="289">
        <v>1</v>
      </c>
      <c r="C291" s="289"/>
      <c r="D291" s="175">
        <v>45603</v>
      </c>
      <c r="E291" s="289"/>
    </row>
    <row r="292" spans="1:5">
      <c r="A292" t="s">
        <v>948</v>
      </c>
      <c r="B292" s="289">
        <v>1</v>
      </c>
      <c r="C292" s="289"/>
      <c r="D292" s="175">
        <v>45603</v>
      </c>
      <c r="E292" s="289"/>
    </row>
    <row r="293" spans="1:5">
      <c r="A293" t="s">
        <v>949</v>
      </c>
      <c r="B293" s="289">
        <v>1</v>
      </c>
      <c r="C293" s="289"/>
      <c r="D293" s="175">
        <v>45603</v>
      </c>
      <c r="E293" s="289"/>
    </row>
    <row r="294" spans="1:5">
      <c r="A294" t="s">
        <v>950</v>
      </c>
      <c r="B294" s="289">
        <v>1</v>
      </c>
      <c r="C294" s="289"/>
      <c r="D294" s="175">
        <v>45603</v>
      </c>
      <c r="E294" s="289"/>
    </row>
    <row r="295" spans="1:5">
      <c r="A295" t="s">
        <v>951</v>
      </c>
      <c r="B295" s="289">
        <v>1</v>
      </c>
      <c r="C295" s="289"/>
      <c r="D295" s="175">
        <v>45603</v>
      </c>
      <c r="E295" s="289"/>
    </row>
    <row r="296" spans="1:5">
      <c r="A296" t="s">
        <v>952</v>
      </c>
      <c r="B296" s="289">
        <v>1</v>
      </c>
      <c r="C296" s="289"/>
      <c r="D296" s="289"/>
      <c r="E296" s="289"/>
    </row>
    <row r="297" spans="1:5">
      <c r="A297" t="s">
        <v>953</v>
      </c>
      <c r="B297" s="289">
        <v>1</v>
      </c>
      <c r="C297" s="289"/>
      <c r="D297" s="289"/>
      <c r="E297" s="289"/>
    </row>
    <row r="298" spans="1:5">
      <c r="A298" t="s">
        <v>954</v>
      </c>
      <c r="B298" s="289">
        <v>1</v>
      </c>
      <c r="C298" s="289"/>
      <c r="D298" s="289"/>
      <c r="E298" s="289"/>
    </row>
    <row r="299" spans="1:5">
      <c r="A299" t="s">
        <v>955</v>
      </c>
      <c r="B299" s="289">
        <v>1</v>
      </c>
      <c r="C299" s="289"/>
      <c r="D299" s="289"/>
      <c r="E299" s="289"/>
    </row>
    <row r="300" spans="1:5">
      <c r="A300" t="s">
        <v>956</v>
      </c>
      <c r="B300" s="289">
        <v>7</v>
      </c>
      <c r="C300" s="175">
        <v>45569</v>
      </c>
      <c r="D300" s="175">
        <v>45621</v>
      </c>
      <c r="E300" s="289"/>
    </row>
    <row r="301" spans="1:5">
      <c r="A301" t="s">
        <v>957</v>
      </c>
      <c r="B301" s="289">
        <v>7</v>
      </c>
      <c r="C301" s="175">
        <v>45569</v>
      </c>
      <c r="D301" s="175">
        <v>45621</v>
      </c>
      <c r="E301" s="289"/>
    </row>
    <row r="302" spans="1:5">
      <c r="A302" t="s">
        <v>958</v>
      </c>
      <c r="B302" s="289">
        <v>1</v>
      </c>
      <c r="C302" s="289"/>
      <c r="D302" s="289"/>
      <c r="E302" s="289"/>
    </row>
    <row r="303" spans="1:5">
      <c r="A303" t="s">
        <v>959</v>
      </c>
      <c r="B303" s="289">
        <v>7</v>
      </c>
      <c r="C303" s="175">
        <v>45569</v>
      </c>
      <c r="D303" s="175">
        <v>45621</v>
      </c>
      <c r="E303" s="289"/>
    </row>
    <row r="304" spans="1:5">
      <c r="A304" t="s">
        <v>960</v>
      </c>
      <c r="B304" s="289">
        <v>7</v>
      </c>
      <c r="C304" s="175">
        <v>45569</v>
      </c>
      <c r="D304" s="175">
        <v>45621</v>
      </c>
      <c r="E304" s="289"/>
    </row>
    <row r="305" spans="1:5">
      <c r="A305" t="s">
        <v>961</v>
      </c>
      <c r="B305" s="289">
        <v>2</v>
      </c>
      <c r="C305" s="175">
        <v>45604</v>
      </c>
      <c r="D305" s="175">
        <v>45600</v>
      </c>
      <c r="E305" s="175">
        <v>45601</v>
      </c>
    </row>
    <row r="306" spans="1:5">
      <c r="A306" t="s">
        <v>962</v>
      </c>
      <c r="B306" s="289">
        <v>2</v>
      </c>
      <c r="C306" s="175">
        <v>45604</v>
      </c>
      <c r="D306" s="175">
        <v>45600</v>
      </c>
      <c r="E306" s="175">
        <v>45601</v>
      </c>
    </row>
    <row r="307" spans="1:5">
      <c r="A307" t="s">
        <v>963</v>
      </c>
      <c r="B307" s="289">
        <v>1</v>
      </c>
      <c r="C307" s="175">
        <v>45569</v>
      </c>
      <c r="D307" s="175">
        <v>45600</v>
      </c>
      <c r="E307" s="175">
        <v>45601</v>
      </c>
    </row>
    <row r="308" spans="1:5">
      <c r="A308" t="s">
        <v>964</v>
      </c>
      <c r="B308" s="289">
        <v>1</v>
      </c>
      <c r="C308" s="289"/>
      <c r="D308" s="289"/>
      <c r="E308" s="289"/>
    </row>
    <row r="309" spans="1:5">
      <c r="A309" t="s">
        <v>965</v>
      </c>
      <c r="B309" s="289">
        <v>2</v>
      </c>
      <c r="C309" s="175">
        <v>45604</v>
      </c>
      <c r="D309" s="175">
        <v>45600</v>
      </c>
      <c r="E309" s="175">
        <v>45601</v>
      </c>
    </row>
    <row r="310" spans="1:5">
      <c r="A310" t="s">
        <v>966</v>
      </c>
      <c r="B310" s="289">
        <v>2</v>
      </c>
      <c r="C310" s="175">
        <v>45604</v>
      </c>
      <c r="D310" s="175">
        <v>45600</v>
      </c>
      <c r="E310" s="175">
        <v>45601</v>
      </c>
    </row>
    <row r="311" spans="1:5">
      <c r="A311" t="s">
        <v>967</v>
      </c>
      <c r="B311" s="289">
        <v>1</v>
      </c>
      <c r="C311" s="289"/>
      <c r="D311" s="289"/>
      <c r="E311" s="289"/>
    </row>
    <row r="312" spans="1:5">
      <c r="A312" t="s">
        <v>968</v>
      </c>
      <c r="B312" s="289">
        <v>2</v>
      </c>
      <c r="C312" s="175">
        <v>45604</v>
      </c>
      <c r="D312" s="175">
        <v>45600</v>
      </c>
      <c r="E312" s="175">
        <v>45601</v>
      </c>
    </row>
    <row r="313" spans="1:5">
      <c r="A313" t="s">
        <v>969</v>
      </c>
      <c r="B313" s="289">
        <v>2</v>
      </c>
      <c r="C313" s="175">
        <v>45604</v>
      </c>
      <c r="D313" s="175">
        <v>45600</v>
      </c>
      <c r="E313" s="175">
        <v>45601</v>
      </c>
    </row>
    <row r="314" spans="1:5">
      <c r="A314" t="s">
        <v>970</v>
      </c>
      <c r="B314" s="289">
        <v>1</v>
      </c>
      <c r="C314" s="175">
        <v>45569</v>
      </c>
      <c r="D314" s="175">
        <v>45600</v>
      </c>
      <c r="E314" s="175">
        <v>45601</v>
      </c>
    </row>
    <row r="315" spans="1:5">
      <c r="A315" t="s">
        <v>971</v>
      </c>
      <c r="B315" s="289">
        <v>7</v>
      </c>
      <c r="C315" s="175">
        <v>45561</v>
      </c>
      <c r="D315" s="175">
        <v>45614</v>
      </c>
      <c r="E315" s="289"/>
    </row>
    <row r="316" spans="1:5">
      <c r="A316" t="s">
        <v>972</v>
      </c>
      <c r="B316" s="289">
        <v>7</v>
      </c>
      <c r="C316" s="175">
        <v>45561</v>
      </c>
      <c r="D316" s="175">
        <v>45614</v>
      </c>
      <c r="E316" s="289"/>
    </row>
    <row r="317" spans="1:5">
      <c r="A317" t="s">
        <v>973</v>
      </c>
      <c r="B317" s="289">
        <v>7</v>
      </c>
      <c r="C317" s="175">
        <v>45561</v>
      </c>
      <c r="D317" s="175">
        <v>45614</v>
      </c>
      <c r="E317" s="289"/>
    </row>
    <row r="318" spans="1:5">
      <c r="A318" t="s">
        <v>974</v>
      </c>
      <c r="B318" s="289">
        <v>7</v>
      </c>
      <c r="C318" s="175">
        <v>45561</v>
      </c>
      <c r="D318" s="175">
        <v>45614</v>
      </c>
      <c r="E318" s="289"/>
    </row>
    <row r="319" spans="1:5">
      <c r="A319" t="s">
        <v>975</v>
      </c>
      <c r="B319" s="289">
        <v>7</v>
      </c>
      <c r="C319" s="175">
        <v>45561</v>
      </c>
      <c r="D319" s="175">
        <v>45614</v>
      </c>
      <c r="E319" s="289"/>
    </row>
    <row r="320" spans="1:5">
      <c r="A320" t="s">
        <v>976</v>
      </c>
      <c r="B320" s="289">
        <v>7</v>
      </c>
      <c r="C320" s="175">
        <v>45561</v>
      </c>
      <c r="D320" s="175">
        <v>45614</v>
      </c>
      <c r="E320" s="289"/>
    </row>
    <row r="321" spans="1:5">
      <c r="A321" t="s">
        <v>977</v>
      </c>
      <c r="B321" s="289">
        <v>7</v>
      </c>
      <c r="C321" s="175">
        <v>45561</v>
      </c>
      <c r="D321" s="175">
        <v>45614</v>
      </c>
      <c r="E321" s="289"/>
    </row>
    <row r="322" spans="1:5">
      <c r="A322" t="s">
        <v>978</v>
      </c>
      <c r="B322" s="289">
        <v>7</v>
      </c>
      <c r="C322" s="175">
        <v>45561</v>
      </c>
      <c r="D322" s="175">
        <v>45614</v>
      </c>
      <c r="E322" s="289"/>
    </row>
    <row r="323" spans="1:5">
      <c r="A323" t="s">
        <v>979</v>
      </c>
      <c r="B323" s="289">
        <v>7</v>
      </c>
      <c r="C323" s="175">
        <v>45561</v>
      </c>
      <c r="D323" s="175">
        <v>45614</v>
      </c>
      <c r="E323" s="289"/>
    </row>
    <row r="324" spans="1:5">
      <c r="A324" t="s">
        <v>980</v>
      </c>
      <c r="B324" s="289">
        <v>7</v>
      </c>
      <c r="C324" s="175">
        <v>45561</v>
      </c>
      <c r="D324" s="175">
        <v>45614</v>
      </c>
      <c r="E324" s="289"/>
    </row>
    <row r="325" spans="1:5">
      <c r="A325" t="s">
        <v>981</v>
      </c>
      <c r="B325" s="289">
        <v>7</v>
      </c>
      <c r="C325" s="175">
        <v>45561</v>
      </c>
      <c r="D325" s="175">
        <v>45614</v>
      </c>
      <c r="E325" s="289"/>
    </row>
    <row r="326" spans="1:5">
      <c r="A326" t="s">
        <v>982</v>
      </c>
      <c r="B326" s="289">
        <v>7</v>
      </c>
      <c r="C326" s="175">
        <v>45561</v>
      </c>
      <c r="D326" s="175">
        <v>45614</v>
      </c>
      <c r="E326" s="289"/>
    </row>
    <row r="327" spans="1:5">
      <c r="A327" t="s">
        <v>983</v>
      </c>
      <c r="B327" s="289">
        <v>7</v>
      </c>
      <c r="C327" s="175">
        <v>45561</v>
      </c>
      <c r="D327" s="175">
        <v>45614</v>
      </c>
      <c r="E327" s="289"/>
    </row>
    <row r="328" spans="1:5">
      <c r="A328" t="s">
        <v>984</v>
      </c>
      <c r="B328" s="289">
        <v>7</v>
      </c>
      <c r="C328" s="175">
        <v>45561</v>
      </c>
      <c r="D328" s="175">
        <v>45614</v>
      </c>
      <c r="E328" s="289"/>
    </row>
    <row r="329" spans="1:5">
      <c r="A329" t="s">
        <v>985</v>
      </c>
      <c r="B329" s="289">
        <v>7</v>
      </c>
      <c r="C329" s="175">
        <v>45561</v>
      </c>
      <c r="D329" s="175">
        <v>45614</v>
      </c>
      <c r="E329" s="289"/>
    </row>
    <row r="330" spans="1:5">
      <c r="A330" t="s">
        <v>986</v>
      </c>
      <c r="B330" s="289">
        <v>7</v>
      </c>
      <c r="C330" s="175">
        <v>45553</v>
      </c>
      <c r="D330" s="175">
        <v>45614</v>
      </c>
      <c r="E330" s="289"/>
    </row>
    <row r="331" spans="1:5">
      <c r="A331" t="s">
        <v>987</v>
      </c>
      <c r="B331" s="289">
        <v>7</v>
      </c>
      <c r="C331" s="175">
        <v>45553</v>
      </c>
      <c r="D331" s="175">
        <v>45614</v>
      </c>
      <c r="E331" s="289"/>
    </row>
    <row r="332" spans="1:5">
      <c r="A332" t="s">
        <v>988</v>
      </c>
      <c r="B332" s="289">
        <v>7</v>
      </c>
      <c r="C332" s="175">
        <v>45569</v>
      </c>
      <c r="D332" s="175">
        <v>45624</v>
      </c>
      <c r="E332" s="289"/>
    </row>
    <row r="333" spans="1:5">
      <c r="A333" t="s">
        <v>989</v>
      </c>
      <c r="B333" s="289">
        <v>7</v>
      </c>
      <c r="C333" s="175">
        <v>45569</v>
      </c>
      <c r="D333" s="175">
        <v>45624</v>
      </c>
      <c r="E333" s="289"/>
    </row>
    <row r="334" spans="1:5">
      <c r="A334" t="s">
        <v>990</v>
      </c>
      <c r="B334" s="289">
        <v>1</v>
      </c>
      <c r="C334" s="175">
        <v>45512</v>
      </c>
      <c r="D334" s="289"/>
      <c r="E334" s="289"/>
    </row>
    <row r="335" spans="1:5">
      <c r="A335" t="s">
        <v>991</v>
      </c>
      <c r="B335" s="289">
        <v>7</v>
      </c>
      <c r="C335" s="175">
        <v>45569</v>
      </c>
      <c r="D335" s="175">
        <v>45614</v>
      </c>
      <c r="E335" s="289"/>
    </row>
    <row r="336" spans="1:5">
      <c r="A336" t="s">
        <v>992</v>
      </c>
      <c r="B336" s="289">
        <v>7</v>
      </c>
      <c r="C336" s="175">
        <v>45553</v>
      </c>
      <c r="D336" s="175">
        <v>45614</v>
      </c>
      <c r="E336" s="289"/>
    </row>
    <row r="337" spans="1:5">
      <c r="A337" t="s">
        <v>993</v>
      </c>
      <c r="B337" s="289">
        <v>7</v>
      </c>
      <c r="C337" s="175">
        <v>45553</v>
      </c>
      <c r="D337" s="175">
        <v>45614</v>
      </c>
      <c r="E337" s="289"/>
    </row>
    <row r="338" spans="1:5">
      <c r="A338" t="s">
        <v>994</v>
      </c>
      <c r="B338" s="289">
        <v>7</v>
      </c>
      <c r="C338" s="175">
        <v>45569</v>
      </c>
      <c r="D338" s="175">
        <v>45624</v>
      </c>
      <c r="E338" s="289"/>
    </row>
    <row r="339" spans="1:5">
      <c r="A339" t="s">
        <v>995</v>
      </c>
      <c r="B339" s="289">
        <v>7</v>
      </c>
      <c r="C339" s="175">
        <v>45569</v>
      </c>
      <c r="D339" s="175">
        <v>45624</v>
      </c>
      <c r="E339" s="289"/>
    </row>
    <row r="340" spans="1:5">
      <c r="A340" t="s">
        <v>996</v>
      </c>
      <c r="B340" s="289">
        <v>7</v>
      </c>
      <c r="C340" s="175">
        <v>45569</v>
      </c>
      <c r="D340" s="175">
        <v>45621</v>
      </c>
      <c r="E340" s="289"/>
    </row>
    <row r="341" spans="1:5">
      <c r="A341" t="s">
        <v>997</v>
      </c>
      <c r="B341" s="289">
        <v>7</v>
      </c>
      <c r="C341" s="175">
        <v>45569</v>
      </c>
      <c r="D341" s="175">
        <v>45621</v>
      </c>
      <c r="E341" s="289"/>
    </row>
    <row r="342" spans="1:5">
      <c r="A342" t="s">
        <v>998</v>
      </c>
      <c r="B342" s="289">
        <v>7</v>
      </c>
      <c r="C342" s="175">
        <v>45569</v>
      </c>
      <c r="D342" s="175">
        <v>45621</v>
      </c>
      <c r="E342" s="289"/>
    </row>
    <row r="343" spans="1:5">
      <c r="A343" t="s">
        <v>999</v>
      </c>
      <c r="B343" s="289">
        <v>1</v>
      </c>
      <c r="C343" s="289"/>
      <c r="D343" s="289"/>
      <c r="E343" s="289"/>
    </row>
    <row r="344" spans="1:5">
      <c r="A344" t="s">
        <v>1000</v>
      </c>
      <c r="B344" s="289">
        <v>7</v>
      </c>
      <c r="C344" s="175">
        <v>45569</v>
      </c>
      <c r="D344" s="175">
        <v>45621</v>
      </c>
      <c r="E344" s="289"/>
    </row>
    <row r="345" spans="1:5">
      <c r="A345" t="s">
        <v>1001</v>
      </c>
      <c r="B345" s="289">
        <v>7</v>
      </c>
      <c r="C345" s="175">
        <v>45569</v>
      </c>
      <c r="D345" s="175">
        <v>45621</v>
      </c>
      <c r="E345" s="289"/>
    </row>
    <row r="346" spans="1:5">
      <c r="A346" t="s">
        <v>1002</v>
      </c>
      <c r="B346" s="289">
        <v>7</v>
      </c>
      <c r="C346" s="175">
        <v>45569</v>
      </c>
      <c r="D346" s="175">
        <v>45621</v>
      </c>
      <c r="E346" s="289"/>
    </row>
    <row r="347" spans="1:5">
      <c r="A347" t="s">
        <v>1003</v>
      </c>
      <c r="B347" s="289">
        <v>1</v>
      </c>
      <c r="C347" s="289"/>
      <c r="D347" s="289"/>
      <c r="E347" s="289"/>
    </row>
    <row r="348" spans="1:5">
      <c r="A348" t="s">
        <v>1004</v>
      </c>
      <c r="B348" s="289">
        <v>1</v>
      </c>
      <c r="C348" s="289"/>
      <c r="D348" s="289"/>
      <c r="E348" s="289"/>
    </row>
    <row r="349" spans="1:5">
      <c r="A349" t="s">
        <v>1005</v>
      </c>
      <c r="B349" s="289">
        <v>1</v>
      </c>
      <c r="C349" s="289"/>
      <c r="D349" s="289"/>
      <c r="E349" s="289"/>
    </row>
    <row r="350" spans="1:5">
      <c r="A350" t="s">
        <v>1006</v>
      </c>
      <c r="B350" s="289">
        <v>1</v>
      </c>
      <c r="C350" s="289"/>
      <c r="D350" s="289"/>
      <c r="E350" s="289"/>
    </row>
    <row r="351" spans="1:5">
      <c r="A351" t="s">
        <v>1007</v>
      </c>
      <c r="B351" s="289">
        <v>1</v>
      </c>
      <c r="C351" s="289"/>
      <c r="D351" s="289"/>
      <c r="E351" s="289"/>
    </row>
    <row r="352" spans="1:5">
      <c r="A352" t="s">
        <v>1008</v>
      </c>
      <c r="B352" s="289">
        <v>7</v>
      </c>
      <c r="C352" s="175">
        <v>45559</v>
      </c>
      <c r="D352" s="175">
        <v>45607</v>
      </c>
      <c r="E352" s="289"/>
    </row>
    <row r="353" spans="1:5">
      <c r="A353" t="s">
        <v>1009</v>
      </c>
      <c r="B353" s="289">
        <v>7</v>
      </c>
      <c r="C353" s="175">
        <v>45560</v>
      </c>
      <c r="D353" s="175">
        <v>45607</v>
      </c>
      <c r="E353" s="289"/>
    </row>
    <row r="354" spans="1:5">
      <c r="A354" t="s">
        <v>1010</v>
      </c>
      <c r="B354" s="289">
        <v>7</v>
      </c>
      <c r="C354" s="175">
        <v>45569</v>
      </c>
      <c r="D354" s="175">
        <v>45607</v>
      </c>
      <c r="E354" s="289"/>
    </row>
    <row r="355" spans="1:5">
      <c r="A355" t="s">
        <v>1011</v>
      </c>
      <c r="B355" s="289">
        <v>7</v>
      </c>
      <c r="C355" s="175">
        <v>45569</v>
      </c>
      <c r="D355" s="175">
        <v>45607</v>
      </c>
      <c r="E355" s="289"/>
    </row>
    <row r="356" spans="1:5">
      <c r="A356" t="s">
        <v>1012</v>
      </c>
      <c r="B356" s="289">
        <v>7</v>
      </c>
      <c r="C356" s="175">
        <v>45569</v>
      </c>
      <c r="D356" s="175">
        <v>45607</v>
      </c>
      <c r="E356" s="289"/>
    </row>
    <row r="357" spans="1:5">
      <c r="A357" t="s">
        <v>1013</v>
      </c>
      <c r="B357" s="289">
        <v>1</v>
      </c>
      <c r="C357" s="289"/>
      <c r="D357" s="289"/>
      <c r="E357" s="289"/>
    </row>
    <row r="358" spans="1:5">
      <c r="A358" t="s">
        <v>1014</v>
      </c>
      <c r="B358" s="289">
        <v>7</v>
      </c>
      <c r="C358" s="175">
        <v>45569</v>
      </c>
      <c r="D358" s="175">
        <v>45607</v>
      </c>
      <c r="E358" s="289"/>
    </row>
    <row r="359" spans="1:5">
      <c r="A359" t="s">
        <v>1015</v>
      </c>
      <c r="B359" s="289">
        <v>7</v>
      </c>
      <c r="C359" s="175">
        <v>45569</v>
      </c>
      <c r="D359" s="175">
        <v>45607</v>
      </c>
      <c r="E359" s="289"/>
    </row>
    <row r="360" spans="1:5">
      <c r="A360" t="s">
        <v>1016</v>
      </c>
      <c r="B360" s="289">
        <v>7</v>
      </c>
      <c r="C360" s="175">
        <v>45569</v>
      </c>
      <c r="D360" s="175">
        <v>45607</v>
      </c>
      <c r="E360" s="289"/>
    </row>
    <row r="361" spans="1:5">
      <c r="A361" t="s">
        <v>1017</v>
      </c>
      <c r="B361" s="289">
        <v>1</v>
      </c>
      <c r="C361" s="289"/>
      <c r="D361" s="289"/>
      <c r="E361" s="289"/>
    </row>
    <row r="362" spans="1:5">
      <c r="A362" t="s">
        <v>1018</v>
      </c>
      <c r="B362" s="289">
        <v>1</v>
      </c>
      <c r="C362" s="289"/>
      <c r="D362" s="289"/>
      <c r="E362" s="289"/>
    </row>
    <row r="363" spans="1:5">
      <c r="A363" t="s">
        <v>1019</v>
      </c>
      <c r="B363" s="289">
        <v>1</v>
      </c>
      <c r="C363" s="289"/>
      <c r="D363" s="289"/>
      <c r="E363" s="289"/>
    </row>
    <row r="364" spans="1:5">
      <c r="A364" t="s">
        <v>1020</v>
      </c>
      <c r="B364" s="289">
        <v>7</v>
      </c>
      <c r="C364" s="175">
        <v>45563</v>
      </c>
      <c r="D364" s="175">
        <v>45624</v>
      </c>
      <c r="E364" s="289"/>
    </row>
    <row r="365" spans="1:5">
      <c r="A365" t="s">
        <v>1021</v>
      </c>
      <c r="B365" s="289">
        <v>7</v>
      </c>
      <c r="C365" s="175">
        <v>45563</v>
      </c>
      <c r="D365" s="175">
        <v>45624</v>
      </c>
      <c r="E365" s="289"/>
    </row>
    <row r="366" spans="1:5">
      <c r="A366" t="s">
        <v>1022</v>
      </c>
      <c r="B366" s="289">
        <v>7</v>
      </c>
      <c r="C366" s="175">
        <v>45563</v>
      </c>
      <c r="D366" s="175">
        <v>45624</v>
      </c>
      <c r="E366" s="289"/>
    </row>
    <row r="367" spans="1:5">
      <c r="A367" t="s">
        <v>1023</v>
      </c>
      <c r="B367" s="289">
        <v>7</v>
      </c>
      <c r="C367" s="175">
        <v>45563</v>
      </c>
      <c r="D367" s="175">
        <v>45624</v>
      </c>
      <c r="E367" s="289"/>
    </row>
    <row r="368" spans="1:5">
      <c r="A368" t="s">
        <v>1024</v>
      </c>
      <c r="B368" s="289">
        <v>7</v>
      </c>
      <c r="C368" s="175">
        <v>45563</v>
      </c>
      <c r="D368" s="175">
        <v>45624</v>
      </c>
      <c r="E368" s="289"/>
    </row>
    <row r="369" spans="1:5">
      <c r="A369" t="s">
        <v>1025</v>
      </c>
      <c r="B369" s="289">
        <v>7</v>
      </c>
      <c r="C369" s="175">
        <v>45563</v>
      </c>
      <c r="D369" s="175">
        <v>45624</v>
      </c>
      <c r="E369" s="289"/>
    </row>
    <row r="370" spans="1:5">
      <c r="A370" t="s">
        <v>1026</v>
      </c>
      <c r="B370" s="289">
        <v>7</v>
      </c>
      <c r="C370" s="175">
        <v>45562</v>
      </c>
      <c r="D370" s="175">
        <v>45624</v>
      </c>
      <c r="E370" s="289"/>
    </row>
    <row r="371" spans="1:5">
      <c r="A371" t="s">
        <v>1027</v>
      </c>
      <c r="B371" s="289">
        <v>7</v>
      </c>
      <c r="C371" s="175">
        <v>45563</v>
      </c>
      <c r="D371" s="175">
        <v>45624</v>
      </c>
      <c r="E371" s="289"/>
    </row>
    <row r="372" spans="1:5">
      <c r="A372" t="s">
        <v>1028</v>
      </c>
      <c r="B372" s="289">
        <v>7</v>
      </c>
      <c r="C372" s="175">
        <v>45563</v>
      </c>
      <c r="D372" s="175">
        <v>45624</v>
      </c>
      <c r="E372" s="289"/>
    </row>
    <row r="373" spans="1:5">
      <c r="A373" t="s">
        <v>1029</v>
      </c>
      <c r="B373" s="289">
        <v>7</v>
      </c>
      <c r="C373" s="175">
        <v>45563</v>
      </c>
      <c r="D373" s="175">
        <v>45624</v>
      </c>
      <c r="E373" s="289"/>
    </row>
    <row r="374" spans="1:5">
      <c r="A374" t="s">
        <v>1030</v>
      </c>
      <c r="B374" s="289">
        <v>7</v>
      </c>
      <c r="C374" s="175">
        <v>45563</v>
      </c>
      <c r="D374" s="175">
        <v>45624</v>
      </c>
      <c r="E374" s="289"/>
    </row>
    <row r="375" spans="1:5">
      <c r="A375" t="s">
        <v>1031</v>
      </c>
      <c r="B375" s="289">
        <v>0</v>
      </c>
      <c r="C375" s="175">
        <v>45562</v>
      </c>
      <c r="D375" s="289"/>
      <c r="E375" s="289"/>
    </row>
    <row r="376" spans="1:5">
      <c r="A376" t="s">
        <v>1032</v>
      </c>
      <c r="B376" s="289">
        <v>1</v>
      </c>
      <c r="C376" s="289"/>
      <c r="D376" s="289"/>
      <c r="E376" s="289"/>
    </row>
    <row r="377" spans="1:5">
      <c r="A377" t="s">
        <v>1033</v>
      </c>
      <c r="B377" s="289">
        <v>7</v>
      </c>
      <c r="C377" s="175">
        <v>45561</v>
      </c>
      <c r="D377" s="175">
        <v>45624</v>
      </c>
      <c r="E377" s="289"/>
    </row>
    <row r="378" spans="1:5">
      <c r="A378" t="s">
        <v>1034</v>
      </c>
      <c r="B378" s="289">
        <v>7</v>
      </c>
      <c r="C378" s="175">
        <v>45561</v>
      </c>
      <c r="D378" s="175">
        <v>45624</v>
      </c>
      <c r="E378" s="289"/>
    </row>
    <row r="379" spans="1:5">
      <c r="A379" t="s">
        <v>1035</v>
      </c>
      <c r="B379" s="289">
        <v>1</v>
      </c>
      <c r="C379" s="289"/>
      <c r="D379" s="175">
        <v>45603</v>
      </c>
      <c r="E379" s="289"/>
    </row>
    <row r="380" spans="1:5">
      <c r="A380" t="s">
        <v>1036</v>
      </c>
      <c r="B380" s="289">
        <v>1</v>
      </c>
      <c r="C380" s="289"/>
      <c r="D380" s="175">
        <v>45603</v>
      </c>
      <c r="E380" s="289"/>
    </row>
    <row r="381" spans="1:5">
      <c r="A381" t="s">
        <v>1037</v>
      </c>
      <c r="B381" s="289">
        <v>2</v>
      </c>
      <c r="C381" s="175">
        <v>45563</v>
      </c>
      <c r="D381" s="175">
        <v>45603</v>
      </c>
      <c r="E381" s="175">
        <v>45604</v>
      </c>
    </row>
    <row r="382" spans="1:5">
      <c r="A382" t="s">
        <v>1038</v>
      </c>
      <c r="B382" s="289">
        <v>1</v>
      </c>
      <c r="C382" s="289"/>
      <c r="D382" s="175">
        <v>45603</v>
      </c>
      <c r="E382" s="289"/>
    </row>
    <row r="383" spans="1:5">
      <c r="A383" t="s">
        <v>1039</v>
      </c>
      <c r="B383" s="289">
        <v>1</v>
      </c>
      <c r="C383" s="289"/>
      <c r="D383" s="175">
        <v>45603</v>
      </c>
      <c r="E383" s="289"/>
    </row>
    <row r="384" spans="1:5">
      <c r="A384" t="s">
        <v>1040</v>
      </c>
      <c r="B384" s="289">
        <v>1</v>
      </c>
      <c r="C384" s="289"/>
      <c r="D384" s="175">
        <v>45603</v>
      </c>
      <c r="E384" s="289"/>
    </row>
    <row r="385" spans="1:5">
      <c r="A385" t="s">
        <v>1041</v>
      </c>
      <c r="B385" s="289">
        <v>1</v>
      </c>
      <c r="C385" s="289"/>
      <c r="D385" s="175">
        <v>45603</v>
      </c>
      <c r="E385" s="289"/>
    </row>
    <row r="386" spans="1:5">
      <c r="A386" t="s">
        <v>1042</v>
      </c>
      <c r="B386" s="289">
        <v>1</v>
      </c>
      <c r="C386" s="289"/>
      <c r="D386" s="175">
        <v>45603</v>
      </c>
      <c r="E386" s="289"/>
    </row>
    <row r="387" spans="1:5">
      <c r="A387" t="s">
        <v>1043</v>
      </c>
      <c r="B387" s="289">
        <v>1</v>
      </c>
      <c r="C387" s="289"/>
      <c r="D387" s="175">
        <v>45603</v>
      </c>
      <c r="E387" s="289"/>
    </row>
    <row r="388" spans="1:5">
      <c r="A388" t="s">
        <v>1044</v>
      </c>
      <c r="B388" s="289">
        <v>2</v>
      </c>
      <c r="C388" s="175">
        <v>45563</v>
      </c>
      <c r="D388" s="175">
        <v>45603</v>
      </c>
      <c r="E388" s="175">
        <v>45604</v>
      </c>
    </row>
    <row r="389" spans="1:5">
      <c r="A389" t="s">
        <v>1045</v>
      </c>
      <c r="B389" s="289">
        <v>2</v>
      </c>
      <c r="C389" s="175">
        <v>45563</v>
      </c>
      <c r="D389" s="175">
        <v>45603</v>
      </c>
      <c r="E389" s="175">
        <v>45604</v>
      </c>
    </row>
    <row r="390" spans="1:5">
      <c r="A390" t="s">
        <v>1046</v>
      </c>
      <c r="B390" s="289">
        <v>2</v>
      </c>
      <c r="C390" s="175">
        <v>45563</v>
      </c>
      <c r="D390" s="175">
        <v>45603</v>
      </c>
      <c r="E390" s="175">
        <v>45604</v>
      </c>
    </row>
    <row r="391" spans="1:5">
      <c r="A391" t="s">
        <v>1047</v>
      </c>
      <c r="B391" s="289">
        <v>2</v>
      </c>
      <c r="C391" s="175">
        <v>45561</v>
      </c>
      <c r="D391" s="175">
        <v>45603</v>
      </c>
      <c r="E391" s="175">
        <v>45604</v>
      </c>
    </row>
    <row r="392" spans="1:5">
      <c r="A392" t="s">
        <v>1048</v>
      </c>
      <c r="B392" s="289">
        <v>2</v>
      </c>
      <c r="C392" s="175">
        <v>45561</v>
      </c>
      <c r="D392" s="175">
        <v>45603</v>
      </c>
      <c r="E392" s="175">
        <v>45604</v>
      </c>
    </row>
    <row r="393" spans="1:5">
      <c r="A393" t="s">
        <v>1049</v>
      </c>
      <c r="B393" s="289">
        <v>1</v>
      </c>
      <c r="C393" s="289"/>
      <c r="D393" s="175">
        <v>45603</v>
      </c>
      <c r="E393" s="289"/>
    </row>
    <row r="394" spans="1:5">
      <c r="A394" t="s">
        <v>1050</v>
      </c>
      <c r="B394" s="289">
        <v>1</v>
      </c>
      <c r="C394" s="289"/>
      <c r="D394" s="175">
        <v>45603</v>
      </c>
      <c r="E394" s="289"/>
    </row>
    <row r="395" spans="1:5">
      <c r="A395" t="s">
        <v>1051</v>
      </c>
      <c r="B395" s="289">
        <v>1</v>
      </c>
      <c r="C395" s="289"/>
      <c r="D395" s="175">
        <v>45603</v>
      </c>
      <c r="E395" s="289"/>
    </row>
    <row r="396" spans="1:5">
      <c r="A396" t="s">
        <v>1052</v>
      </c>
      <c r="B396" s="289">
        <v>2</v>
      </c>
      <c r="C396" s="175">
        <v>45563</v>
      </c>
      <c r="D396" s="175">
        <v>45603</v>
      </c>
      <c r="E396" s="175">
        <v>45604</v>
      </c>
    </row>
    <row r="397" spans="1:5">
      <c r="A397" t="s">
        <v>1053</v>
      </c>
      <c r="B397" s="289">
        <v>2</v>
      </c>
      <c r="C397" s="175">
        <v>45563</v>
      </c>
      <c r="D397" s="175">
        <v>45603</v>
      </c>
      <c r="E397" s="175">
        <v>45604</v>
      </c>
    </row>
    <row r="398" spans="1:5">
      <c r="A398" t="s">
        <v>1054</v>
      </c>
      <c r="B398" s="289">
        <v>2</v>
      </c>
      <c r="C398" s="175">
        <v>45563</v>
      </c>
      <c r="D398" s="175">
        <v>45603</v>
      </c>
      <c r="E398" s="175">
        <v>45604</v>
      </c>
    </row>
    <row r="399" spans="1:5">
      <c r="A399" t="s">
        <v>1055</v>
      </c>
      <c r="B399" s="289">
        <v>0</v>
      </c>
      <c r="C399" s="175">
        <v>45561</v>
      </c>
      <c r="D399" s="289"/>
      <c r="E399" s="289"/>
    </row>
    <row r="400" spans="1:5">
      <c r="A400" t="s">
        <v>1056</v>
      </c>
      <c r="B400" s="289">
        <v>2</v>
      </c>
      <c r="C400" s="175">
        <v>45563</v>
      </c>
      <c r="D400" s="175">
        <v>45603</v>
      </c>
      <c r="E400" s="175">
        <v>45604</v>
      </c>
    </row>
    <row r="401" spans="1:5">
      <c r="A401" t="s">
        <v>1057</v>
      </c>
      <c r="B401" s="289">
        <v>2</v>
      </c>
      <c r="C401" s="175">
        <v>45563</v>
      </c>
      <c r="D401" s="175">
        <v>45603</v>
      </c>
      <c r="E401" s="175">
        <v>45604</v>
      </c>
    </row>
    <row r="402" spans="1:5">
      <c r="A402" t="s">
        <v>1058</v>
      </c>
      <c r="B402" s="289">
        <v>2</v>
      </c>
      <c r="C402" s="175">
        <v>45563</v>
      </c>
      <c r="D402" s="175">
        <v>45603</v>
      </c>
      <c r="E402" s="175">
        <v>45604</v>
      </c>
    </row>
    <row r="403" spans="1:5">
      <c r="A403" t="s">
        <v>1059</v>
      </c>
      <c r="B403" s="289">
        <v>2</v>
      </c>
      <c r="C403" s="175">
        <v>45563</v>
      </c>
      <c r="D403" s="175">
        <v>45603</v>
      </c>
      <c r="E403" s="175">
        <v>45604</v>
      </c>
    </row>
    <row r="404" spans="1:5">
      <c r="A404" t="s">
        <v>1060</v>
      </c>
      <c r="B404" s="289">
        <v>2</v>
      </c>
      <c r="C404" s="175">
        <v>45563</v>
      </c>
      <c r="D404" s="175">
        <v>45603</v>
      </c>
      <c r="E404" s="175">
        <v>45604</v>
      </c>
    </row>
    <row r="405" spans="1:5">
      <c r="A405" t="s">
        <v>1061</v>
      </c>
      <c r="B405" s="289">
        <v>0</v>
      </c>
      <c r="C405" s="175">
        <v>45561</v>
      </c>
      <c r="D405" s="289"/>
      <c r="E405" s="289"/>
    </row>
    <row r="406" spans="1:5">
      <c r="A406" t="s">
        <v>1062</v>
      </c>
      <c r="B406" s="289">
        <v>1</v>
      </c>
      <c r="C406" s="289"/>
      <c r="D406" s="175">
        <v>45603</v>
      </c>
      <c r="E406" s="289"/>
    </row>
    <row r="407" spans="1:5">
      <c r="A407" t="s">
        <v>1063</v>
      </c>
      <c r="B407" s="289">
        <v>2</v>
      </c>
      <c r="C407" s="175">
        <v>45563</v>
      </c>
      <c r="D407" s="175">
        <v>45603</v>
      </c>
      <c r="E407" s="175">
        <v>45604</v>
      </c>
    </row>
    <row r="408" spans="1:5">
      <c r="A408" t="s">
        <v>1064</v>
      </c>
      <c r="B408" s="289">
        <v>2</v>
      </c>
      <c r="C408" s="175">
        <v>45563</v>
      </c>
      <c r="D408" s="175">
        <v>45603</v>
      </c>
      <c r="E408" s="175">
        <v>45604</v>
      </c>
    </row>
    <row r="409" spans="1:5">
      <c r="A409" t="s">
        <v>1065</v>
      </c>
      <c r="B409" s="289">
        <v>2</v>
      </c>
      <c r="C409" s="175">
        <v>45563</v>
      </c>
      <c r="D409" s="175">
        <v>45603</v>
      </c>
      <c r="E409" s="175">
        <v>45604</v>
      </c>
    </row>
    <row r="410" spans="1:5">
      <c r="A410" t="s">
        <v>1066</v>
      </c>
      <c r="B410" s="289">
        <v>1</v>
      </c>
      <c r="C410" s="289"/>
      <c r="D410" s="289"/>
      <c r="E410" s="289"/>
    </row>
    <row r="411" spans="1:5">
      <c r="A411" t="s">
        <v>1067</v>
      </c>
      <c r="B411" s="289">
        <v>0</v>
      </c>
      <c r="C411" s="289"/>
      <c r="D411" s="289"/>
      <c r="E411" s="289"/>
    </row>
    <row r="412" spans="1:5">
      <c r="A412" t="s">
        <v>1068</v>
      </c>
      <c r="B412" s="289">
        <v>1</v>
      </c>
      <c r="C412" s="289"/>
      <c r="D412" s="289"/>
      <c r="E412" s="289"/>
    </row>
    <row r="413" spans="1:5">
      <c r="A413" t="s">
        <v>1069</v>
      </c>
      <c r="B413" s="289">
        <v>1</v>
      </c>
      <c r="C413" s="289"/>
      <c r="D413" s="289"/>
      <c r="E413" s="289"/>
    </row>
    <row r="414" spans="1:5">
      <c r="A414" t="s">
        <v>1070</v>
      </c>
      <c r="B414" s="289">
        <v>1</v>
      </c>
      <c r="C414" s="289"/>
      <c r="D414" s="289"/>
      <c r="E414" s="289"/>
    </row>
    <row r="415" spans="1:5">
      <c r="A415" t="s">
        <v>1071</v>
      </c>
      <c r="B415" s="289">
        <v>1</v>
      </c>
      <c r="C415" s="289"/>
      <c r="D415" s="289"/>
      <c r="E415" s="289"/>
    </row>
    <row r="416" spans="1:5">
      <c r="A416" t="s">
        <v>1072</v>
      </c>
      <c r="B416" s="289">
        <v>1</v>
      </c>
      <c r="C416" s="289"/>
      <c r="D416" s="289"/>
      <c r="E416" s="289"/>
    </row>
    <row r="417" spans="1:5">
      <c r="A417" t="s">
        <v>1073</v>
      </c>
      <c r="B417" s="289">
        <v>1</v>
      </c>
      <c r="C417" s="289"/>
      <c r="D417" s="289"/>
      <c r="E417" s="289"/>
    </row>
    <row r="418" spans="1:5">
      <c r="A418" t="s">
        <v>1074</v>
      </c>
      <c r="B418" s="289">
        <v>1</v>
      </c>
      <c r="C418" s="289"/>
      <c r="D418" s="289"/>
      <c r="E418" s="289"/>
    </row>
    <row r="419" spans="1:5">
      <c r="A419" t="s">
        <v>1075</v>
      </c>
      <c r="B419" s="289">
        <v>1</v>
      </c>
      <c r="C419" s="289"/>
      <c r="D419" s="289"/>
      <c r="E419" s="289"/>
    </row>
    <row r="420" spans="1:5">
      <c r="A420" t="s">
        <v>1076</v>
      </c>
      <c r="B420" s="289">
        <v>1</v>
      </c>
      <c r="C420" s="289"/>
      <c r="D420" s="289"/>
      <c r="E420" s="289"/>
    </row>
    <row r="421" spans="1:5">
      <c r="A421" t="s">
        <v>1077</v>
      </c>
      <c r="B421" s="289">
        <v>1</v>
      </c>
      <c r="C421" s="289"/>
      <c r="D421" s="289"/>
      <c r="E421" s="289"/>
    </row>
    <row r="422" spans="1:5">
      <c r="A422" t="s">
        <v>1078</v>
      </c>
      <c r="B422" s="289">
        <v>1</v>
      </c>
      <c r="C422" s="289"/>
      <c r="D422" s="289"/>
      <c r="E422" s="289"/>
    </row>
    <row r="423" spans="1:5">
      <c r="A423" t="s">
        <v>1079</v>
      </c>
      <c r="B423" s="289">
        <v>1</v>
      </c>
      <c r="C423" s="289"/>
      <c r="D423" s="289"/>
      <c r="E423" s="289"/>
    </row>
    <row r="424" spans="1:5">
      <c r="A424" t="s">
        <v>1080</v>
      </c>
      <c r="B424" s="289">
        <v>1</v>
      </c>
      <c r="C424" s="289"/>
      <c r="D424" s="289"/>
      <c r="E424" s="289"/>
    </row>
    <row r="425" spans="1:5">
      <c r="A425" t="s">
        <v>1081</v>
      </c>
      <c r="B425" s="289">
        <v>1</v>
      </c>
      <c r="C425" s="289"/>
      <c r="D425" s="289"/>
      <c r="E425" s="289"/>
    </row>
    <row r="426" spans="1:5">
      <c r="A426" t="s">
        <v>1082</v>
      </c>
      <c r="B426" s="289">
        <v>0</v>
      </c>
      <c r="C426" s="289"/>
      <c r="D426" s="289"/>
      <c r="E426" s="289"/>
    </row>
    <row r="427" spans="1:5">
      <c r="A427" t="s">
        <v>1083</v>
      </c>
      <c r="B427" s="289">
        <v>1</v>
      </c>
      <c r="C427" s="175">
        <v>45512</v>
      </c>
      <c r="D427" s="175">
        <v>45526</v>
      </c>
      <c r="E427" s="289"/>
    </row>
    <row r="428" spans="1:5">
      <c r="A428" t="s">
        <v>1084</v>
      </c>
      <c r="B428" s="289">
        <v>1</v>
      </c>
      <c r="C428" s="289"/>
      <c r="D428" s="289"/>
      <c r="E428" s="289"/>
    </row>
    <row r="429" spans="1:5">
      <c r="A429" t="s">
        <v>1085</v>
      </c>
      <c r="B429" s="289">
        <v>1</v>
      </c>
      <c r="C429" s="289"/>
      <c r="D429" s="289"/>
      <c r="E429" s="289"/>
    </row>
    <row r="430" spans="1:5">
      <c r="A430" t="s">
        <v>1086</v>
      </c>
      <c r="B430" s="289">
        <v>1</v>
      </c>
      <c r="C430" s="289"/>
      <c r="D430" s="289"/>
      <c r="E430" s="289"/>
    </row>
    <row r="431" spans="1:5">
      <c r="A431" t="s">
        <v>1087</v>
      </c>
      <c r="B431" s="289">
        <v>0</v>
      </c>
      <c r="C431" s="289"/>
      <c r="D431" s="289"/>
      <c r="E431" s="289"/>
    </row>
    <row r="432" spans="1:5">
      <c r="A432" t="s">
        <v>1088</v>
      </c>
      <c r="B432" s="289">
        <v>0</v>
      </c>
      <c r="C432" s="289"/>
      <c r="D432" s="289"/>
      <c r="E432" s="289"/>
    </row>
    <row r="433" spans="1:5">
      <c r="A433" t="s">
        <v>1089</v>
      </c>
      <c r="B433" s="289">
        <v>1</v>
      </c>
      <c r="C433" s="289"/>
      <c r="D433" s="289"/>
      <c r="E433" s="289"/>
    </row>
    <row r="434" spans="1:5">
      <c r="A434" t="s">
        <v>1090</v>
      </c>
      <c r="B434" s="289">
        <v>0</v>
      </c>
      <c r="C434" s="289"/>
      <c r="D434" s="289"/>
      <c r="E434" s="289"/>
    </row>
    <row r="435" spans="1:5">
      <c r="A435" t="s">
        <v>1091</v>
      </c>
      <c r="B435" s="289">
        <v>1</v>
      </c>
      <c r="C435" s="289"/>
      <c r="D435" s="289"/>
      <c r="E435" s="289"/>
    </row>
    <row r="436" spans="1:5">
      <c r="A436" t="s">
        <v>1092</v>
      </c>
      <c r="B436" s="289">
        <v>1</v>
      </c>
      <c r="C436" s="289"/>
      <c r="D436" s="289"/>
      <c r="E436" s="289"/>
    </row>
    <row r="437" spans="1:5">
      <c r="A437" t="s">
        <v>1093</v>
      </c>
      <c r="B437" s="289">
        <v>1</v>
      </c>
      <c r="C437" s="289"/>
      <c r="D437" s="289"/>
      <c r="E437" s="289"/>
    </row>
    <row r="438" spans="1:5">
      <c r="A438" t="s">
        <v>1094</v>
      </c>
      <c r="B438" s="289">
        <v>1</v>
      </c>
      <c r="C438" s="289"/>
      <c r="D438" s="289"/>
      <c r="E438" s="289"/>
    </row>
    <row r="439" spans="1:5">
      <c r="A439" t="s">
        <v>1095</v>
      </c>
      <c r="B439" s="289">
        <v>1</v>
      </c>
      <c r="C439" s="289"/>
      <c r="D439" s="289"/>
      <c r="E439" s="289"/>
    </row>
    <row r="440" spans="1:5">
      <c r="A440" t="s">
        <v>1096</v>
      </c>
      <c r="B440" s="289">
        <v>1</v>
      </c>
      <c r="C440" s="289"/>
      <c r="D440" s="289"/>
      <c r="E440" s="289"/>
    </row>
    <row r="441" spans="1:5">
      <c r="A441" t="s">
        <v>1097</v>
      </c>
      <c r="B441" s="289">
        <v>1</v>
      </c>
      <c r="C441" s="289"/>
      <c r="D441" s="289"/>
      <c r="E441" s="289"/>
    </row>
    <row r="442" spans="1:5">
      <c r="A442" t="s">
        <v>1098</v>
      </c>
      <c r="B442" s="289">
        <v>1</v>
      </c>
      <c r="C442" s="289"/>
      <c r="D442" s="289"/>
      <c r="E442" s="289"/>
    </row>
    <row r="443" spans="1:5">
      <c r="A443" t="s">
        <v>1099</v>
      </c>
      <c r="B443" s="289">
        <v>1</v>
      </c>
      <c r="C443" s="289"/>
      <c r="D443" s="289"/>
      <c r="E443" s="289"/>
    </row>
    <row r="444" spans="1:5">
      <c r="A444" t="s">
        <v>1100</v>
      </c>
      <c r="B444" s="289">
        <v>5</v>
      </c>
      <c r="C444" s="175">
        <v>45603</v>
      </c>
      <c r="D444" s="175">
        <v>45607</v>
      </c>
      <c r="E444" s="175">
        <v>45600</v>
      </c>
    </row>
    <row r="445" spans="1:5">
      <c r="A445" t="s">
        <v>1101</v>
      </c>
      <c r="B445" s="289">
        <v>5</v>
      </c>
      <c r="C445" s="175">
        <v>45603</v>
      </c>
      <c r="D445" s="175">
        <v>45607</v>
      </c>
      <c r="E445" s="175">
        <v>45600</v>
      </c>
    </row>
    <row r="446" spans="1:5">
      <c r="A446" t="s">
        <v>1102</v>
      </c>
      <c r="B446" s="289">
        <v>1</v>
      </c>
      <c r="C446" s="289"/>
      <c r="D446" s="289"/>
      <c r="E446" s="289"/>
    </row>
    <row r="447" spans="1:5">
      <c r="A447" t="s">
        <v>1103</v>
      </c>
      <c r="B447" s="289">
        <v>1</v>
      </c>
      <c r="C447" s="289"/>
      <c r="D447" s="289"/>
      <c r="E447" s="289"/>
    </row>
    <row r="448" spans="1:5">
      <c r="A448" t="s">
        <v>1104</v>
      </c>
      <c r="B448" s="289">
        <v>1</v>
      </c>
      <c r="C448" s="289"/>
      <c r="D448" s="289"/>
      <c r="E448" s="289"/>
    </row>
    <row r="449" spans="1:5">
      <c r="A449" t="s">
        <v>1105</v>
      </c>
      <c r="B449" s="289">
        <v>5</v>
      </c>
      <c r="C449" s="175">
        <v>45603</v>
      </c>
      <c r="D449" s="175">
        <v>45607</v>
      </c>
      <c r="E449" s="175">
        <v>45600</v>
      </c>
    </row>
    <row r="450" spans="1:5">
      <c r="A450" t="s">
        <v>1106</v>
      </c>
      <c r="B450" s="289">
        <v>1</v>
      </c>
      <c r="C450" s="289"/>
      <c r="D450" s="289"/>
      <c r="E450" s="289"/>
    </row>
    <row r="451" spans="1:5">
      <c r="A451" t="s">
        <v>1107</v>
      </c>
      <c r="B451" s="289">
        <v>5</v>
      </c>
      <c r="C451" s="175">
        <v>45603</v>
      </c>
      <c r="D451" s="175">
        <v>45607</v>
      </c>
      <c r="E451" s="175">
        <v>45600</v>
      </c>
    </row>
    <row r="452" spans="1:5">
      <c r="A452" t="s">
        <v>1108</v>
      </c>
      <c r="B452" s="289">
        <v>5</v>
      </c>
      <c r="C452" s="175">
        <v>45603</v>
      </c>
      <c r="D452" s="175">
        <v>45607</v>
      </c>
      <c r="E452" s="175">
        <v>45600</v>
      </c>
    </row>
    <row r="453" spans="1:5">
      <c r="A453" t="s">
        <v>1109</v>
      </c>
      <c r="B453" s="289">
        <v>1</v>
      </c>
      <c r="C453" s="289"/>
      <c r="D453" s="289"/>
      <c r="E453" s="289"/>
    </row>
    <row r="454" spans="1:5">
      <c r="A454" t="s">
        <v>1110</v>
      </c>
      <c r="B454" s="289">
        <v>1</v>
      </c>
      <c r="C454" s="289"/>
      <c r="D454" s="289"/>
      <c r="E454" s="289"/>
    </row>
    <row r="455" spans="1:5">
      <c r="A455" t="s">
        <v>1111</v>
      </c>
      <c r="B455" s="289">
        <v>1</v>
      </c>
      <c r="C455" s="289"/>
      <c r="D455" s="289"/>
      <c r="E455" s="289"/>
    </row>
    <row r="456" spans="1:5">
      <c r="A456" t="s">
        <v>1112</v>
      </c>
      <c r="B456" s="289">
        <v>5</v>
      </c>
      <c r="C456" s="175">
        <v>45603</v>
      </c>
      <c r="D456" s="175">
        <v>45607</v>
      </c>
      <c r="E456" s="175">
        <v>45600</v>
      </c>
    </row>
    <row r="457" spans="1:5">
      <c r="A457" t="s">
        <v>1113</v>
      </c>
      <c r="B457" s="289">
        <v>1</v>
      </c>
      <c r="C457" s="289"/>
      <c r="D457" s="289"/>
      <c r="E457" s="289"/>
    </row>
    <row r="458" spans="1:5">
      <c r="A458" t="s">
        <v>1114</v>
      </c>
      <c r="B458" s="289">
        <v>1</v>
      </c>
      <c r="C458" s="289"/>
      <c r="D458" s="289"/>
      <c r="E458" s="289"/>
    </row>
    <row r="459" spans="1:5">
      <c r="A459" t="s">
        <v>1115</v>
      </c>
      <c r="B459" s="289">
        <v>1</v>
      </c>
      <c r="C459" s="289"/>
      <c r="D459" s="289"/>
      <c r="E459" s="289"/>
    </row>
    <row r="460" spans="1:5">
      <c r="A460" t="s">
        <v>1116</v>
      </c>
      <c r="B460" s="289">
        <v>5</v>
      </c>
      <c r="C460" s="175">
        <v>45603</v>
      </c>
      <c r="D460" s="175">
        <v>45607</v>
      </c>
      <c r="E460" s="175">
        <v>45600</v>
      </c>
    </row>
    <row r="461" spans="1:5">
      <c r="A461" t="s">
        <v>1117</v>
      </c>
      <c r="B461" s="289">
        <v>1</v>
      </c>
      <c r="C461" s="289"/>
      <c r="D461" s="289"/>
      <c r="E461" s="289"/>
    </row>
    <row r="462" spans="1:5">
      <c r="A462" t="s">
        <v>1118</v>
      </c>
      <c r="B462" s="289">
        <v>1</v>
      </c>
      <c r="C462" s="289"/>
      <c r="D462" s="289"/>
      <c r="E462" s="289"/>
    </row>
    <row r="463" spans="1:5">
      <c r="A463" t="s">
        <v>1119</v>
      </c>
      <c r="B463" s="289">
        <v>1</v>
      </c>
      <c r="C463" s="289"/>
      <c r="D463" s="289"/>
      <c r="E463" s="289"/>
    </row>
    <row r="464" spans="1:5">
      <c r="A464" t="s">
        <v>1120</v>
      </c>
      <c r="B464" s="289">
        <v>5</v>
      </c>
      <c r="C464" s="175">
        <v>45603</v>
      </c>
      <c r="D464" s="175">
        <v>45607</v>
      </c>
      <c r="E464" s="175">
        <v>45600</v>
      </c>
    </row>
    <row r="465" spans="1:5">
      <c r="A465" t="s">
        <v>1121</v>
      </c>
      <c r="B465" s="289">
        <v>5</v>
      </c>
      <c r="C465" s="175">
        <v>45603</v>
      </c>
      <c r="D465" s="175">
        <v>45607</v>
      </c>
      <c r="E465" s="175">
        <v>45600</v>
      </c>
    </row>
    <row r="466" spans="1:5">
      <c r="A466" t="s">
        <v>1122</v>
      </c>
      <c r="B466" s="289">
        <v>1</v>
      </c>
      <c r="C466" s="289"/>
      <c r="D466" s="289"/>
      <c r="E466" s="289"/>
    </row>
    <row r="467" spans="1:5">
      <c r="A467" t="s">
        <v>1123</v>
      </c>
      <c r="B467" s="289">
        <v>5</v>
      </c>
      <c r="C467" s="175">
        <v>45603</v>
      </c>
      <c r="D467" s="175">
        <v>45607</v>
      </c>
      <c r="E467" s="175">
        <v>45600</v>
      </c>
    </row>
    <row r="468" spans="1:5">
      <c r="A468" t="s">
        <v>1124</v>
      </c>
      <c r="B468" s="289">
        <v>5</v>
      </c>
      <c r="C468" s="175">
        <v>45603</v>
      </c>
      <c r="D468" s="175">
        <v>45607</v>
      </c>
      <c r="E468" s="175">
        <v>45600</v>
      </c>
    </row>
    <row r="469" spans="1:5">
      <c r="A469" t="s">
        <v>1125</v>
      </c>
      <c r="B469" s="289">
        <v>5</v>
      </c>
      <c r="C469" s="175">
        <v>45603</v>
      </c>
      <c r="D469" s="175">
        <v>45607</v>
      </c>
      <c r="E469" s="175">
        <v>45600</v>
      </c>
    </row>
    <row r="470" spans="1:5">
      <c r="A470" t="s">
        <v>1126</v>
      </c>
      <c r="B470" s="289">
        <v>5</v>
      </c>
      <c r="C470" s="175">
        <v>45603</v>
      </c>
      <c r="D470" s="175">
        <v>45607</v>
      </c>
      <c r="E470" s="175">
        <v>45600</v>
      </c>
    </row>
    <row r="471" spans="1:5">
      <c r="A471" t="s">
        <v>1127</v>
      </c>
      <c r="B471" s="289">
        <v>1</v>
      </c>
      <c r="C471" s="289"/>
      <c r="D471" s="289"/>
      <c r="E471" s="289"/>
    </row>
    <row r="472" spans="1:5">
      <c r="A472" t="s">
        <v>1128</v>
      </c>
      <c r="B472" s="289">
        <v>1</v>
      </c>
      <c r="C472" s="289"/>
      <c r="D472" s="289"/>
      <c r="E472" s="289"/>
    </row>
    <row r="473" spans="1:5">
      <c r="A473" t="s">
        <v>1129</v>
      </c>
      <c r="B473" s="289">
        <v>5</v>
      </c>
      <c r="C473" s="175">
        <v>45603</v>
      </c>
      <c r="D473" s="175">
        <v>45607</v>
      </c>
      <c r="E473" s="175">
        <v>45600</v>
      </c>
    </row>
    <row r="474" spans="1:5">
      <c r="A474" t="s">
        <v>1130</v>
      </c>
      <c r="B474" s="289">
        <v>5</v>
      </c>
      <c r="C474" s="175">
        <v>45603</v>
      </c>
      <c r="D474" s="175">
        <v>45607</v>
      </c>
      <c r="E474" s="175">
        <v>45600</v>
      </c>
    </row>
    <row r="475" spans="1:5">
      <c r="A475" t="s">
        <v>1131</v>
      </c>
      <c r="B475" s="289">
        <v>1</v>
      </c>
      <c r="C475" s="289"/>
      <c r="D475" s="289"/>
      <c r="E475" s="289"/>
    </row>
    <row r="476" spans="1:5">
      <c r="A476" t="s">
        <v>1132</v>
      </c>
      <c r="B476" s="289">
        <v>5</v>
      </c>
      <c r="C476" s="175">
        <v>45603</v>
      </c>
      <c r="D476" s="175">
        <v>45607</v>
      </c>
      <c r="E476" s="175">
        <v>45600</v>
      </c>
    </row>
    <row r="477" spans="1:5">
      <c r="A477" t="s">
        <v>1133</v>
      </c>
      <c r="B477" s="289">
        <v>5</v>
      </c>
      <c r="C477" s="175">
        <v>45603</v>
      </c>
      <c r="D477" s="175">
        <v>45607</v>
      </c>
      <c r="E477" s="175">
        <v>45600</v>
      </c>
    </row>
    <row r="478" spans="1:5">
      <c r="A478" t="s">
        <v>1134</v>
      </c>
      <c r="B478" s="289">
        <v>1</v>
      </c>
      <c r="C478" s="289"/>
      <c r="D478" s="289"/>
      <c r="E478" s="289"/>
    </row>
    <row r="479" spans="1:5">
      <c r="A479" t="s">
        <v>1135</v>
      </c>
      <c r="B479" s="289">
        <v>1</v>
      </c>
      <c r="C479" s="289"/>
      <c r="D479" s="289"/>
      <c r="E479" s="289"/>
    </row>
    <row r="480" spans="1:5">
      <c r="A480" t="s">
        <v>1136</v>
      </c>
      <c r="B480" s="289">
        <v>1</v>
      </c>
      <c r="C480" s="289"/>
      <c r="D480" s="289"/>
      <c r="E480" s="289"/>
    </row>
    <row r="481" spans="1:5">
      <c r="A481" t="s">
        <v>1137</v>
      </c>
      <c r="B481" s="289">
        <v>1</v>
      </c>
      <c r="C481" s="289"/>
      <c r="D481" s="289"/>
      <c r="E481" s="289"/>
    </row>
    <row r="482" spans="1:5">
      <c r="A482" t="s">
        <v>1138</v>
      </c>
      <c r="B482" s="289">
        <v>1</v>
      </c>
      <c r="C482" s="289"/>
      <c r="D482" s="289"/>
      <c r="E482" s="289"/>
    </row>
    <row r="483" spans="1:5">
      <c r="A483" t="s">
        <v>1139</v>
      </c>
      <c r="B483" s="289">
        <v>1</v>
      </c>
      <c r="C483" s="289"/>
      <c r="D483" s="289"/>
      <c r="E483" s="289"/>
    </row>
    <row r="484" spans="1:5">
      <c r="A484" t="s">
        <v>1140</v>
      </c>
      <c r="B484" s="289">
        <v>1</v>
      </c>
      <c r="C484" s="289"/>
      <c r="D484" s="289"/>
      <c r="E484" s="289"/>
    </row>
    <row r="485" spans="1:5">
      <c r="A485" t="s">
        <v>1141</v>
      </c>
      <c r="B485" s="289">
        <v>1</v>
      </c>
      <c r="C485" s="289"/>
      <c r="D485" s="289"/>
      <c r="E485" s="289"/>
    </row>
    <row r="486" spans="1:5">
      <c r="A486" t="s">
        <v>1142</v>
      </c>
      <c r="B486" s="289">
        <v>1</v>
      </c>
      <c r="C486" s="289"/>
      <c r="D486" s="289"/>
      <c r="E486" s="289"/>
    </row>
    <row r="487" spans="1:5">
      <c r="A487" t="s">
        <v>1143</v>
      </c>
      <c r="B487" s="289">
        <v>1</v>
      </c>
      <c r="C487" s="289"/>
      <c r="D487" s="289"/>
      <c r="E487" s="289"/>
    </row>
    <row r="488" spans="1:5">
      <c r="A488" t="s">
        <v>1144</v>
      </c>
      <c r="B488" s="289">
        <v>5</v>
      </c>
      <c r="C488" s="175">
        <v>45603</v>
      </c>
      <c r="D488" s="175">
        <v>45607</v>
      </c>
      <c r="E488" s="175">
        <v>45600</v>
      </c>
    </row>
    <row r="489" spans="1:5">
      <c r="A489" t="s">
        <v>1145</v>
      </c>
      <c r="B489" s="289">
        <v>1</v>
      </c>
      <c r="C489" s="289"/>
      <c r="D489" s="289"/>
      <c r="E489" s="289"/>
    </row>
    <row r="490" spans="1:5">
      <c r="A490" t="s">
        <v>1146</v>
      </c>
      <c r="B490" s="289">
        <v>1</v>
      </c>
      <c r="C490" s="289"/>
      <c r="D490" s="289"/>
      <c r="E490" s="289"/>
    </row>
    <row r="491" spans="1:5">
      <c r="A491" t="s">
        <v>1147</v>
      </c>
      <c r="B491" s="289">
        <v>1</v>
      </c>
      <c r="C491" s="289"/>
      <c r="D491" s="289"/>
      <c r="E491" s="289"/>
    </row>
    <row r="492" spans="1:5">
      <c r="A492" t="s">
        <v>1148</v>
      </c>
      <c r="B492" s="289">
        <v>5</v>
      </c>
      <c r="C492" s="175">
        <v>45603</v>
      </c>
      <c r="D492" s="175">
        <v>45607</v>
      </c>
      <c r="E492" s="175">
        <v>45600</v>
      </c>
    </row>
    <row r="493" spans="1:5">
      <c r="A493" t="s">
        <v>1149</v>
      </c>
      <c r="B493" s="289">
        <v>5</v>
      </c>
      <c r="C493" s="175">
        <v>45603</v>
      </c>
      <c r="D493" s="175">
        <v>45607</v>
      </c>
      <c r="E493" s="175">
        <v>45600</v>
      </c>
    </row>
    <row r="494" spans="1:5">
      <c r="A494" t="s">
        <v>1150</v>
      </c>
      <c r="B494" s="289">
        <v>1</v>
      </c>
      <c r="C494" s="289"/>
      <c r="D494" s="289"/>
      <c r="E494" s="289"/>
    </row>
    <row r="495" spans="1:5">
      <c r="A495" t="s">
        <v>1151</v>
      </c>
      <c r="B495" s="289">
        <v>1</v>
      </c>
      <c r="C495" s="289"/>
      <c r="D495" s="289"/>
      <c r="E495" s="289"/>
    </row>
    <row r="496" spans="1:5">
      <c r="A496" t="s">
        <v>1152</v>
      </c>
      <c r="B496" s="289">
        <v>1</v>
      </c>
      <c r="C496" s="289"/>
      <c r="D496" s="289"/>
      <c r="E496" s="289"/>
    </row>
    <row r="497" spans="1:5">
      <c r="A497" t="s">
        <v>1153</v>
      </c>
      <c r="B497" s="289">
        <v>1</v>
      </c>
      <c r="C497" s="289"/>
      <c r="D497" s="289"/>
      <c r="E497" s="289"/>
    </row>
    <row r="498" spans="1:5">
      <c r="A498" t="s">
        <v>1154</v>
      </c>
      <c r="B498" s="289">
        <v>5</v>
      </c>
      <c r="C498" s="175">
        <v>45603</v>
      </c>
      <c r="D498" s="175">
        <v>45607</v>
      </c>
      <c r="E498" s="175">
        <v>45600</v>
      </c>
    </row>
    <row r="499" spans="1:5">
      <c r="A499" t="s">
        <v>1155</v>
      </c>
      <c r="B499" s="289">
        <v>1</v>
      </c>
      <c r="C499" s="289"/>
      <c r="D499" s="289"/>
      <c r="E499" s="289"/>
    </row>
    <row r="500" spans="1:5">
      <c r="A500" t="s">
        <v>1156</v>
      </c>
      <c r="B500" s="289">
        <v>1</v>
      </c>
      <c r="C500" s="289"/>
      <c r="D500" s="289"/>
      <c r="E500" s="289"/>
    </row>
    <row r="501" spans="1:5">
      <c r="A501" t="s">
        <v>1157</v>
      </c>
      <c r="B501" s="289">
        <v>1</v>
      </c>
      <c r="C501" s="289"/>
      <c r="D501" s="289"/>
      <c r="E501" s="289"/>
    </row>
    <row r="502" spans="1:5">
      <c r="A502" t="s">
        <v>1158</v>
      </c>
      <c r="B502" s="289">
        <v>5</v>
      </c>
      <c r="C502" s="175">
        <v>45603</v>
      </c>
      <c r="D502" s="175">
        <v>45607</v>
      </c>
      <c r="E502" s="175">
        <v>45600</v>
      </c>
    </row>
    <row r="503" spans="1:5">
      <c r="A503" t="s">
        <v>1159</v>
      </c>
      <c r="B503" s="289">
        <v>1</v>
      </c>
      <c r="C503" s="289"/>
      <c r="D503" s="289"/>
      <c r="E503" s="289"/>
    </row>
    <row r="504" spans="1:5">
      <c r="A504" t="s">
        <v>1160</v>
      </c>
      <c r="B504" s="289">
        <v>1</v>
      </c>
      <c r="C504" s="289"/>
      <c r="D504" s="289"/>
      <c r="E504" s="289"/>
    </row>
    <row r="505" spans="1:5">
      <c r="A505" t="s">
        <v>1161</v>
      </c>
      <c r="B505" s="289">
        <v>1</v>
      </c>
      <c r="C505" s="289"/>
      <c r="D505" s="289"/>
      <c r="E505" s="289"/>
    </row>
    <row r="506" spans="1:5">
      <c r="A506" t="s">
        <v>1162</v>
      </c>
      <c r="B506" s="289">
        <v>1</v>
      </c>
      <c r="C506" s="289"/>
      <c r="D506" s="289"/>
      <c r="E506" s="289"/>
    </row>
    <row r="507" spans="1:5">
      <c r="A507" t="s">
        <v>1163</v>
      </c>
      <c r="B507" s="289">
        <v>1</v>
      </c>
      <c r="C507" s="289"/>
      <c r="D507" s="289"/>
      <c r="E507" s="289"/>
    </row>
    <row r="508" spans="1:5">
      <c r="A508" t="s">
        <v>1164</v>
      </c>
      <c r="B508" s="289">
        <v>1</v>
      </c>
      <c r="C508" s="289"/>
      <c r="D508" s="289"/>
      <c r="E508" s="289"/>
    </row>
    <row r="509" spans="1:5">
      <c r="A509" t="s">
        <v>1165</v>
      </c>
      <c r="B509" s="289">
        <v>1</v>
      </c>
      <c r="C509" s="289"/>
      <c r="D509" s="289"/>
      <c r="E509" s="289"/>
    </row>
    <row r="510" spans="1:5">
      <c r="A510" t="s">
        <v>1166</v>
      </c>
      <c r="B510" s="289">
        <v>1</v>
      </c>
      <c r="C510" s="289"/>
      <c r="D510" s="289"/>
      <c r="E510" s="289"/>
    </row>
    <row r="511" spans="1:5">
      <c r="A511" t="s">
        <v>1167</v>
      </c>
      <c r="B511" s="289">
        <v>1</v>
      </c>
      <c r="C511" s="289"/>
      <c r="D511" s="289"/>
      <c r="E511" s="289"/>
    </row>
    <row r="512" spans="1:5">
      <c r="A512" t="s">
        <v>1168</v>
      </c>
      <c r="B512" s="289">
        <v>1</v>
      </c>
      <c r="C512" s="289"/>
      <c r="D512" s="289"/>
      <c r="E512" s="289"/>
    </row>
    <row r="513" spans="1:5">
      <c r="A513" t="s">
        <v>1169</v>
      </c>
      <c r="B513" s="289">
        <v>1</v>
      </c>
      <c r="C513" s="289"/>
      <c r="D513" s="289"/>
      <c r="E513" s="289"/>
    </row>
    <row r="514" spans="1:5">
      <c r="A514" t="s">
        <v>1170</v>
      </c>
      <c r="B514" s="289">
        <v>1</v>
      </c>
      <c r="C514" s="289"/>
      <c r="D514" s="289"/>
      <c r="E514" s="289"/>
    </row>
    <row r="515" spans="1:5">
      <c r="A515" t="s">
        <v>1171</v>
      </c>
      <c r="B515" s="289">
        <v>1</v>
      </c>
      <c r="C515" s="289"/>
      <c r="D515" s="289"/>
      <c r="E515" s="289"/>
    </row>
    <row r="516" spans="1:5">
      <c r="A516" t="s">
        <v>1172</v>
      </c>
      <c r="B516" s="289">
        <v>1</v>
      </c>
      <c r="C516" s="289"/>
      <c r="D516" s="289"/>
      <c r="E516" s="289"/>
    </row>
    <row r="517" spans="1:5">
      <c r="A517" t="s">
        <v>1173</v>
      </c>
      <c r="B517" s="289">
        <v>1</v>
      </c>
      <c r="C517" s="289"/>
      <c r="D517" s="289"/>
      <c r="E517" s="289"/>
    </row>
    <row r="518" spans="1:5">
      <c r="A518" t="s">
        <v>1174</v>
      </c>
      <c r="B518" s="289">
        <v>1</v>
      </c>
      <c r="C518" s="289"/>
      <c r="D518" s="289"/>
      <c r="E518" s="289"/>
    </row>
    <row r="519" spans="1:5">
      <c r="A519" t="s">
        <v>1175</v>
      </c>
      <c r="B519" s="289">
        <v>1</v>
      </c>
      <c r="C519" s="289"/>
      <c r="D519" s="289"/>
      <c r="E519" s="289"/>
    </row>
    <row r="520" spans="1:5">
      <c r="A520" t="s">
        <v>1176</v>
      </c>
      <c r="B520" s="289">
        <v>1</v>
      </c>
      <c r="C520" s="289"/>
      <c r="D520" s="289"/>
      <c r="E520" s="289"/>
    </row>
    <row r="521" spans="1:5">
      <c r="A521" t="s">
        <v>1948</v>
      </c>
      <c r="B521" s="289">
        <v>7</v>
      </c>
      <c r="C521" s="289"/>
      <c r="D521" s="289"/>
      <c r="E521" s="289"/>
    </row>
    <row r="522" spans="1:5">
      <c r="A522" t="s">
        <v>1177</v>
      </c>
      <c r="B522" s="289">
        <v>0</v>
      </c>
      <c r="C522" s="289"/>
      <c r="D522" s="289"/>
      <c r="E522" s="289"/>
    </row>
    <row r="523" spans="1:5">
      <c r="A523" t="s">
        <v>1178</v>
      </c>
      <c r="B523" s="289">
        <v>1</v>
      </c>
      <c r="C523" s="289"/>
      <c r="D523" s="289"/>
      <c r="E523" s="289"/>
    </row>
    <row r="524" spans="1:5">
      <c r="A524" t="s">
        <v>1179</v>
      </c>
      <c r="B524" s="289">
        <v>1</v>
      </c>
      <c r="C524" s="289"/>
      <c r="D524" s="289"/>
      <c r="E524" s="289"/>
    </row>
    <row r="525" spans="1:5">
      <c r="A525" t="s">
        <v>1180</v>
      </c>
      <c r="B525" s="289">
        <v>1</v>
      </c>
      <c r="C525" s="175">
        <v>45491</v>
      </c>
      <c r="D525" s="175">
        <v>45495</v>
      </c>
      <c r="E525" s="175">
        <v>45495</v>
      </c>
    </row>
    <row r="526" spans="1:5">
      <c r="A526" t="s">
        <v>1181</v>
      </c>
      <c r="B526" s="289">
        <v>1</v>
      </c>
      <c r="C526" s="289"/>
      <c r="D526" s="289"/>
      <c r="E526" s="289"/>
    </row>
    <row r="527" spans="1:5">
      <c r="A527" t="s">
        <v>1182</v>
      </c>
      <c r="B527" s="289">
        <v>1</v>
      </c>
      <c r="C527" s="289"/>
      <c r="D527" s="289"/>
      <c r="E527" s="289"/>
    </row>
    <row r="528" spans="1:5">
      <c r="A528" t="s">
        <v>1183</v>
      </c>
      <c r="B528" s="289">
        <v>1</v>
      </c>
      <c r="C528" s="175">
        <v>45491</v>
      </c>
      <c r="D528" s="175">
        <v>45495</v>
      </c>
      <c r="E528" s="175">
        <v>45495</v>
      </c>
    </row>
    <row r="529" spans="1:5">
      <c r="A529" t="s">
        <v>1184</v>
      </c>
      <c r="B529" s="289">
        <v>1</v>
      </c>
      <c r="C529" s="289"/>
      <c r="D529" s="289"/>
      <c r="E529" s="289"/>
    </row>
    <row r="530" spans="1:5">
      <c r="A530" t="s">
        <v>1185</v>
      </c>
      <c r="B530" s="289">
        <v>1</v>
      </c>
      <c r="C530" s="289"/>
      <c r="D530" s="289"/>
      <c r="E530" s="289"/>
    </row>
    <row r="531" spans="1:5">
      <c r="A531" t="s">
        <v>1186</v>
      </c>
      <c r="B531" s="289">
        <v>1</v>
      </c>
      <c r="C531" s="289"/>
      <c r="D531" s="289"/>
      <c r="E531" s="289"/>
    </row>
    <row r="532" spans="1:5">
      <c r="A532" t="s">
        <v>1187</v>
      </c>
      <c r="B532" s="289">
        <v>1</v>
      </c>
      <c r="C532" s="289"/>
      <c r="D532" s="289"/>
      <c r="E532" s="289"/>
    </row>
    <row r="533" spans="1:5">
      <c r="A533" t="s">
        <v>1188</v>
      </c>
      <c r="B533" s="289">
        <v>1</v>
      </c>
      <c r="C533" s="289"/>
      <c r="D533" s="289"/>
      <c r="E533" s="289"/>
    </row>
    <row r="534" spans="1:5">
      <c r="A534" t="s">
        <v>1189</v>
      </c>
      <c r="B534" s="289">
        <v>1</v>
      </c>
      <c r="C534" s="289"/>
      <c r="D534" s="289"/>
      <c r="E534" s="289"/>
    </row>
    <row r="535" spans="1:5">
      <c r="A535" t="s">
        <v>1190</v>
      </c>
      <c r="B535" s="289">
        <v>1</v>
      </c>
      <c r="C535" s="289"/>
      <c r="D535" s="289"/>
      <c r="E535" s="289"/>
    </row>
    <row r="536" spans="1:5">
      <c r="A536" t="s">
        <v>1191</v>
      </c>
      <c r="B536" s="289">
        <v>1</v>
      </c>
      <c r="C536" s="289"/>
      <c r="D536" s="289"/>
      <c r="E536" s="289"/>
    </row>
    <row r="537" spans="1:5">
      <c r="A537" t="s">
        <v>1192</v>
      </c>
      <c r="B537" s="289">
        <v>1</v>
      </c>
      <c r="C537" s="289"/>
      <c r="D537" s="289"/>
      <c r="E537" s="289"/>
    </row>
    <row r="538" spans="1:5">
      <c r="A538" t="s">
        <v>1193</v>
      </c>
      <c r="B538" s="289">
        <v>0</v>
      </c>
      <c r="C538" s="289"/>
      <c r="D538" s="289"/>
      <c r="E538" s="289"/>
    </row>
    <row r="539" spans="1:5">
      <c r="A539" t="s">
        <v>1194</v>
      </c>
      <c r="B539" s="289">
        <v>1</v>
      </c>
      <c r="C539" s="289"/>
      <c r="D539" s="289"/>
      <c r="E539" s="289"/>
    </row>
    <row r="540" spans="1:5">
      <c r="A540" t="s">
        <v>1195</v>
      </c>
      <c r="B540" s="289">
        <v>1</v>
      </c>
      <c r="C540" s="289"/>
      <c r="D540" s="289"/>
      <c r="E540" s="289"/>
    </row>
    <row r="541" spans="1:5">
      <c r="A541" t="s">
        <v>1196</v>
      </c>
      <c r="B541" s="289">
        <v>1</v>
      </c>
      <c r="C541" s="289"/>
      <c r="D541" s="289"/>
      <c r="E541" s="289"/>
    </row>
    <row r="542" spans="1:5">
      <c r="A542" t="s">
        <v>1197</v>
      </c>
      <c r="B542" s="289">
        <v>1</v>
      </c>
      <c r="C542" s="289"/>
      <c r="D542" s="289"/>
      <c r="E542" s="289"/>
    </row>
    <row r="543" spans="1:5">
      <c r="A543" t="s">
        <v>1198</v>
      </c>
      <c r="B543" s="289">
        <v>1</v>
      </c>
      <c r="C543" s="289"/>
      <c r="D543" s="289"/>
      <c r="E543" s="289"/>
    </row>
    <row r="544" spans="1:5">
      <c r="A544" t="s">
        <v>1199</v>
      </c>
      <c r="B544" s="289">
        <v>1</v>
      </c>
      <c r="C544" s="289"/>
      <c r="D544" s="289"/>
      <c r="E544" s="289"/>
    </row>
    <row r="545" spans="1:5">
      <c r="A545" t="s">
        <v>1200</v>
      </c>
      <c r="B545" s="289">
        <v>1</v>
      </c>
      <c r="C545" s="289"/>
      <c r="D545" s="289"/>
      <c r="E545" s="289"/>
    </row>
    <row r="546" spans="1:5">
      <c r="A546" t="s">
        <v>1201</v>
      </c>
      <c r="B546" s="289">
        <v>1</v>
      </c>
      <c r="C546" s="289"/>
      <c r="D546" s="289"/>
      <c r="E546" s="289"/>
    </row>
    <row r="547" spans="1:5">
      <c r="A547" t="s">
        <v>1202</v>
      </c>
      <c r="B547" s="289">
        <v>1</v>
      </c>
      <c r="C547" s="289"/>
      <c r="D547" s="289"/>
      <c r="E547" s="289"/>
    </row>
    <row r="548" spans="1:5">
      <c r="A548" t="s">
        <v>1203</v>
      </c>
      <c r="B548" s="289">
        <v>1</v>
      </c>
      <c r="C548" s="289"/>
      <c r="D548" s="289"/>
      <c r="E548" s="289"/>
    </row>
    <row r="549" spans="1:5">
      <c r="A549" t="s">
        <v>1204</v>
      </c>
      <c r="B549" s="289">
        <v>1</v>
      </c>
      <c r="C549" s="289"/>
      <c r="D549" s="289"/>
      <c r="E549" s="289"/>
    </row>
    <row r="550" spans="1:5">
      <c r="A550" t="s">
        <v>1205</v>
      </c>
      <c r="B550" s="289">
        <v>1</v>
      </c>
      <c r="C550" s="289"/>
      <c r="D550" s="289"/>
      <c r="E550" s="289"/>
    </row>
    <row r="551" spans="1:5">
      <c r="A551" t="s">
        <v>1206</v>
      </c>
      <c r="B551" s="289">
        <v>1</v>
      </c>
      <c r="C551" s="289"/>
      <c r="D551" s="289"/>
      <c r="E551" s="289"/>
    </row>
    <row r="552" spans="1:5">
      <c r="A552" t="s">
        <v>1207</v>
      </c>
      <c r="B552" s="289">
        <v>1</v>
      </c>
      <c r="C552" s="289"/>
      <c r="D552" s="289"/>
      <c r="E552" s="289"/>
    </row>
    <row r="553" spans="1:5">
      <c r="A553" t="s">
        <v>1208</v>
      </c>
      <c r="B553" s="289">
        <v>0</v>
      </c>
      <c r="C553" s="289"/>
      <c r="D553" s="289"/>
      <c r="E553" s="289"/>
    </row>
    <row r="554" spans="1:5">
      <c r="A554" t="s">
        <v>1209</v>
      </c>
      <c r="B554" s="289">
        <v>1</v>
      </c>
      <c r="C554" s="289"/>
      <c r="D554" s="289"/>
      <c r="E554" s="289"/>
    </row>
    <row r="555" spans="1:5">
      <c r="A555" t="s">
        <v>1210</v>
      </c>
      <c r="B555" s="289">
        <v>1</v>
      </c>
      <c r="C555" s="289"/>
      <c r="D555" s="289"/>
      <c r="E555" s="289"/>
    </row>
    <row r="556" spans="1:5">
      <c r="A556" t="s">
        <v>1211</v>
      </c>
      <c r="B556" s="289">
        <v>1</v>
      </c>
      <c r="C556" s="289"/>
      <c r="D556" s="289"/>
      <c r="E556" s="289"/>
    </row>
    <row r="557" spans="1:5">
      <c r="A557" t="s">
        <v>1212</v>
      </c>
      <c r="B557" s="289">
        <v>0</v>
      </c>
      <c r="C557" s="289"/>
      <c r="D557" s="289"/>
      <c r="E557" s="289"/>
    </row>
    <row r="558" spans="1:5">
      <c r="A558" t="s">
        <v>1213</v>
      </c>
      <c r="B558" s="289">
        <v>1</v>
      </c>
      <c r="C558" s="289"/>
      <c r="D558" s="289"/>
      <c r="E558" s="289"/>
    </row>
    <row r="559" spans="1:5">
      <c r="A559" t="s">
        <v>1214</v>
      </c>
      <c r="B559" s="289">
        <v>1</v>
      </c>
      <c r="C559" s="289"/>
      <c r="D559" s="289"/>
      <c r="E559" s="289"/>
    </row>
    <row r="560" spans="1:5">
      <c r="A560" t="s">
        <v>1215</v>
      </c>
      <c r="B560" s="289">
        <v>0</v>
      </c>
      <c r="C560" s="289"/>
      <c r="D560" s="289"/>
      <c r="E560" s="289"/>
    </row>
    <row r="561" spans="1:5">
      <c r="A561" t="s">
        <v>1216</v>
      </c>
      <c r="B561" s="289">
        <v>1</v>
      </c>
      <c r="C561" s="289"/>
      <c r="D561" s="289"/>
      <c r="E561" s="289"/>
    </row>
    <row r="562" spans="1:5">
      <c r="A562" t="s">
        <v>1217</v>
      </c>
      <c r="B562" s="289">
        <v>1</v>
      </c>
      <c r="C562" s="289"/>
      <c r="D562" s="289"/>
      <c r="E562" s="289"/>
    </row>
    <row r="563" spans="1:5">
      <c r="A563" t="s">
        <v>1218</v>
      </c>
      <c r="B563" s="289">
        <v>1</v>
      </c>
      <c r="C563" s="289"/>
      <c r="D563" s="289"/>
      <c r="E563" s="289"/>
    </row>
    <row r="564" spans="1:5">
      <c r="A564" t="s">
        <v>1219</v>
      </c>
      <c r="B564" s="289">
        <v>1</v>
      </c>
      <c r="C564" s="289"/>
      <c r="D564" s="289"/>
      <c r="E564" s="289"/>
    </row>
    <row r="565" spans="1:5">
      <c r="A565" t="s">
        <v>1220</v>
      </c>
      <c r="B565" s="289">
        <v>1</v>
      </c>
      <c r="C565" s="289"/>
      <c r="D565" s="289"/>
      <c r="E565" s="289"/>
    </row>
    <row r="566" spans="1:5">
      <c r="A566" t="s">
        <v>1221</v>
      </c>
      <c r="B566" s="289">
        <v>1</v>
      </c>
      <c r="C566" s="289"/>
      <c r="D566" s="289"/>
      <c r="E566" s="289"/>
    </row>
    <row r="567" spans="1:5">
      <c r="A567" t="s">
        <v>1222</v>
      </c>
      <c r="B567" s="289">
        <v>1</v>
      </c>
      <c r="C567" s="289"/>
      <c r="D567" s="289"/>
      <c r="E567" s="289"/>
    </row>
    <row r="568" spans="1:5">
      <c r="A568" t="s">
        <v>1223</v>
      </c>
      <c r="B568" s="289">
        <v>1</v>
      </c>
      <c r="C568" s="289"/>
      <c r="D568" s="289"/>
      <c r="E568" s="289"/>
    </row>
    <row r="569" spans="1:5">
      <c r="A569" t="s">
        <v>1224</v>
      </c>
      <c r="B569" s="289">
        <v>1</v>
      </c>
      <c r="C569" s="289"/>
      <c r="D569" s="289"/>
      <c r="E569" s="289"/>
    </row>
    <row r="570" spans="1:5">
      <c r="A570" t="s">
        <v>1225</v>
      </c>
      <c r="B570" s="289">
        <v>1</v>
      </c>
      <c r="C570" s="289"/>
      <c r="D570" s="289"/>
      <c r="E570" s="289"/>
    </row>
    <row r="571" spans="1:5">
      <c r="A571" t="s">
        <v>1226</v>
      </c>
      <c r="B571" s="289">
        <v>1</v>
      </c>
      <c r="C571" s="289"/>
      <c r="D571" s="289"/>
      <c r="E571" s="289"/>
    </row>
    <row r="572" spans="1:5">
      <c r="A572" t="s">
        <v>1227</v>
      </c>
      <c r="B572" s="289">
        <v>7</v>
      </c>
      <c r="C572" s="175">
        <v>45604</v>
      </c>
      <c r="D572" s="175">
        <v>374342</v>
      </c>
      <c r="E572" s="175">
        <v>45604</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616</v>
      </c>
      <c r="F10" t="s">
        <v>619</v>
      </c>
      <c r="G10" t="s">
        <v>1227</v>
      </c>
    </row>
    <row r="11" spans="2:12">
      <c r="B11" s="51" t="s">
        <v>74</v>
      </c>
      <c r="C11" s="289">
        <v>3</v>
      </c>
      <c r="D11" s="289">
        <v>17</v>
      </c>
      <c r="E11" s="289"/>
      <c r="F11" s="289"/>
      <c r="G11" s="289">
        <v>20</v>
      </c>
    </row>
    <row r="12" spans="2:12">
      <c r="B12" s="51" t="s">
        <v>123</v>
      </c>
      <c r="C12" s="289"/>
      <c r="D12" s="289">
        <v>50</v>
      </c>
      <c r="E12" s="289">
        <v>22</v>
      </c>
      <c r="F12" s="289"/>
      <c r="G12" s="289">
        <v>72</v>
      </c>
    </row>
    <row r="13" spans="2:12">
      <c r="B13" s="51" t="s">
        <v>94</v>
      </c>
      <c r="C13" s="289">
        <v>2</v>
      </c>
      <c r="D13" s="289">
        <v>30</v>
      </c>
      <c r="E13" s="289"/>
      <c r="F13" s="289">
        <v>1</v>
      </c>
      <c r="G13" s="289">
        <v>33</v>
      </c>
    </row>
    <row r="14" spans="2:12">
      <c r="B14" s="51" t="s">
        <v>88</v>
      </c>
      <c r="C14" s="289">
        <v>1</v>
      </c>
      <c r="D14" s="289">
        <v>14</v>
      </c>
      <c r="E14" s="289"/>
      <c r="F14" s="289"/>
      <c r="G14" s="289">
        <v>15</v>
      </c>
    </row>
    <row r="15" spans="2:12">
      <c r="B15" s="51" t="s">
        <v>55</v>
      </c>
      <c r="C15" s="289">
        <v>4</v>
      </c>
      <c r="D15" s="289">
        <v>13</v>
      </c>
      <c r="E15" s="289"/>
      <c r="F15" s="289"/>
      <c r="G15" s="289">
        <v>17</v>
      </c>
    </row>
    <row r="16" spans="2:12">
      <c r="B16" s="51" t="s">
        <v>37</v>
      </c>
      <c r="C16" s="289"/>
      <c r="D16" s="289"/>
      <c r="E16" s="289"/>
      <c r="F16" s="289">
        <v>12</v>
      </c>
      <c r="G16" s="289">
        <v>12</v>
      </c>
    </row>
    <row r="17" spans="2:7">
      <c r="B17" s="51" t="s">
        <v>1227</v>
      </c>
      <c r="C17" s="289">
        <v>10</v>
      </c>
      <c r="D17" s="289">
        <v>124</v>
      </c>
      <c r="E17" s="289">
        <v>22</v>
      </c>
      <c r="F17" s="289">
        <v>13</v>
      </c>
      <c r="G17" s="289">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289">
        <v>10</v>
      </c>
    </row>
    <row r="29" spans="2:7">
      <c r="B29" s="51" t="s">
        <v>614</v>
      </c>
      <c r="C29" s="289">
        <v>124</v>
      </c>
    </row>
    <row r="30" spans="2:7">
      <c r="B30" s="51" t="s">
        <v>616</v>
      </c>
      <c r="C30" s="289">
        <v>22</v>
      </c>
    </row>
    <row r="31" spans="2:7">
      <c r="B31" s="51" t="s">
        <v>619</v>
      </c>
      <c r="C31" s="289">
        <v>13</v>
      </c>
    </row>
    <row r="32" spans="2:7">
      <c r="B32" s="51" t="s">
        <v>1227</v>
      </c>
      <c r="C32" s="289">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7">
      <c r="B49" s="50" t="s">
        <v>1232</v>
      </c>
      <c r="C49" t="s">
        <v>613</v>
      </c>
      <c r="D49" t="s">
        <v>614</v>
      </c>
      <c r="E49" t="s">
        <v>1931</v>
      </c>
      <c r="F49" t="s">
        <v>619</v>
      </c>
      <c r="G49" t="s">
        <v>1227</v>
      </c>
    </row>
    <row r="50" spans="2:7">
      <c r="B50" s="51" t="s">
        <v>182</v>
      </c>
      <c r="C50" s="289">
        <v>2</v>
      </c>
      <c r="D50" s="289">
        <v>12</v>
      </c>
      <c r="E50" s="289">
        <v>16</v>
      </c>
      <c r="F50" s="289"/>
      <c r="G50" s="289">
        <v>30</v>
      </c>
    </row>
    <row r="51" spans="2:7">
      <c r="B51" s="51" t="s">
        <v>334</v>
      </c>
      <c r="C51" s="289">
        <v>1</v>
      </c>
      <c r="D51" s="289">
        <v>1</v>
      </c>
      <c r="E51" s="289"/>
      <c r="F51" s="289">
        <v>12</v>
      </c>
      <c r="G51" s="289">
        <v>14</v>
      </c>
    </row>
    <row r="52" spans="2:7">
      <c r="B52" s="51" t="s">
        <v>332</v>
      </c>
      <c r="C52" s="289"/>
      <c r="D52" s="289">
        <v>8</v>
      </c>
      <c r="E52" s="289"/>
      <c r="F52" s="289">
        <v>7</v>
      </c>
      <c r="G52" s="289">
        <v>15</v>
      </c>
    </row>
    <row r="53" spans="2:7">
      <c r="B53" s="51" t="s">
        <v>326</v>
      </c>
      <c r="C53" s="289"/>
      <c r="D53" s="289">
        <v>2</v>
      </c>
      <c r="E53" s="289"/>
      <c r="F53" s="289">
        <v>30</v>
      </c>
      <c r="G53" s="289">
        <v>32</v>
      </c>
    </row>
    <row r="54" spans="2:7">
      <c r="B54" s="51" t="s">
        <v>312</v>
      </c>
      <c r="C54" s="289"/>
      <c r="D54" s="289">
        <v>8</v>
      </c>
      <c r="E54" s="289">
        <v>6</v>
      </c>
      <c r="F54" s="289">
        <v>4</v>
      </c>
      <c r="G54" s="289">
        <v>18</v>
      </c>
    </row>
    <row r="55" spans="2:7">
      <c r="B55" s="51" t="s">
        <v>217</v>
      </c>
      <c r="C55" s="289"/>
      <c r="D55" s="289">
        <v>6</v>
      </c>
      <c r="E55" s="289"/>
      <c r="F55" s="289"/>
      <c r="G55" s="289">
        <v>6</v>
      </c>
    </row>
    <row r="56" spans="2:7">
      <c r="B56" s="51" t="s">
        <v>216</v>
      </c>
      <c r="C56" s="289"/>
      <c r="D56" s="289">
        <v>41</v>
      </c>
      <c r="E56" s="289"/>
      <c r="F56" s="289"/>
      <c r="G56" s="289">
        <v>41</v>
      </c>
    </row>
    <row r="57" spans="2:7">
      <c r="B57" s="51" t="s">
        <v>214</v>
      </c>
      <c r="C57" s="289">
        <v>3</v>
      </c>
      <c r="D57" s="289">
        <v>6</v>
      </c>
      <c r="E57" s="289"/>
      <c r="F57" s="289"/>
      <c r="G57" s="289">
        <v>9</v>
      </c>
    </row>
    <row r="58" spans="2:7">
      <c r="B58" s="51" t="s">
        <v>213</v>
      </c>
      <c r="C58" s="289"/>
      <c r="D58" s="289">
        <v>17</v>
      </c>
      <c r="E58" s="289"/>
      <c r="F58" s="289"/>
      <c r="G58" s="289">
        <v>17</v>
      </c>
    </row>
    <row r="59" spans="2:7">
      <c r="B59" s="51" t="s">
        <v>218</v>
      </c>
      <c r="C59" s="289"/>
      <c r="D59" s="289">
        <v>17</v>
      </c>
      <c r="E59" s="289"/>
      <c r="F59" s="289"/>
      <c r="G59" s="289">
        <v>17</v>
      </c>
    </row>
    <row r="60" spans="2:7">
      <c r="B60" s="51" t="s">
        <v>219</v>
      </c>
      <c r="C60" s="289">
        <v>7</v>
      </c>
      <c r="D60" s="289">
        <v>14</v>
      </c>
      <c r="E60" s="289"/>
      <c r="F60" s="289"/>
      <c r="G60" s="289">
        <v>21</v>
      </c>
    </row>
    <row r="61" spans="2:7">
      <c r="B61" s="51" t="s">
        <v>220</v>
      </c>
      <c r="C61" s="289">
        <v>1</v>
      </c>
      <c r="D61" s="289">
        <v>17</v>
      </c>
      <c r="E61" s="289"/>
      <c r="F61" s="289"/>
      <c r="G61" s="289">
        <v>18</v>
      </c>
    </row>
    <row r="62" spans="2:7">
      <c r="B62" s="51" t="s">
        <v>215</v>
      </c>
      <c r="C62" s="289"/>
      <c r="D62" s="289">
        <v>7</v>
      </c>
      <c r="E62" s="289"/>
      <c r="F62" s="289"/>
      <c r="G62" s="289">
        <v>7</v>
      </c>
    </row>
    <row r="63" spans="2:7">
      <c r="B63" s="51" t="s">
        <v>1227</v>
      </c>
      <c r="C63" s="289">
        <v>14</v>
      </c>
      <c r="D63" s="289">
        <v>156</v>
      </c>
      <c r="E63" s="289">
        <v>22</v>
      </c>
      <c r="F63" s="289">
        <v>53</v>
      </c>
      <c r="G63" s="289">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9">
        <v>14</v>
      </c>
    </row>
    <row r="74" spans="2:3">
      <c r="B74" s="51" t="s">
        <v>614</v>
      </c>
      <c r="C74" s="289">
        <v>156</v>
      </c>
    </row>
    <row r="75" spans="2:3">
      <c r="B75" s="51" t="s">
        <v>1931</v>
      </c>
      <c r="C75" s="289">
        <v>22</v>
      </c>
    </row>
    <row r="76" spans="2:3">
      <c r="B76" s="51" t="s">
        <v>619</v>
      </c>
      <c r="C76" s="289">
        <v>53</v>
      </c>
    </row>
    <row r="77" spans="2:3">
      <c r="B77" s="51" t="s">
        <v>1227</v>
      </c>
      <c r="C77" s="289">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1931</v>
      </c>
      <c r="E95" t="s">
        <v>615</v>
      </c>
      <c r="F95" t="s">
        <v>619</v>
      </c>
      <c r="G95" t="s">
        <v>1227</v>
      </c>
    </row>
    <row r="96" spans="2:16">
      <c r="B96" s="51" t="s">
        <v>380</v>
      </c>
      <c r="C96" s="289">
        <v>21</v>
      </c>
      <c r="D96" s="289">
        <v>3</v>
      </c>
      <c r="E96" s="289"/>
      <c r="F96" s="289">
        <v>6</v>
      </c>
      <c r="G96" s="289">
        <v>30</v>
      </c>
    </row>
    <row r="97" spans="2:7">
      <c r="B97" s="51" t="s">
        <v>336</v>
      </c>
      <c r="C97" s="289">
        <v>12</v>
      </c>
      <c r="D97" s="289"/>
      <c r="E97" s="289">
        <v>24</v>
      </c>
      <c r="F97" s="289">
        <v>7</v>
      </c>
      <c r="G97" s="289">
        <v>43</v>
      </c>
    </row>
    <row r="98" spans="2:7">
      <c r="B98" s="51" t="s">
        <v>369</v>
      </c>
      <c r="C98" s="289">
        <v>2</v>
      </c>
      <c r="D98" s="289">
        <v>3</v>
      </c>
      <c r="E98" s="289">
        <v>2</v>
      </c>
      <c r="F98" s="289">
        <v>17</v>
      </c>
      <c r="G98" s="289">
        <v>24</v>
      </c>
    </row>
    <row r="99" spans="2:7">
      <c r="B99" s="51" t="s">
        <v>440</v>
      </c>
      <c r="C99" s="289">
        <v>5</v>
      </c>
      <c r="D99" s="289"/>
      <c r="E99" s="289"/>
      <c r="F99" s="289"/>
      <c r="G99" s="289">
        <v>5</v>
      </c>
    </row>
    <row r="100" spans="2:7">
      <c r="B100" s="51" t="s">
        <v>442</v>
      </c>
      <c r="C100" s="289">
        <v>5</v>
      </c>
      <c r="D100" s="289"/>
      <c r="E100" s="289"/>
      <c r="F100" s="289"/>
      <c r="G100" s="289">
        <v>5</v>
      </c>
    </row>
    <row r="101" spans="2:7">
      <c r="B101" s="51" t="s">
        <v>1965</v>
      </c>
      <c r="C101" s="289"/>
      <c r="D101" s="289"/>
      <c r="E101" s="289"/>
      <c r="F101" s="289">
        <v>4</v>
      </c>
      <c r="G101" s="289">
        <v>4</v>
      </c>
    </row>
    <row r="102" spans="2:7">
      <c r="B102" s="51" t="s">
        <v>393</v>
      </c>
      <c r="C102" s="289">
        <v>9</v>
      </c>
      <c r="D102" s="289"/>
      <c r="E102" s="289"/>
      <c r="F102" s="289"/>
      <c r="G102" s="289">
        <v>9</v>
      </c>
    </row>
    <row r="103" spans="2:7">
      <c r="B103" s="51" t="s">
        <v>1966</v>
      </c>
      <c r="C103" s="289"/>
      <c r="D103" s="289"/>
      <c r="E103" s="289"/>
      <c r="F103" s="289">
        <v>15</v>
      </c>
      <c r="G103" s="289">
        <v>15</v>
      </c>
    </row>
    <row r="104" spans="2:7">
      <c r="B104" s="51" t="s">
        <v>1227</v>
      </c>
      <c r="C104" s="289">
        <v>54</v>
      </c>
      <c r="D104" s="289">
        <v>6</v>
      </c>
      <c r="E104" s="289">
        <v>26</v>
      </c>
      <c r="F104" s="289">
        <v>49</v>
      </c>
      <c r="G104" s="289">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289">
        <v>54</v>
      </c>
    </row>
    <row r="117" spans="2:3">
      <c r="B117" s="51" t="s">
        <v>619</v>
      </c>
      <c r="C117" s="289">
        <v>49</v>
      </c>
    </row>
    <row r="118" spans="2:3">
      <c r="B118" s="51" t="s">
        <v>615</v>
      </c>
      <c r="C118" s="289">
        <v>26</v>
      </c>
    </row>
    <row r="119" spans="2:3">
      <c r="B119" s="51" t="s">
        <v>1931</v>
      </c>
      <c r="C119" s="289">
        <v>6</v>
      </c>
    </row>
    <row r="120" spans="2:3">
      <c r="B120" s="51" t="s">
        <v>1227</v>
      </c>
      <c r="C120" s="289">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I518" sqref="I518:I54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8"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8"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8"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8"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8"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8"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8"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8"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8"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8"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8"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8"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8"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8"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8"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8"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8"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8"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8"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8"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8"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8"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8"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8"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1947</v>
      </c>
      <c r="H127" s="57" t="str">
        <f>Table1[[#This Row],[Tabela]]&amp;Table1[[#This Row],[Campo]]</f>
        <v>PROPERTYCGARANT_BEM</v>
      </c>
      <c r="I127" s="2" t="s">
        <v>619</v>
      </c>
      <c r="J127" s="43">
        <f>VLOOKUP(Table1[[#This Row],[Status]],Auxiliar!$B$16:$C$24,2,0)</f>
        <v>7</v>
      </c>
      <c r="K127" s="2" t="s">
        <v>1252</v>
      </c>
      <c r="L127" s="2"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1947</v>
      </c>
      <c r="H128" s="57" t="str">
        <f>Table1[[#This Row],[Tabela]]&amp;Table1[[#This Row],[Campo]]</f>
        <v>PROPERTYCGARANT_BEM</v>
      </c>
      <c r="I128" s="2" t="s">
        <v>619</v>
      </c>
      <c r="J128" s="43">
        <f>VLOOKUP(Table1[[#This Row],[Status]],Auxiliar!$B$16:$C$24,2,0)</f>
        <v>7</v>
      </c>
      <c r="K128" s="2" t="s">
        <v>1253</v>
      </c>
      <c r="L128" s="2"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1947</v>
      </c>
      <c r="H129" s="57" t="str">
        <f>Table1[[#This Row],[Tabela]]&amp;Table1[[#This Row],[Campo]]</f>
        <v>PROPERTYCGARANT_BEM</v>
      </c>
      <c r="I129" s="2" t="s">
        <v>619</v>
      </c>
      <c r="J129" s="43">
        <f>VLOOKUP(Table1[[#This Row],[Status]],Auxiliar!$B$16:$C$24,2,0)</f>
        <v>7</v>
      </c>
      <c r="K129" s="2" t="s">
        <v>1255</v>
      </c>
      <c r="L129" s="2"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616</v>
      </c>
      <c r="J143" s="43">
        <f>VLOOKUP(Table1[[#This Row],[Status]],Auxiliar!$B$16:$C$24,2,0)</f>
        <v>5</v>
      </c>
      <c r="K143" s="2" t="s">
        <v>1252</v>
      </c>
      <c r="L143" s="29" t="s">
        <v>1250</v>
      </c>
      <c r="M143" s="21" t="s">
        <v>1259</v>
      </c>
      <c r="N143" s="48">
        <v>45604</v>
      </c>
      <c r="O143" s="21">
        <f>INDEX(Auxiliar!$D$5:$F$13,MATCH(Table1[[#This Row],[Tipologia_Testes]],Auxiliar!$B$5:$B$13,0),MATCH(Table1[[#This Row],[Complexidade]],Auxiliar!$D$4:$F$4,0))</f>
        <v>2</v>
      </c>
      <c r="P143" s="2" t="s">
        <v>1276</v>
      </c>
      <c r="Q143" s="2"/>
      <c r="R143" s="152">
        <v>45261</v>
      </c>
      <c r="S143" s="152"/>
      <c r="T143" s="152">
        <v>45603</v>
      </c>
      <c r="U143" s="152">
        <v>45607</v>
      </c>
      <c r="V143" s="152">
        <v>45600</v>
      </c>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616</v>
      </c>
      <c r="J144" s="43">
        <f>VLOOKUP(Table1[[#This Row],[Status]],Auxiliar!$B$16:$C$24,2,0)</f>
        <v>5</v>
      </c>
      <c r="K144" s="2" t="s">
        <v>1253</v>
      </c>
      <c r="L144" s="29" t="s">
        <v>1250</v>
      </c>
      <c r="M144" s="21" t="s">
        <v>1259</v>
      </c>
      <c r="N144" s="48">
        <v>45604</v>
      </c>
      <c r="O144" s="21">
        <f>INDEX(Auxiliar!$D$5:$F$13,MATCH(Table1[[#This Row],[Tipologia_Testes]],Auxiliar!$B$5:$B$13,0),MATCH(Table1[[#This Row],[Complexidade]],Auxiliar!$D$4:$F$4,0))</f>
        <v>2</v>
      </c>
      <c r="P144" s="2" t="s">
        <v>1276</v>
      </c>
      <c r="Q144" s="2"/>
      <c r="R144" s="152">
        <v>45261</v>
      </c>
      <c r="S144" s="152"/>
      <c r="T144" s="152">
        <v>45603</v>
      </c>
      <c r="U144" s="152">
        <v>45607</v>
      </c>
      <c r="V144" s="152">
        <v>45600</v>
      </c>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616</v>
      </c>
      <c r="J145" s="43">
        <f>VLOOKUP(Table1[[#This Row],[Status]],Auxiliar!$B$16:$C$24,2,0)</f>
        <v>5</v>
      </c>
      <c r="K145" s="2" t="s">
        <v>1255</v>
      </c>
      <c r="L145" s="29" t="s">
        <v>1250</v>
      </c>
      <c r="M145" s="21" t="s">
        <v>1259</v>
      </c>
      <c r="N145" s="48">
        <v>45604</v>
      </c>
      <c r="O145" s="21">
        <f>INDEX(Auxiliar!$D$5:$F$13,MATCH(Table1[[#This Row],[Tipologia_Testes]],Auxiliar!$B$5:$B$13,0),MATCH(Table1[[#This Row],[Complexidade]],Auxiliar!$D$4:$F$4,0))</f>
        <v>0.1</v>
      </c>
      <c r="P145" s="2" t="s">
        <v>1276</v>
      </c>
      <c r="Q145" s="2"/>
      <c r="R145" s="152">
        <v>45261</v>
      </c>
      <c r="S145" s="152"/>
      <c r="T145" s="152">
        <v>45603</v>
      </c>
      <c r="U145" s="152">
        <v>45607</v>
      </c>
      <c r="V145" s="152">
        <v>45600</v>
      </c>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616</v>
      </c>
      <c r="J146" s="43">
        <f>VLOOKUP(Table1[[#This Row],[Status]],Auxiliar!$B$16:$C$24,2,0)</f>
        <v>5</v>
      </c>
      <c r="K146" s="2" t="s">
        <v>1252</v>
      </c>
      <c r="L146" s="29" t="s">
        <v>1250</v>
      </c>
      <c r="M146" s="21" t="s">
        <v>1259</v>
      </c>
      <c r="N146" s="48">
        <v>45604</v>
      </c>
      <c r="O146" s="21">
        <f>INDEX(Auxiliar!$D$5:$F$13,MATCH(Table1[[#This Row],[Tipologia_Testes]],Auxiliar!$B$5:$B$13,0),MATCH(Table1[[#This Row],[Complexidade]],Auxiliar!$D$4:$F$4,0))</f>
        <v>2</v>
      </c>
      <c r="P146" s="2" t="s">
        <v>1276</v>
      </c>
      <c r="Q146" s="2"/>
      <c r="R146" s="152">
        <v>45261</v>
      </c>
      <c r="S146" s="152"/>
      <c r="T146" s="152">
        <v>45603</v>
      </c>
      <c r="U146" s="152">
        <v>45607</v>
      </c>
      <c r="V146" s="152">
        <v>45600</v>
      </c>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616</v>
      </c>
      <c r="J147" s="43">
        <f>VLOOKUP(Table1[[#This Row],[Status]],Auxiliar!$B$16:$C$24,2,0)</f>
        <v>5</v>
      </c>
      <c r="K147" s="2" t="s">
        <v>1253</v>
      </c>
      <c r="L147" s="29" t="s">
        <v>1250</v>
      </c>
      <c r="M147" s="21" t="s">
        <v>1259</v>
      </c>
      <c r="N147" s="48">
        <v>45604</v>
      </c>
      <c r="O147" s="21">
        <f>INDEX(Auxiliar!$D$5:$F$13,MATCH(Table1[[#This Row],[Tipologia_Testes]],Auxiliar!$B$5:$B$13,0),MATCH(Table1[[#This Row],[Complexidade]],Auxiliar!$D$4:$F$4,0))</f>
        <v>2</v>
      </c>
      <c r="P147" s="2" t="s">
        <v>1276</v>
      </c>
      <c r="Q147" s="2"/>
      <c r="R147" s="152">
        <v>45261</v>
      </c>
      <c r="S147" s="152"/>
      <c r="T147" s="152">
        <v>45603</v>
      </c>
      <c r="U147" s="152">
        <v>45607</v>
      </c>
      <c r="V147" s="152">
        <v>45600</v>
      </c>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616</v>
      </c>
      <c r="J148" s="43">
        <f>VLOOKUP(Table1[[#This Row],[Status]],Auxiliar!$B$16:$C$24,2,0)</f>
        <v>5</v>
      </c>
      <c r="K148" s="2" t="s">
        <v>1255</v>
      </c>
      <c r="L148" s="29" t="s">
        <v>1250</v>
      </c>
      <c r="M148" s="21" t="s">
        <v>1259</v>
      </c>
      <c r="N148" s="48">
        <v>45604</v>
      </c>
      <c r="O148" s="21">
        <f>INDEX(Auxiliar!$D$5:$F$13,MATCH(Table1[[#This Row],[Tipologia_Testes]],Auxiliar!$B$5:$B$13,0),MATCH(Table1[[#This Row],[Complexidade]],Auxiliar!$D$4:$F$4,0))</f>
        <v>0.1</v>
      </c>
      <c r="P148" s="2" t="s">
        <v>1276</v>
      </c>
      <c r="Q148" s="2"/>
      <c r="R148" s="152">
        <v>45261</v>
      </c>
      <c r="S148" s="152"/>
      <c r="T148" s="152">
        <v>45603</v>
      </c>
      <c r="U148" s="152">
        <v>45607</v>
      </c>
      <c r="V148" s="152">
        <v>45600</v>
      </c>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616</v>
      </c>
      <c r="J149" s="43">
        <f>VLOOKUP(Table1[[#This Row],[Status]],Auxiliar!$B$16:$C$24,2,0)</f>
        <v>5</v>
      </c>
      <c r="K149" s="2" t="s">
        <v>1252</v>
      </c>
      <c r="L149" s="29" t="s">
        <v>1250</v>
      </c>
      <c r="M149" s="21" t="s">
        <v>1259</v>
      </c>
      <c r="N149" s="48">
        <v>45604</v>
      </c>
      <c r="O149" s="21">
        <f>INDEX(Auxiliar!$D$5:$F$13,MATCH(Table1[[#This Row],[Tipologia_Testes]],Auxiliar!$B$5:$B$13,0),MATCH(Table1[[#This Row],[Complexidade]],Auxiliar!$D$4:$F$4,0))</f>
        <v>2</v>
      </c>
      <c r="P149" s="2" t="s">
        <v>1276</v>
      </c>
      <c r="Q149" s="2"/>
      <c r="R149" s="152">
        <v>45261</v>
      </c>
      <c r="S149" s="152"/>
      <c r="T149" s="152">
        <v>45603</v>
      </c>
      <c r="U149" s="152">
        <v>45607</v>
      </c>
      <c r="V149" s="152">
        <v>45600</v>
      </c>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616</v>
      </c>
      <c r="J150" s="43">
        <f>VLOOKUP(Table1[[#This Row],[Status]],Auxiliar!$B$16:$C$24,2,0)</f>
        <v>5</v>
      </c>
      <c r="K150" s="2" t="s">
        <v>1253</v>
      </c>
      <c r="L150" s="29" t="s">
        <v>1250</v>
      </c>
      <c r="M150" s="21" t="s">
        <v>1259</v>
      </c>
      <c r="N150" s="48">
        <v>45604</v>
      </c>
      <c r="O150" s="21">
        <f>INDEX(Auxiliar!$D$5:$F$13,MATCH(Table1[[#This Row],[Tipologia_Testes]],Auxiliar!$B$5:$B$13,0),MATCH(Table1[[#This Row],[Complexidade]],Auxiliar!$D$4:$F$4,0))</f>
        <v>2</v>
      </c>
      <c r="P150" s="2" t="s">
        <v>1276</v>
      </c>
      <c r="Q150" s="2"/>
      <c r="R150" s="152">
        <v>45261</v>
      </c>
      <c r="S150" s="152"/>
      <c r="T150" s="152">
        <v>45603</v>
      </c>
      <c r="U150" s="152">
        <v>45607</v>
      </c>
      <c r="V150" s="152">
        <v>45600</v>
      </c>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616</v>
      </c>
      <c r="J151" s="43">
        <f>VLOOKUP(Table1[[#This Row],[Status]],Auxiliar!$B$16:$C$24,2,0)</f>
        <v>5</v>
      </c>
      <c r="K151" s="2" t="s">
        <v>1255</v>
      </c>
      <c r="L151" s="29" t="s">
        <v>1250</v>
      </c>
      <c r="M151" s="21" t="s">
        <v>1259</v>
      </c>
      <c r="N151" s="48">
        <v>45604</v>
      </c>
      <c r="O151" s="21">
        <f>INDEX(Auxiliar!$D$5:$F$13,MATCH(Table1[[#This Row],[Tipologia_Testes]],Auxiliar!$B$5:$B$13,0),MATCH(Table1[[#This Row],[Complexidade]],Auxiliar!$D$4:$F$4,0))</f>
        <v>0.1</v>
      </c>
      <c r="P151" s="2" t="s">
        <v>1276</v>
      </c>
      <c r="Q151" s="2"/>
      <c r="R151" s="152">
        <v>45261</v>
      </c>
      <c r="S151" s="152"/>
      <c r="T151" s="152">
        <v>45603</v>
      </c>
      <c r="U151" s="152">
        <v>45607</v>
      </c>
      <c r="V151" s="152">
        <v>45600</v>
      </c>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616</v>
      </c>
      <c r="J152" s="43">
        <f>VLOOKUP(Table1[[#This Row],[Status]],Auxiliar!$B$16:$C$24,2,0)</f>
        <v>5</v>
      </c>
      <c r="K152" s="2" t="s">
        <v>1252</v>
      </c>
      <c r="L152" s="29" t="s">
        <v>1250</v>
      </c>
      <c r="M152" s="21" t="s">
        <v>1259</v>
      </c>
      <c r="N152" s="48">
        <v>45604</v>
      </c>
      <c r="O152" s="21">
        <f>INDEX(Auxiliar!$D$5:$F$13,MATCH(Table1[[#This Row],[Tipologia_Testes]],Auxiliar!$B$5:$B$13,0),MATCH(Table1[[#This Row],[Complexidade]],Auxiliar!$D$4:$F$4,0))</f>
        <v>2</v>
      </c>
      <c r="P152" s="2" t="s">
        <v>1276</v>
      </c>
      <c r="Q152" s="2"/>
      <c r="R152" s="152">
        <v>45261</v>
      </c>
      <c r="S152" s="152"/>
      <c r="T152" s="152">
        <v>45603</v>
      </c>
      <c r="U152" s="152">
        <v>45607</v>
      </c>
      <c r="V152" s="152">
        <v>45600</v>
      </c>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616</v>
      </c>
      <c r="J153" s="43">
        <f>VLOOKUP(Table1[[#This Row],[Status]],Auxiliar!$B$16:$C$24,2,0)</f>
        <v>5</v>
      </c>
      <c r="K153" s="2" t="s">
        <v>1253</v>
      </c>
      <c r="L153" s="29" t="s">
        <v>1250</v>
      </c>
      <c r="M153" s="21" t="s">
        <v>1259</v>
      </c>
      <c r="N153" s="48">
        <v>45604</v>
      </c>
      <c r="O153" s="21">
        <f>INDEX(Auxiliar!$D$5:$F$13,MATCH(Table1[[#This Row],[Tipologia_Testes]],Auxiliar!$B$5:$B$13,0),MATCH(Table1[[#This Row],[Complexidade]],Auxiliar!$D$4:$F$4,0))</f>
        <v>2</v>
      </c>
      <c r="P153" s="2" t="s">
        <v>1276</v>
      </c>
      <c r="Q153" s="2"/>
      <c r="R153" s="152">
        <v>45261</v>
      </c>
      <c r="S153" s="152"/>
      <c r="T153" s="152">
        <v>45603</v>
      </c>
      <c r="U153" s="152">
        <v>45607</v>
      </c>
      <c r="V153" s="152">
        <v>45600</v>
      </c>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616</v>
      </c>
      <c r="J154" s="43">
        <f>VLOOKUP(Table1[[#This Row],[Status]],Auxiliar!$B$16:$C$24,2,0)</f>
        <v>5</v>
      </c>
      <c r="K154" s="2" t="s">
        <v>1255</v>
      </c>
      <c r="L154" s="29" t="s">
        <v>1250</v>
      </c>
      <c r="M154" s="21" t="s">
        <v>1259</v>
      </c>
      <c r="N154" s="48">
        <v>45604</v>
      </c>
      <c r="O154" s="21">
        <f>INDEX(Auxiliar!$D$5:$F$13,MATCH(Table1[[#This Row],[Tipologia_Testes]],Auxiliar!$B$5:$B$13,0),MATCH(Table1[[#This Row],[Complexidade]],Auxiliar!$D$4:$F$4,0))</f>
        <v>0.1</v>
      </c>
      <c r="P154" s="2" t="s">
        <v>1276</v>
      </c>
      <c r="Q154" s="2"/>
      <c r="R154" s="152">
        <v>45261</v>
      </c>
      <c r="S154" s="152"/>
      <c r="T154" s="152">
        <v>45603</v>
      </c>
      <c r="U154" s="152">
        <v>45607</v>
      </c>
      <c r="V154" s="152">
        <v>45600</v>
      </c>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616</v>
      </c>
      <c r="J155" s="43">
        <f>VLOOKUP(Table1[[#This Row],[Status]],Auxiliar!$B$16:$C$24,2,0)</f>
        <v>5</v>
      </c>
      <c r="K155" s="2" t="s">
        <v>1252</v>
      </c>
      <c r="L155" s="29" t="s">
        <v>1250</v>
      </c>
      <c r="M155" s="21" t="s">
        <v>1259</v>
      </c>
      <c r="N155" s="48">
        <v>45604</v>
      </c>
      <c r="O155" s="21">
        <f>INDEX(Auxiliar!$D$5:$F$13,MATCH(Table1[[#This Row],[Tipologia_Testes]],Auxiliar!$B$5:$B$13,0),MATCH(Table1[[#This Row],[Complexidade]],Auxiliar!$D$4:$F$4,0))</f>
        <v>2</v>
      </c>
      <c r="P155" s="2" t="s">
        <v>1276</v>
      </c>
      <c r="Q155" s="2"/>
      <c r="R155" s="152">
        <v>45261</v>
      </c>
      <c r="S155" s="152"/>
      <c r="T155" s="152">
        <v>45603</v>
      </c>
      <c r="U155" s="152">
        <v>45607</v>
      </c>
      <c r="V155" s="152">
        <v>45600</v>
      </c>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616</v>
      </c>
      <c r="J156" s="43">
        <f>VLOOKUP(Table1[[#This Row],[Status]],Auxiliar!$B$16:$C$24,2,0)</f>
        <v>5</v>
      </c>
      <c r="K156" s="2" t="s">
        <v>1253</v>
      </c>
      <c r="L156" s="29" t="s">
        <v>1250</v>
      </c>
      <c r="M156" s="21" t="s">
        <v>1259</v>
      </c>
      <c r="N156" s="48">
        <v>45604</v>
      </c>
      <c r="O156" s="21">
        <f>INDEX(Auxiliar!$D$5:$F$13,MATCH(Table1[[#This Row],[Tipologia_Testes]],Auxiliar!$B$5:$B$13,0),MATCH(Table1[[#This Row],[Complexidade]],Auxiliar!$D$4:$F$4,0))</f>
        <v>2</v>
      </c>
      <c r="P156" s="2" t="s">
        <v>1276</v>
      </c>
      <c r="Q156" s="2"/>
      <c r="R156" s="152">
        <v>45261</v>
      </c>
      <c r="S156" s="152"/>
      <c r="T156" s="152">
        <v>45603</v>
      </c>
      <c r="U156" s="152">
        <v>45607</v>
      </c>
      <c r="V156" s="152">
        <v>45600</v>
      </c>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616</v>
      </c>
      <c r="J157" s="43">
        <f>VLOOKUP(Table1[[#This Row],[Status]],Auxiliar!$B$16:$C$24,2,0)</f>
        <v>5</v>
      </c>
      <c r="K157" s="2" t="s">
        <v>1255</v>
      </c>
      <c r="L157" s="29" t="s">
        <v>1250</v>
      </c>
      <c r="M157" s="21" t="s">
        <v>1259</v>
      </c>
      <c r="N157" s="48">
        <v>45604</v>
      </c>
      <c r="O157" s="21">
        <f>INDEX(Auxiliar!$D$5:$F$13,MATCH(Table1[[#This Row],[Tipologia_Testes]],Auxiliar!$B$5:$B$13,0),MATCH(Table1[[#This Row],[Complexidade]],Auxiliar!$D$4:$F$4,0))</f>
        <v>0.1</v>
      </c>
      <c r="P157" s="2" t="s">
        <v>1276</v>
      </c>
      <c r="Q157" s="2"/>
      <c r="R157" s="152">
        <v>45261</v>
      </c>
      <c r="S157" s="152"/>
      <c r="T157" s="152">
        <v>45603</v>
      </c>
      <c r="U157" s="152">
        <v>45607</v>
      </c>
      <c r="V157" s="152">
        <v>45600</v>
      </c>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616</v>
      </c>
      <c r="J158" s="43">
        <f>VLOOKUP(Table1[[#This Row],[Status]],Auxiliar!$B$16:$C$24,2,0)</f>
        <v>5</v>
      </c>
      <c r="K158" s="2" t="s">
        <v>1252</v>
      </c>
      <c r="L158" s="29" t="s">
        <v>1250</v>
      </c>
      <c r="M158" s="21" t="s">
        <v>1259</v>
      </c>
      <c r="N158" s="48">
        <v>45604</v>
      </c>
      <c r="O158" s="21">
        <f>INDEX(Auxiliar!$D$5:$F$13,MATCH(Table1[[#This Row],[Tipologia_Testes]],Auxiliar!$B$5:$B$13,0),MATCH(Table1[[#This Row],[Complexidade]],Auxiliar!$D$4:$F$4,0))</f>
        <v>2</v>
      </c>
      <c r="P158" s="2" t="s">
        <v>1276</v>
      </c>
      <c r="Q158" s="2"/>
      <c r="R158" s="152">
        <v>45261</v>
      </c>
      <c r="S158" s="152"/>
      <c r="T158" s="152">
        <v>45603</v>
      </c>
      <c r="U158" s="152">
        <v>45607</v>
      </c>
      <c r="V158" s="152">
        <v>45600</v>
      </c>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616</v>
      </c>
      <c r="J159" s="43">
        <f>VLOOKUP(Table1[[#This Row],[Status]],Auxiliar!$B$16:$C$24,2,0)</f>
        <v>5</v>
      </c>
      <c r="K159" s="2" t="s">
        <v>1253</v>
      </c>
      <c r="L159" s="29" t="s">
        <v>1250</v>
      </c>
      <c r="M159" s="21" t="s">
        <v>1259</v>
      </c>
      <c r="N159" s="48">
        <v>45604</v>
      </c>
      <c r="O159" s="21">
        <f>INDEX(Auxiliar!$D$5:$F$13,MATCH(Table1[[#This Row],[Tipologia_Testes]],Auxiliar!$B$5:$B$13,0),MATCH(Table1[[#This Row],[Complexidade]],Auxiliar!$D$4:$F$4,0))</f>
        <v>2</v>
      </c>
      <c r="P159" s="2" t="s">
        <v>1276</v>
      </c>
      <c r="Q159" s="2"/>
      <c r="R159" s="152">
        <v>45261</v>
      </c>
      <c r="S159" s="152"/>
      <c r="T159" s="152">
        <v>45603</v>
      </c>
      <c r="U159" s="152">
        <v>45607</v>
      </c>
      <c r="V159" s="152">
        <v>45600</v>
      </c>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616</v>
      </c>
      <c r="J160" s="43">
        <f>VLOOKUP(Table1[[#This Row],[Status]],Auxiliar!$B$16:$C$24,2,0)</f>
        <v>5</v>
      </c>
      <c r="K160" s="2" t="s">
        <v>1255</v>
      </c>
      <c r="L160" s="29" t="s">
        <v>1250</v>
      </c>
      <c r="M160" s="21" t="s">
        <v>1259</v>
      </c>
      <c r="N160" s="48">
        <v>45604</v>
      </c>
      <c r="O160" s="21">
        <f>INDEX(Auxiliar!$D$5:$F$13,MATCH(Table1[[#This Row],[Tipologia_Testes]],Auxiliar!$B$5:$B$13,0),MATCH(Table1[[#This Row],[Complexidade]],Auxiliar!$D$4:$F$4,0))</f>
        <v>0.1</v>
      </c>
      <c r="P160" s="2" t="s">
        <v>1276</v>
      </c>
      <c r="Q160" s="2"/>
      <c r="R160" s="152">
        <v>45261</v>
      </c>
      <c r="S160" s="152"/>
      <c r="T160" s="152">
        <v>45603</v>
      </c>
      <c r="U160" s="152">
        <v>45607</v>
      </c>
      <c r="V160" s="152">
        <v>45600</v>
      </c>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616</v>
      </c>
      <c r="J167" s="43">
        <f>VLOOKUP(Table1[[#This Row],[Status]],Auxiliar!$B$16:$C$24,2,0)</f>
        <v>5</v>
      </c>
      <c r="K167" s="2" t="s">
        <v>1252</v>
      </c>
      <c r="L167" s="29" t="s">
        <v>1250</v>
      </c>
      <c r="M167" s="21" t="s">
        <v>1259</v>
      </c>
      <c r="N167" s="48">
        <v>45604</v>
      </c>
      <c r="O167" s="21">
        <f>INDEX(Auxiliar!$D$5:$F$13,MATCH(Table1[[#This Row],[Tipologia_Testes]],Auxiliar!$B$5:$B$13,0),MATCH(Table1[[#This Row],[Complexidade]],Auxiliar!$D$4:$F$4,0))</f>
        <v>2</v>
      </c>
      <c r="P167" s="2" t="s">
        <v>1276</v>
      </c>
      <c r="Q167" s="2"/>
      <c r="R167" s="152">
        <v>45261</v>
      </c>
      <c r="S167" s="152"/>
      <c r="T167" s="152">
        <v>45603</v>
      </c>
      <c r="U167" s="152">
        <v>45607</v>
      </c>
      <c r="V167" s="152">
        <v>45600</v>
      </c>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616</v>
      </c>
      <c r="J168" s="43">
        <f>VLOOKUP(Table1[[#This Row],[Status]],Auxiliar!$B$16:$C$24,2,0)</f>
        <v>5</v>
      </c>
      <c r="K168" s="2" t="s">
        <v>1253</v>
      </c>
      <c r="L168" s="29" t="s">
        <v>1250</v>
      </c>
      <c r="M168" s="21" t="s">
        <v>1259</v>
      </c>
      <c r="N168" s="48">
        <v>45604</v>
      </c>
      <c r="O168" s="21">
        <f>INDEX(Auxiliar!$D$5:$F$13,MATCH(Table1[[#This Row],[Tipologia_Testes]],Auxiliar!$B$5:$B$13,0),MATCH(Table1[[#This Row],[Complexidade]],Auxiliar!$D$4:$F$4,0))</f>
        <v>2</v>
      </c>
      <c r="P168" s="2" t="s">
        <v>1276</v>
      </c>
      <c r="Q168" s="2"/>
      <c r="R168" s="152">
        <v>45261</v>
      </c>
      <c r="S168" s="152"/>
      <c r="T168" s="152">
        <v>45603</v>
      </c>
      <c r="U168" s="152">
        <v>45607</v>
      </c>
      <c r="V168" s="152">
        <v>45600</v>
      </c>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616</v>
      </c>
      <c r="J169" s="43">
        <f>VLOOKUP(Table1[[#This Row],[Status]],Auxiliar!$B$16:$C$24,2,0)</f>
        <v>5</v>
      </c>
      <c r="K169" s="2" t="s">
        <v>1255</v>
      </c>
      <c r="L169" s="29" t="s">
        <v>1250</v>
      </c>
      <c r="M169" s="21" t="s">
        <v>1259</v>
      </c>
      <c r="N169" s="48">
        <v>45604</v>
      </c>
      <c r="O169" s="21">
        <f>INDEX(Auxiliar!$D$5:$F$13,MATCH(Table1[[#This Row],[Tipologia_Testes]],Auxiliar!$B$5:$B$13,0),MATCH(Table1[[#This Row],[Complexidade]],Auxiliar!$D$4:$F$4,0))</f>
        <v>0.1</v>
      </c>
      <c r="P169" s="2" t="s">
        <v>1276</v>
      </c>
      <c r="Q169" s="2"/>
      <c r="R169" s="152">
        <v>45261</v>
      </c>
      <c r="S169" s="152"/>
      <c r="T169" s="152">
        <v>45603</v>
      </c>
      <c r="U169" s="152">
        <v>45607</v>
      </c>
      <c r="V169" s="152">
        <v>45600</v>
      </c>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616</v>
      </c>
      <c r="J173" s="43">
        <f>VLOOKUP(Table1[[#This Row],[Status]],Auxiliar!$B$16:$C$24,2,0)</f>
        <v>5</v>
      </c>
      <c r="K173" s="2" t="s">
        <v>1252</v>
      </c>
      <c r="L173" s="29" t="s">
        <v>1250</v>
      </c>
      <c r="M173" s="21" t="s">
        <v>1259</v>
      </c>
      <c r="N173" s="48">
        <v>45604</v>
      </c>
      <c r="O173" s="21">
        <f>INDEX(Auxiliar!$D$5:$F$13,MATCH(Table1[[#This Row],[Tipologia_Testes]],Auxiliar!$B$5:$B$13,0),MATCH(Table1[[#This Row],[Complexidade]],Auxiliar!$D$4:$F$4,0))</f>
        <v>2</v>
      </c>
      <c r="P173" s="2" t="s">
        <v>1276</v>
      </c>
      <c r="Q173" s="2"/>
      <c r="R173" s="152">
        <v>45261</v>
      </c>
      <c r="S173" s="152"/>
      <c r="T173" s="152">
        <v>45603</v>
      </c>
      <c r="U173" s="152">
        <v>45607</v>
      </c>
      <c r="V173" s="152">
        <v>45600</v>
      </c>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616</v>
      </c>
      <c r="J174" s="43">
        <f>VLOOKUP(Table1[[#This Row],[Status]],Auxiliar!$B$16:$C$24,2,0)</f>
        <v>5</v>
      </c>
      <c r="K174" s="2" t="s">
        <v>1253</v>
      </c>
      <c r="L174" s="29" t="s">
        <v>1250</v>
      </c>
      <c r="M174" s="21" t="s">
        <v>1259</v>
      </c>
      <c r="N174" s="48">
        <v>45604</v>
      </c>
      <c r="O174" s="21">
        <f>INDEX(Auxiliar!$D$5:$F$13,MATCH(Table1[[#This Row],[Tipologia_Testes]],Auxiliar!$B$5:$B$13,0),MATCH(Table1[[#This Row],[Complexidade]],Auxiliar!$D$4:$F$4,0))</f>
        <v>2</v>
      </c>
      <c r="P174" s="2" t="s">
        <v>1276</v>
      </c>
      <c r="Q174" s="2"/>
      <c r="R174" s="152">
        <v>45261</v>
      </c>
      <c r="S174" s="152"/>
      <c r="T174" s="152">
        <v>45603</v>
      </c>
      <c r="U174" s="152">
        <v>45607</v>
      </c>
      <c r="V174" s="152">
        <v>45600</v>
      </c>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616</v>
      </c>
      <c r="J175" s="43">
        <f>VLOOKUP(Table1[[#This Row],[Status]],Auxiliar!$B$16:$C$24,2,0)</f>
        <v>5</v>
      </c>
      <c r="K175" s="2" t="s">
        <v>1255</v>
      </c>
      <c r="L175" s="29" t="s">
        <v>1250</v>
      </c>
      <c r="M175" s="21" t="s">
        <v>1259</v>
      </c>
      <c r="N175" s="48">
        <v>45604</v>
      </c>
      <c r="O175" s="21">
        <f>INDEX(Auxiliar!$D$5:$F$13,MATCH(Table1[[#This Row],[Tipologia_Testes]],Auxiliar!$B$5:$B$13,0),MATCH(Table1[[#This Row],[Complexidade]],Auxiliar!$D$4:$F$4,0))</f>
        <v>0.1</v>
      </c>
      <c r="P175" s="2" t="s">
        <v>1276</v>
      </c>
      <c r="Q175" s="2"/>
      <c r="R175" s="152">
        <v>45261</v>
      </c>
      <c r="S175" s="152"/>
      <c r="T175" s="152">
        <v>45603</v>
      </c>
      <c r="U175" s="152">
        <v>45607</v>
      </c>
      <c r="V175" s="152">
        <v>45600</v>
      </c>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616</v>
      </c>
      <c r="J176" s="43">
        <f>VLOOKUP(Table1[[#This Row],[Status]],Auxiliar!$B$16:$C$24,2,0)</f>
        <v>5</v>
      </c>
      <c r="K176" s="2" t="s">
        <v>1252</v>
      </c>
      <c r="L176" s="29" t="s">
        <v>1250</v>
      </c>
      <c r="M176" s="21" t="s">
        <v>1259</v>
      </c>
      <c r="N176" s="48">
        <v>45604</v>
      </c>
      <c r="O176" s="21">
        <f>INDEX(Auxiliar!$D$5:$F$13,MATCH(Table1[[#This Row],[Tipologia_Testes]],Auxiliar!$B$5:$B$13,0),MATCH(Table1[[#This Row],[Complexidade]],Auxiliar!$D$4:$F$4,0))</f>
        <v>2</v>
      </c>
      <c r="P176" s="2" t="s">
        <v>1276</v>
      </c>
      <c r="Q176" s="2"/>
      <c r="R176" s="152">
        <v>45562</v>
      </c>
      <c r="S176" s="152"/>
      <c r="T176" s="152">
        <v>45603</v>
      </c>
      <c r="U176" s="152">
        <v>45607</v>
      </c>
      <c r="V176" s="152">
        <v>45600</v>
      </c>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616</v>
      </c>
      <c r="J177" s="43">
        <f>VLOOKUP(Table1[[#This Row],[Status]],Auxiliar!$B$16:$C$24,2,0)</f>
        <v>5</v>
      </c>
      <c r="K177" s="2" t="s">
        <v>1253</v>
      </c>
      <c r="L177" s="29" t="s">
        <v>1250</v>
      </c>
      <c r="M177" s="21" t="s">
        <v>1259</v>
      </c>
      <c r="N177" s="48">
        <v>45604</v>
      </c>
      <c r="O177" s="21">
        <f>INDEX(Auxiliar!$D$5:$F$13,MATCH(Table1[[#This Row],[Tipologia_Testes]],Auxiliar!$B$5:$B$13,0),MATCH(Table1[[#This Row],[Complexidade]],Auxiliar!$D$4:$F$4,0))</f>
        <v>2</v>
      </c>
      <c r="P177" s="2" t="s">
        <v>1276</v>
      </c>
      <c r="Q177" s="2"/>
      <c r="R177" s="152">
        <v>45562</v>
      </c>
      <c r="S177" s="152"/>
      <c r="T177" s="152">
        <v>45603</v>
      </c>
      <c r="U177" s="152">
        <v>45607</v>
      </c>
      <c r="V177" s="152">
        <v>45600</v>
      </c>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616</v>
      </c>
      <c r="J178" s="43">
        <f>VLOOKUP(Table1[[#This Row],[Status]],Auxiliar!$B$16:$C$24,2,0)</f>
        <v>5</v>
      </c>
      <c r="K178" s="2" t="s">
        <v>1255</v>
      </c>
      <c r="L178" s="29" t="s">
        <v>1250</v>
      </c>
      <c r="M178" s="21" t="s">
        <v>1259</v>
      </c>
      <c r="N178" s="48">
        <v>45604</v>
      </c>
      <c r="O178" s="21">
        <f>INDEX(Auxiliar!$D$5:$F$13,MATCH(Table1[[#This Row],[Tipologia_Testes]],Auxiliar!$B$5:$B$13,0),MATCH(Table1[[#This Row],[Complexidade]],Auxiliar!$D$4:$F$4,0))</f>
        <v>0.1</v>
      </c>
      <c r="P178" s="2" t="s">
        <v>1276</v>
      </c>
      <c r="Q178" s="2"/>
      <c r="R178" s="152">
        <v>45562</v>
      </c>
      <c r="S178" s="152"/>
      <c r="T178" s="152">
        <v>45603</v>
      </c>
      <c r="U178" s="152">
        <v>45607</v>
      </c>
      <c r="V178" s="152">
        <v>45600</v>
      </c>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616</v>
      </c>
      <c r="J182" s="43">
        <f>VLOOKUP(Table1[[#This Row],[Status]],Auxiliar!$B$16:$C$24,2,0)</f>
        <v>5</v>
      </c>
      <c r="K182" s="2" t="s">
        <v>1252</v>
      </c>
      <c r="L182" s="29" t="s">
        <v>1250</v>
      </c>
      <c r="M182" s="21" t="s">
        <v>1259</v>
      </c>
      <c r="N182" s="48">
        <v>45604</v>
      </c>
      <c r="O182" s="21">
        <f>INDEX(Auxiliar!$D$5:$F$13,MATCH(Table1[[#This Row],[Tipologia_Testes]],Auxiliar!$B$5:$B$13,0),MATCH(Table1[[#This Row],[Complexidade]],Auxiliar!$D$4:$F$4,0))</f>
        <v>2</v>
      </c>
      <c r="P182" s="2" t="s">
        <v>1276</v>
      </c>
      <c r="Q182" s="2"/>
      <c r="R182" s="152">
        <v>45562</v>
      </c>
      <c r="S182" s="152"/>
      <c r="T182" s="152">
        <v>45603</v>
      </c>
      <c r="U182" s="152">
        <v>45607</v>
      </c>
      <c r="V182" s="152">
        <v>45600</v>
      </c>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616</v>
      </c>
      <c r="J183" s="43">
        <f>VLOOKUP(Table1[[#This Row],[Status]],Auxiliar!$B$16:$C$24,2,0)</f>
        <v>5</v>
      </c>
      <c r="K183" s="2" t="s">
        <v>1253</v>
      </c>
      <c r="L183" s="29" t="s">
        <v>1250</v>
      </c>
      <c r="M183" s="21" t="s">
        <v>1259</v>
      </c>
      <c r="N183" s="48">
        <v>45604</v>
      </c>
      <c r="O183" s="21">
        <f>INDEX(Auxiliar!$D$5:$F$13,MATCH(Table1[[#This Row],[Tipologia_Testes]],Auxiliar!$B$5:$B$13,0),MATCH(Table1[[#This Row],[Complexidade]],Auxiliar!$D$4:$F$4,0))</f>
        <v>2</v>
      </c>
      <c r="P183" s="2" t="s">
        <v>1276</v>
      </c>
      <c r="Q183" s="2"/>
      <c r="R183" s="152">
        <v>45562</v>
      </c>
      <c r="S183" s="152"/>
      <c r="T183" s="152">
        <v>45603</v>
      </c>
      <c r="U183" s="152">
        <v>45607</v>
      </c>
      <c r="V183" s="152">
        <v>45600</v>
      </c>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616</v>
      </c>
      <c r="J184" s="43">
        <f>VLOOKUP(Table1[[#This Row],[Status]],Auxiliar!$B$16:$C$24,2,0)</f>
        <v>5</v>
      </c>
      <c r="K184" s="2" t="s">
        <v>1255</v>
      </c>
      <c r="L184" s="29" t="s">
        <v>1250</v>
      </c>
      <c r="M184" s="21" t="s">
        <v>1259</v>
      </c>
      <c r="N184" s="48">
        <v>45604</v>
      </c>
      <c r="O184" s="21">
        <f>INDEX(Auxiliar!$D$5:$F$13,MATCH(Table1[[#This Row],[Tipologia_Testes]],Auxiliar!$B$5:$B$13,0),MATCH(Table1[[#This Row],[Complexidade]],Auxiliar!$D$4:$F$4,0))</f>
        <v>0.1</v>
      </c>
      <c r="P184" s="2" t="s">
        <v>1276</v>
      </c>
      <c r="Q184" s="2"/>
      <c r="R184" s="152">
        <v>45562</v>
      </c>
      <c r="S184" s="152"/>
      <c r="T184" s="152">
        <v>45603</v>
      </c>
      <c r="U184" s="152">
        <v>45607</v>
      </c>
      <c r="V184" s="152">
        <v>45600</v>
      </c>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616</v>
      </c>
      <c r="J188" s="43">
        <f>VLOOKUP(Table1[[#This Row],[Status]],Auxiliar!$B$16:$C$24,2,0)</f>
        <v>5</v>
      </c>
      <c r="K188" s="2" t="s">
        <v>1252</v>
      </c>
      <c r="L188" s="29" t="s">
        <v>1250</v>
      </c>
      <c r="M188" s="21" t="s">
        <v>1259</v>
      </c>
      <c r="N188" s="48">
        <v>45604</v>
      </c>
      <c r="O188" s="21">
        <f>INDEX(Auxiliar!$D$5:$F$13,MATCH(Table1[[#This Row],[Tipologia_Testes]],Auxiliar!$B$5:$B$13,0),MATCH(Table1[[#This Row],[Complexidade]],Auxiliar!$D$4:$F$4,0))</f>
        <v>2</v>
      </c>
      <c r="P188" s="2" t="s">
        <v>1276</v>
      </c>
      <c r="Q188" s="2"/>
      <c r="R188" s="152">
        <v>45261</v>
      </c>
      <c r="S188" s="152"/>
      <c r="T188" s="152">
        <v>45603</v>
      </c>
      <c r="U188" s="152">
        <v>45607</v>
      </c>
      <c r="V188" s="152">
        <v>45600</v>
      </c>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616</v>
      </c>
      <c r="J189" s="43">
        <f>VLOOKUP(Table1[[#This Row],[Status]],Auxiliar!$B$16:$C$24,2,0)</f>
        <v>5</v>
      </c>
      <c r="K189" s="2" t="s">
        <v>1253</v>
      </c>
      <c r="L189" s="29" t="s">
        <v>1250</v>
      </c>
      <c r="M189" s="21" t="s">
        <v>1259</v>
      </c>
      <c r="N189" s="48">
        <v>45604</v>
      </c>
      <c r="O189" s="21">
        <f>INDEX(Auxiliar!$D$5:$F$13,MATCH(Table1[[#This Row],[Tipologia_Testes]],Auxiliar!$B$5:$B$13,0),MATCH(Table1[[#This Row],[Complexidade]],Auxiliar!$D$4:$F$4,0))</f>
        <v>2</v>
      </c>
      <c r="P189" s="2" t="s">
        <v>1276</v>
      </c>
      <c r="Q189" s="2"/>
      <c r="R189" s="152">
        <v>45261</v>
      </c>
      <c r="S189" s="152"/>
      <c r="T189" s="152">
        <v>45603</v>
      </c>
      <c r="U189" s="152">
        <v>45607</v>
      </c>
      <c r="V189" s="152">
        <v>45600</v>
      </c>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616</v>
      </c>
      <c r="J190" s="43">
        <f>VLOOKUP(Table1[[#This Row],[Status]],Auxiliar!$B$16:$C$24,2,0)</f>
        <v>5</v>
      </c>
      <c r="K190" s="2" t="s">
        <v>1255</v>
      </c>
      <c r="L190" s="29" t="s">
        <v>1250</v>
      </c>
      <c r="M190" s="21" t="s">
        <v>1259</v>
      </c>
      <c r="N190" s="48">
        <v>45604</v>
      </c>
      <c r="O190" s="21">
        <f>INDEX(Auxiliar!$D$5:$F$13,MATCH(Table1[[#This Row],[Tipologia_Testes]],Auxiliar!$B$5:$B$13,0),MATCH(Table1[[#This Row],[Complexidade]],Auxiliar!$D$4:$F$4,0))</f>
        <v>0.1</v>
      </c>
      <c r="P190" s="2" t="s">
        <v>1276</v>
      </c>
      <c r="Q190" s="2"/>
      <c r="R190" s="152">
        <v>45261</v>
      </c>
      <c r="S190" s="152"/>
      <c r="T190" s="152">
        <v>45603</v>
      </c>
      <c r="U190" s="152">
        <v>45607</v>
      </c>
      <c r="V190" s="152">
        <v>45600</v>
      </c>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616</v>
      </c>
      <c r="J224" s="43">
        <f>VLOOKUP(Table1[[#This Row],[Status]],Auxiliar!$B$16:$C$24,2,0)</f>
        <v>5</v>
      </c>
      <c r="K224" s="2" t="s">
        <v>1252</v>
      </c>
      <c r="L224" s="29" t="s">
        <v>1250</v>
      </c>
      <c r="M224" s="21" t="s">
        <v>1259</v>
      </c>
      <c r="N224" s="48">
        <v>45604</v>
      </c>
      <c r="O224" s="21">
        <f>INDEX(Auxiliar!$D$5:$F$13,MATCH(Table1[[#This Row],[Tipologia_Testes]],Auxiliar!$B$5:$B$13,0),MATCH(Table1[[#This Row],[Complexidade]],Auxiliar!$D$4:$F$4,0))</f>
        <v>2</v>
      </c>
      <c r="P224" s="2" t="s">
        <v>1276</v>
      </c>
      <c r="Q224" s="2"/>
      <c r="R224" s="152">
        <v>45562</v>
      </c>
      <c r="S224" s="152"/>
      <c r="T224" s="152">
        <v>45603</v>
      </c>
      <c r="U224" s="152">
        <v>45607</v>
      </c>
      <c r="V224" s="152">
        <v>45600</v>
      </c>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616</v>
      </c>
      <c r="J225" s="43">
        <f>VLOOKUP(Table1[[#This Row],[Status]],Auxiliar!$B$16:$C$24,2,0)</f>
        <v>5</v>
      </c>
      <c r="K225" s="2" t="s">
        <v>1253</v>
      </c>
      <c r="L225" s="29" t="s">
        <v>1250</v>
      </c>
      <c r="M225" s="21" t="s">
        <v>1259</v>
      </c>
      <c r="N225" s="48">
        <v>45604</v>
      </c>
      <c r="O225" s="21">
        <f>INDEX(Auxiliar!$D$5:$F$13,MATCH(Table1[[#This Row],[Tipologia_Testes]],Auxiliar!$B$5:$B$13,0),MATCH(Table1[[#This Row],[Complexidade]],Auxiliar!$D$4:$F$4,0))</f>
        <v>2</v>
      </c>
      <c r="P225" s="2" t="s">
        <v>1276</v>
      </c>
      <c r="Q225" s="2"/>
      <c r="R225" s="152">
        <v>45562</v>
      </c>
      <c r="S225" s="152"/>
      <c r="T225" s="152">
        <v>45603</v>
      </c>
      <c r="U225" s="152">
        <v>45607</v>
      </c>
      <c r="V225" s="152">
        <v>45600</v>
      </c>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616</v>
      </c>
      <c r="J226" s="43">
        <f>VLOOKUP(Table1[[#This Row],[Status]],Auxiliar!$B$16:$C$24,2,0)</f>
        <v>5</v>
      </c>
      <c r="K226" s="2" t="s">
        <v>1255</v>
      </c>
      <c r="L226" s="29" t="s">
        <v>1250</v>
      </c>
      <c r="M226" s="21" t="s">
        <v>1259</v>
      </c>
      <c r="N226" s="48">
        <v>45604</v>
      </c>
      <c r="O226" s="21">
        <f>INDEX(Auxiliar!$D$5:$F$13,MATCH(Table1[[#This Row],[Tipologia_Testes]],Auxiliar!$B$5:$B$13,0),MATCH(Table1[[#This Row],[Complexidade]],Auxiliar!$D$4:$F$4,0))</f>
        <v>0.1</v>
      </c>
      <c r="P226" s="2" t="s">
        <v>1276</v>
      </c>
      <c r="Q226" s="2"/>
      <c r="R226" s="152">
        <v>45562</v>
      </c>
      <c r="S226" s="152"/>
      <c r="T226" s="152">
        <v>45603</v>
      </c>
      <c r="U226" s="152">
        <v>45607</v>
      </c>
      <c r="V226" s="152">
        <v>45600</v>
      </c>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616</v>
      </c>
      <c r="J251" s="43">
        <f>VLOOKUP(Table1[[#This Row],[Status]],Auxiliar!$B$16:$C$24,2,0)</f>
        <v>5</v>
      </c>
      <c r="K251" s="2" t="s">
        <v>1252</v>
      </c>
      <c r="L251" s="29" t="s">
        <v>1250</v>
      </c>
      <c r="M251" s="21" t="s">
        <v>1259</v>
      </c>
      <c r="N251" s="48">
        <v>45604</v>
      </c>
      <c r="O251" s="21">
        <f>INDEX(Auxiliar!$D$5:$F$13,MATCH(Table1[[#This Row],[Tipologia_Testes]],Auxiliar!$B$5:$B$13,0),MATCH(Table1[[#This Row],[Complexidade]],Auxiliar!$D$4:$F$4,0))</f>
        <v>2</v>
      </c>
      <c r="P251" s="2" t="s">
        <v>1276</v>
      </c>
      <c r="Q251" s="2"/>
      <c r="R251" s="152">
        <v>45261</v>
      </c>
      <c r="S251" s="152"/>
      <c r="T251" s="152">
        <v>45603</v>
      </c>
      <c r="U251" s="152">
        <v>45607</v>
      </c>
      <c r="V251" s="152">
        <v>45600</v>
      </c>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616</v>
      </c>
      <c r="J252" s="43">
        <f>VLOOKUP(Table1[[#This Row],[Status]],Auxiliar!$B$16:$C$24,2,0)</f>
        <v>5</v>
      </c>
      <c r="K252" s="2" t="s">
        <v>1253</v>
      </c>
      <c r="L252" s="29" t="s">
        <v>1250</v>
      </c>
      <c r="M252" s="21" t="s">
        <v>1259</v>
      </c>
      <c r="N252" s="48">
        <v>45604</v>
      </c>
      <c r="O252" s="21">
        <f>INDEX(Auxiliar!$D$5:$F$13,MATCH(Table1[[#This Row],[Tipologia_Testes]],Auxiliar!$B$5:$B$13,0),MATCH(Table1[[#This Row],[Complexidade]],Auxiliar!$D$4:$F$4,0))</f>
        <v>2</v>
      </c>
      <c r="P252" s="2" t="s">
        <v>1276</v>
      </c>
      <c r="Q252" s="2"/>
      <c r="R252" s="152">
        <v>45261</v>
      </c>
      <c r="S252" s="152"/>
      <c r="T252" s="152">
        <v>45603</v>
      </c>
      <c r="U252" s="152">
        <v>45607</v>
      </c>
      <c r="V252" s="152">
        <v>45600</v>
      </c>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616</v>
      </c>
      <c r="J253" s="43">
        <f>VLOOKUP(Table1[[#This Row],[Status]],Auxiliar!$B$16:$C$24,2,0)</f>
        <v>5</v>
      </c>
      <c r="K253" s="2" t="s">
        <v>1255</v>
      </c>
      <c r="L253" s="29" t="s">
        <v>1250</v>
      </c>
      <c r="M253" s="21" t="s">
        <v>1259</v>
      </c>
      <c r="N253" s="48">
        <v>45604</v>
      </c>
      <c r="O253" s="21">
        <f>INDEX(Auxiliar!$D$5:$F$13,MATCH(Table1[[#This Row],[Tipologia_Testes]],Auxiliar!$B$5:$B$13,0),MATCH(Table1[[#This Row],[Complexidade]],Auxiliar!$D$4:$F$4,0))</f>
        <v>0.1</v>
      </c>
      <c r="P253" s="2" t="s">
        <v>1276</v>
      </c>
      <c r="Q253" s="2"/>
      <c r="R253" s="152">
        <v>45261</v>
      </c>
      <c r="S253" s="152"/>
      <c r="T253" s="152">
        <v>45603</v>
      </c>
      <c r="U253" s="152">
        <v>45607</v>
      </c>
      <c r="V253" s="152">
        <v>45600</v>
      </c>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616</v>
      </c>
      <c r="J266" s="43">
        <f>VLOOKUP(Table1[[#This Row],[Status]],Auxiliar!$B$16:$C$24,2,0)</f>
        <v>5</v>
      </c>
      <c r="K266" s="2" t="s">
        <v>1252</v>
      </c>
      <c r="L266" s="29" t="s">
        <v>1250</v>
      </c>
      <c r="M266" s="21" t="s">
        <v>1259</v>
      </c>
      <c r="N266" s="48">
        <v>45604</v>
      </c>
      <c r="O266" s="21">
        <f>INDEX(Auxiliar!$D$5:$F$13,MATCH(Table1[[#This Row],[Tipologia_Testes]],Auxiliar!$B$5:$B$13,0),MATCH(Table1[[#This Row],[Complexidade]],Auxiliar!$D$4:$F$4,0))</f>
        <v>2</v>
      </c>
      <c r="P266" s="2" t="s">
        <v>1276</v>
      </c>
      <c r="Q266" s="2"/>
      <c r="R266" s="152">
        <v>45261</v>
      </c>
      <c r="S266" s="152"/>
      <c r="T266" s="152">
        <v>45603</v>
      </c>
      <c r="U266" s="152">
        <v>45607</v>
      </c>
      <c r="V266" s="152">
        <v>45600</v>
      </c>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616</v>
      </c>
      <c r="J267" s="43">
        <f>VLOOKUP(Table1[[#This Row],[Status]],Auxiliar!$B$16:$C$24,2,0)</f>
        <v>5</v>
      </c>
      <c r="K267" s="2" t="s">
        <v>1253</v>
      </c>
      <c r="L267" s="29" t="s">
        <v>1250</v>
      </c>
      <c r="M267" s="21" t="s">
        <v>1259</v>
      </c>
      <c r="N267" s="48">
        <v>45604</v>
      </c>
      <c r="O267" s="21">
        <f>INDEX(Auxiliar!$D$5:$F$13,MATCH(Table1[[#This Row],[Tipologia_Testes]],Auxiliar!$B$5:$B$13,0),MATCH(Table1[[#This Row],[Complexidade]],Auxiliar!$D$4:$F$4,0))</f>
        <v>2</v>
      </c>
      <c r="P267" s="2" t="s">
        <v>1276</v>
      </c>
      <c r="Q267" s="2"/>
      <c r="R267" s="152">
        <v>45261</v>
      </c>
      <c r="S267" s="152"/>
      <c r="T267" s="152">
        <v>45603</v>
      </c>
      <c r="U267" s="152">
        <v>45607</v>
      </c>
      <c r="V267" s="152">
        <v>45600</v>
      </c>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616</v>
      </c>
      <c r="J268" s="43">
        <f>VLOOKUP(Table1[[#This Row],[Status]],Auxiliar!$B$16:$C$24,2,0)</f>
        <v>5</v>
      </c>
      <c r="K268" s="2" t="s">
        <v>1255</v>
      </c>
      <c r="L268" s="29" t="s">
        <v>1250</v>
      </c>
      <c r="M268" s="21" t="s">
        <v>1259</v>
      </c>
      <c r="N268" s="48">
        <v>45604</v>
      </c>
      <c r="O268" s="21">
        <f>INDEX(Auxiliar!$D$5:$F$13,MATCH(Table1[[#This Row],[Tipologia_Testes]],Auxiliar!$B$5:$B$13,0),MATCH(Table1[[#This Row],[Complexidade]],Auxiliar!$D$4:$F$4,0))</f>
        <v>0.1</v>
      </c>
      <c r="P268" s="2" t="s">
        <v>1276</v>
      </c>
      <c r="Q268" s="2"/>
      <c r="R268" s="152">
        <v>45261</v>
      </c>
      <c r="S268" s="152"/>
      <c r="T268" s="152">
        <v>45603</v>
      </c>
      <c r="U268" s="152">
        <v>45607</v>
      </c>
      <c r="V268" s="152">
        <v>45600</v>
      </c>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616</v>
      </c>
      <c r="J278" s="43">
        <f>VLOOKUP(Table1[[#This Row],[Status]],Auxiliar!$B$16:$C$24,2,0)</f>
        <v>5</v>
      </c>
      <c r="K278" s="2" t="s">
        <v>1252</v>
      </c>
      <c r="L278" s="29" t="s">
        <v>1250</v>
      </c>
      <c r="M278" s="21" t="s">
        <v>1259</v>
      </c>
      <c r="N278" s="48">
        <v>45604</v>
      </c>
      <c r="O278" s="21">
        <f>INDEX(Auxiliar!$D$5:$F$13,MATCH(Table1[[#This Row],[Tipologia_Testes]],Auxiliar!$B$5:$B$13,0),MATCH(Table1[[#This Row],[Complexidade]],Auxiliar!$D$4:$F$4,0))</f>
        <v>2</v>
      </c>
      <c r="P278" s="2" t="s">
        <v>1276</v>
      </c>
      <c r="Q278" s="2"/>
      <c r="R278" s="152">
        <v>45261</v>
      </c>
      <c r="S278" s="152"/>
      <c r="T278" s="152">
        <v>45603</v>
      </c>
      <c r="U278" s="152">
        <v>45607</v>
      </c>
      <c r="V278" s="152">
        <v>45600</v>
      </c>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616</v>
      </c>
      <c r="J279" s="43">
        <f>VLOOKUP(Table1[[#This Row],[Status]],Auxiliar!$B$16:$C$24,2,0)</f>
        <v>5</v>
      </c>
      <c r="K279" s="2" t="s">
        <v>1253</v>
      </c>
      <c r="L279" s="29" t="s">
        <v>1250</v>
      </c>
      <c r="M279" s="21" t="s">
        <v>1259</v>
      </c>
      <c r="N279" s="48">
        <v>45604</v>
      </c>
      <c r="O279" s="21">
        <f>INDEX(Auxiliar!$D$5:$F$13,MATCH(Table1[[#This Row],[Tipologia_Testes]],Auxiliar!$B$5:$B$13,0),MATCH(Table1[[#This Row],[Complexidade]],Auxiliar!$D$4:$F$4,0))</f>
        <v>2</v>
      </c>
      <c r="P279" s="2" t="s">
        <v>1276</v>
      </c>
      <c r="Q279" s="2"/>
      <c r="R279" s="152">
        <v>45261</v>
      </c>
      <c r="S279" s="152"/>
      <c r="T279" s="152">
        <v>45603</v>
      </c>
      <c r="U279" s="152">
        <v>45607</v>
      </c>
      <c r="V279" s="152">
        <v>45600</v>
      </c>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616</v>
      </c>
      <c r="J280" s="43">
        <f>VLOOKUP(Table1[[#This Row],[Status]],Auxiliar!$B$16:$C$24,2,0)</f>
        <v>5</v>
      </c>
      <c r="K280" s="2" t="s">
        <v>1255</v>
      </c>
      <c r="L280" s="29" t="s">
        <v>1250</v>
      </c>
      <c r="M280" s="21" t="s">
        <v>1259</v>
      </c>
      <c r="N280" s="48">
        <v>45604</v>
      </c>
      <c r="O280" s="21">
        <f>INDEX(Auxiliar!$D$5:$F$13,MATCH(Table1[[#This Row],[Tipologia_Testes]],Auxiliar!$B$5:$B$13,0),MATCH(Table1[[#This Row],[Complexidade]],Auxiliar!$D$4:$F$4,0))</f>
        <v>0.1</v>
      </c>
      <c r="P280" s="2" t="s">
        <v>1276</v>
      </c>
      <c r="Q280" s="2"/>
      <c r="R280" s="152">
        <v>45261</v>
      </c>
      <c r="S280" s="152"/>
      <c r="T280" s="152">
        <v>45603</v>
      </c>
      <c r="U280" s="152">
        <v>45607</v>
      </c>
      <c r="V280" s="152">
        <v>45600</v>
      </c>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616</v>
      </c>
      <c r="J326" s="43">
        <f>VLOOKUP(Table1[[#This Row],[Status]],Auxiliar!$B$16:$C$24,2,0)</f>
        <v>5</v>
      </c>
      <c r="K326" s="2" t="s">
        <v>1252</v>
      </c>
      <c r="L326" s="29" t="s">
        <v>1250</v>
      </c>
      <c r="M326" s="21" t="s">
        <v>1259</v>
      </c>
      <c r="N326" s="48">
        <v>45604</v>
      </c>
      <c r="O326" s="21">
        <f>INDEX(Auxiliar!$D$5:$F$13,MATCH(Table1[[#This Row],[Tipologia_Testes]],Auxiliar!$B$5:$B$13,0),MATCH(Table1[[#This Row],[Complexidade]],Auxiliar!$D$4:$F$4,0))</f>
        <v>2</v>
      </c>
      <c r="P326" s="2" t="s">
        <v>1276</v>
      </c>
      <c r="Q326" s="2"/>
      <c r="R326" s="152">
        <v>45261</v>
      </c>
      <c r="S326" s="152"/>
      <c r="T326" s="152">
        <v>45603</v>
      </c>
      <c r="U326" s="152">
        <v>45607</v>
      </c>
      <c r="V326" s="152">
        <v>45600</v>
      </c>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616</v>
      </c>
      <c r="J327" s="43">
        <f>VLOOKUP(Table1[[#This Row],[Status]],Auxiliar!$B$16:$C$24,2,0)</f>
        <v>5</v>
      </c>
      <c r="K327" s="2" t="s">
        <v>1253</v>
      </c>
      <c r="L327" s="29" t="s">
        <v>1250</v>
      </c>
      <c r="M327" s="21" t="s">
        <v>1259</v>
      </c>
      <c r="N327" s="48">
        <v>45604</v>
      </c>
      <c r="O327" s="21">
        <f>INDEX(Auxiliar!$D$5:$F$13,MATCH(Table1[[#This Row],[Tipologia_Testes]],Auxiliar!$B$5:$B$13,0),MATCH(Table1[[#This Row],[Complexidade]],Auxiliar!$D$4:$F$4,0))</f>
        <v>2</v>
      </c>
      <c r="P327" s="2" t="s">
        <v>1276</v>
      </c>
      <c r="Q327" s="2"/>
      <c r="R327" s="152"/>
      <c r="S327" s="152"/>
      <c r="T327" s="152">
        <v>45603</v>
      </c>
      <c r="U327" s="152">
        <v>45607</v>
      </c>
      <c r="V327" s="152">
        <v>45600</v>
      </c>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616</v>
      </c>
      <c r="J328" s="43">
        <f>VLOOKUP(Table1[[#This Row],[Status]],Auxiliar!$B$16:$C$24,2,0)</f>
        <v>5</v>
      </c>
      <c r="K328" s="2" t="s">
        <v>1255</v>
      </c>
      <c r="L328" s="29" t="s">
        <v>1250</v>
      </c>
      <c r="M328" s="21" t="s">
        <v>1259</v>
      </c>
      <c r="N328" s="48">
        <v>45604</v>
      </c>
      <c r="O328" s="21">
        <f>INDEX(Auxiliar!$D$5:$F$13,MATCH(Table1[[#This Row],[Tipologia_Testes]],Auxiliar!$B$5:$B$13,0),MATCH(Table1[[#This Row],[Complexidade]],Auxiliar!$D$4:$F$4,0))</f>
        <v>0.1</v>
      </c>
      <c r="P328" s="2" t="s">
        <v>1276</v>
      </c>
      <c r="Q328" s="2"/>
      <c r="R328" s="152"/>
      <c r="S328" s="152"/>
      <c r="T328" s="152">
        <v>45603</v>
      </c>
      <c r="U328" s="152">
        <v>45607</v>
      </c>
      <c r="V328" s="152">
        <v>45600</v>
      </c>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616</v>
      </c>
      <c r="J329" s="43">
        <f>VLOOKUP(Table1[[#This Row],[Status]],Auxiliar!$B$16:$C$24,2,0)</f>
        <v>5</v>
      </c>
      <c r="K329" s="2" t="s">
        <v>1252</v>
      </c>
      <c r="L329" s="29" t="s">
        <v>1250</v>
      </c>
      <c r="M329" s="21" t="s">
        <v>1259</v>
      </c>
      <c r="N329" s="48">
        <v>45604</v>
      </c>
      <c r="O329" s="21">
        <f>INDEX(Auxiliar!$D$5:$F$13,MATCH(Table1[[#This Row],[Tipologia_Testes]],Auxiliar!$B$5:$B$13,0),MATCH(Table1[[#This Row],[Complexidade]],Auxiliar!$D$4:$F$4,0))</f>
        <v>2</v>
      </c>
      <c r="P329" s="2" t="s">
        <v>1276</v>
      </c>
      <c r="Q329" s="2"/>
      <c r="R329" s="152">
        <v>45261</v>
      </c>
      <c r="S329" s="152"/>
      <c r="T329" s="152">
        <v>45603</v>
      </c>
      <c r="U329" s="152">
        <v>45607</v>
      </c>
      <c r="V329" s="152">
        <v>45600</v>
      </c>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616</v>
      </c>
      <c r="J330" s="43">
        <f>VLOOKUP(Table1[[#This Row],[Status]],Auxiliar!$B$16:$C$24,2,0)</f>
        <v>5</v>
      </c>
      <c r="K330" s="2" t="s">
        <v>1253</v>
      </c>
      <c r="L330" s="29" t="s">
        <v>1250</v>
      </c>
      <c r="M330" s="21" t="s">
        <v>1259</v>
      </c>
      <c r="N330" s="48">
        <v>45604</v>
      </c>
      <c r="O330" s="21">
        <f>INDEX(Auxiliar!$D$5:$F$13,MATCH(Table1[[#This Row],[Tipologia_Testes]],Auxiliar!$B$5:$B$13,0),MATCH(Table1[[#This Row],[Complexidade]],Auxiliar!$D$4:$F$4,0))</f>
        <v>2</v>
      </c>
      <c r="P330" s="2" t="s">
        <v>1276</v>
      </c>
      <c r="Q330" s="2"/>
      <c r="R330" s="152"/>
      <c r="S330" s="152"/>
      <c r="T330" s="152">
        <v>45603</v>
      </c>
      <c r="U330" s="152">
        <v>45607</v>
      </c>
      <c r="V330" s="152">
        <v>45600</v>
      </c>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616</v>
      </c>
      <c r="J331" s="43">
        <f>VLOOKUP(Table1[[#This Row],[Status]],Auxiliar!$B$16:$C$24,2,0)</f>
        <v>5</v>
      </c>
      <c r="K331" s="2" t="s">
        <v>1255</v>
      </c>
      <c r="L331" s="29" t="s">
        <v>1250</v>
      </c>
      <c r="M331" s="21" t="s">
        <v>1259</v>
      </c>
      <c r="N331" s="48">
        <v>45604</v>
      </c>
      <c r="O331" s="21">
        <f>INDEX(Auxiliar!$D$5:$F$13,MATCH(Table1[[#This Row],[Tipologia_Testes]],Auxiliar!$B$5:$B$13,0),MATCH(Table1[[#This Row],[Complexidade]],Auxiliar!$D$4:$F$4,0))</f>
        <v>0.1</v>
      </c>
      <c r="P331" s="2" t="s">
        <v>1276</v>
      </c>
      <c r="Q331" s="2"/>
      <c r="R331" s="152"/>
      <c r="S331" s="152"/>
      <c r="T331" s="152">
        <v>45603</v>
      </c>
      <c r="U331" s="152">
        <v>45607</v>
      </c>
      <c r="V331" s="152">
        <v>45600</v>
      </c>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616</v>
      </c>
      <c r="J332" s="43">
        <f>VLOOKUP(Table1[[#This Row],[Status]],Auxiliar!$B$16:$C$24,2,0)</f>
        <v>5</v>
      </c>
      <c r="K332" s="2" t="s">
        <v>1252</v>
      </c>
      <c r="L332" s="29" t="s">
        <v>1250</v>
      </c>
      <c r="M332" s="21" t="s">
        <v>1259</v>
      </c>
      <c r="N332" s="48">
        <v>45604</v>
      </c>
      <c r="O332" s="21">
        <f>INDEX(Auxiliar!$D$5:$F$13,MATCH(Table1[[#This Row],[Tipologia_Testes]],Auxiliar!$B$5:$B$13,0),MATCH(Table1[[#This Row],[Complexidade]],Auxiliar!$D$4:$F$4,0))</f>
        <v>2</v>
      </c>
      <c r="P332" s="2" t="s">
        <v>1276</v>
      </c>
      <c r="Q332" s="2"/>
      <c r="R332" s="152">
        <v>45261</v>
      </c>
      <c r="S332" s="152"/>
      <c r="T332" s="152">
        <v>45603</v>
      </c>
      <c r="U332" s="152">
        <v>45607</v>
      </c>
      <c r="V332" s="152">
        <v>45600</v>
      </c>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616</v>
      </c>
      <c r="J333" s="43">
        <f>VLOOKUP(Table1[[#This Row],[Status]],Auxiliar!$B$16:$C$24,2,0)</f>
        <v>5</v>
      </c>
      <c r="K333" s="2" t="s">
        <v>1253</v>
      </c>
      <c r="L333" s="29" t="s">
        <v>1250</v>
      </c>
      <c r="M333" s="21" t="s">
        <v>1259</v>
      </c>
      <c r="N333" s="48">
        <v>45604</v>
      </c>
      <c r="O333" s="21">
        <f>INDEX(Auxiliar!$D$5:$F$13,MATCH(Table1[[#This Row],[Tipologia_Testes]],Auxiliar!$B$5:$B$13,0),MATCH(Table1[[#This Row],[Complexidade]],Auxiliar!$D$4:$F$4,0))</f>
        <v>2</v>
      </c>
      <c r="P333" s="2" t="s">
        <v>1276</v>
      </c>
      <c r="Q333" s="2"/>
      <c r="R333" s="152"/>
      <c r="S333" s="152"/>
      <c r="T333" s="152">
        <v>45603</v>
      </c>
      <c r="U333" s="152">
        <v>45607</v>
      </c>
      <c r="V333" s="152">
        <v>45600</v>
      </c>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616</v>
      </c>
      <c r="J334" s="43">
        <f>VLOOKUP(Table1[[#This Row],[Status]],Auxiliar!$B$16:$C$24,2,0)</f>
        <v>5</v>
      </c>
      <c r="K334" s="2" t="s">
        <v>1255</v>
      </c>
      <c r="L334" s="29" t="s">
        <v>1250</v>
      </c>
      <c r="M334" s="21" t="s">
        <v>1259</v>
      </c>
      <c r="N334" s="48">
        <v>45604</v>
      </c>
      <c r="O334" s="21">
        <f>INDEX(Auxiliar!$D$5:$F$13,MATCH(Table1[[#This Row],[Tipologia_Testes]],Auxiliar!$B$5:$B$13,0),MATCH(Table1[[#This Row],[Complexidade]],Auxiliar!$D$4:$F$4,0))</f>
        <v>0.1</v>
      </c>
      <c r="P334" s="2" t="s">
        <v>1276</v>
      </c>
      <c r="Q334" s="2"/>
      <c r="R334" s="152"/>
      <c r="S334" s="152"/>
      <c r="T334" s="152">
        <v>45603</v>
      </c>
      <c r="U334" s="152">
        <v>45607</v>
      </c>
      <c r="V334" s="152">
        <v>45600</v>
      </c>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616</v>
      </c>
      <c r="J335" s="43">
        <f>VLOOKUP(Table1[[#This Row],[Status]],Auxiliar!$B$16:$C$24,2,0)</f>
        <v>5</v>
      </c>
      <c r="K335" s="2" t="s">
        <v>1252</v>
      </c>
      <c r="L335" s="29" t="s">
        <v>1250</v>
      </c>
      <c r="M335" s="21" t="s">
        <v>1259</v>
      </c>
      <c r="N335" s="48">
        <v>45604</v>
      </c>
      <c r="O335" s="21">
        <f>INDEX(Auxiliar!$D$5:$F$13,MATCH(Table1[[#This Row],[Tipologia_Testes]],Auxiliar!$B$5:$B$13,0),MATCH(Table1[[#This Row],[Complexidade]],Auxiliar!$D$4:$F$4,0))</f>
        <v>2</v>
      </c>
      <c r="P335" s="2" t="s">
        <v>1276</v>
      </c>
      <c r="Q335" s="2"/>
      <c r="R335" s="152">
        <v>45261</v>
      </c>
      <c r="S335" s="152"/>
      <c r="T335" s="152">
        <v>45603</v>
      </c>
      <c r="U335" s="152">
        <v>45607</v>
      </c>
      <c r="V335" s="152">
        <v>45600</v>
      </c>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616</v>
      </c>
      <c r="J336" s="43">
        <f>VLOOKUP(Table1[[#This Row],[Status]],Auxiliar!$B$16:$C$24,2,0)</f>
        <v>5</v>
      </c>
      <c r="K336" s="2" t="s">
        <v>1253</v>
      </c>
      <c r="L336" s="29" t="s">
        <v>1250</v>
      </c>
      <c r="M336" s="21" t="s">
        <v>1259</v>
      </c>
      <c r="N336" s="48">
        <v>45604</v>
      </c>
      <c r="O336" s="21">
        <f>INDEX(Auxiliar!$D$5:$F$13,MATCH(Table1[[#This Row],[Tipologia_Testes]],Auxiliar!$B$5:$B$13,0),MATCH(Table1[[#This Row],[Complexidade]],Auxiliar!$D$4:$F$4,0))</f>
        <v>2</v>
      </c>
      <c r="P336" s="2" t="s">
        <v>1276</v>
      </c>
      <c r="Q336" s="2"/>
      <c r="R336" s="152"/>
      <c r="S336" s="152"/>
      <c r="T336" s="152">
        <v>45603</v>
      </c>
      <c r="U336" s="152">
        <v>45607</v>
      </c>
      <c r="V336" s="152">
        <v>45600</v>
      </c>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616</v>
      </c>
      <c r="J337" s="43">
        <f>VLOOKUP(Table1[[#This Row],[Status]],Auxiliar!$B$16:$C$24,2,0)</f>
        <v>5</v>
      </c>
      <c r="K337" s="2" t="s">
        <v>1255</v>
      </c>
      <c r="L337" s="29" t="s">
        <v>1250</v>
      </c>
      <c r="M337" s="21" t="s">
        <v>1259</v>
      </c>
      <c r="N337" s="48">
        <v>45604</v>
      </c>
      <c r="O337" s="21">
        <f>INDEX(Auxiliar!$D$5:$F$13,MATCH(Table1[[#This Row],[Tipologia_Testes]],Auxiliar!$B$5:$B$13,0),MATCH(Table1[[#This Row],[Complexidade]],Auxiliar!$D$4:$F$4,0))</f>
        <v>0.1</v>
      </c>
      <c r="P337" s="2" t="s">
        <v>1276</v>
      </c>
      <c r="Q337" s="2"/>
      <c r="R337" s="152"/>
      <c r="S337" s="152"/>
      <c r="T337" s="152">
        <v>45603</v>
      </c>
      <c r="U337" s="152">
        <v>45607</v>
      </c>
      <c r="V337" s="152">
        <v>45600</v>
      </c>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616</v>
      </c>
      <c r="J338" s="43">
        <f>VLOOKUP(Table1[[#This Row],[Status]],Auxiliar!$B$16:$C$24,2,0)</f>
        <v>5</v>
      </c>
      <c r="K338" s="2" t="s">
        <v>1252</v>
      </c>
      <c r="L338" s="29" t="s">
        <v>1250</v>
      </c>
      <c r="M338" s="21" t="s">
        <v>1259</v>
      </c>
      <c r="N338" s="48">
        <v>45604</v>
      </c>
      <c r="O338" s="21">
        <f>INDEX(Auxiliar!$D$5:$F$13,MATCH(Table1[[#This Row],[Tipologia_Testes]],Auxiliar!$B$5:$B$13,0),MATCH(Table1[[#This Row],[Complexidade]],Auxiliar!$D$4:$F$4,0))</f>
        <v>2</v>
      </c>
      <c r="P338" s="2" t="s">
        <v>1276</v>
      </c>
      <c r="Q338" s="2"/>
      <c r="R338" s="152">
        <v>45261</v>
      </c>
      <c r="S338" s="152"/>
      <c r="T338" s="152">
        <v>45603</v>
      </c>
      <c r="U338" s="152">
        <v>45607</v>
      </c>
      <c r="V338" s="152">
        <v>45600</v>
      </c>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616</v>
      </c>
      <c r="J339" s="43">
        <f>VLOOKUP(Table1[[#This Row],[Status]],Auxiliar!$B$16:$C$24,2,0)</f>
        <v>5</v>
      </c>
      <c r="K339" s="2" t="s">
        <v>1253</v>
      </c>
      <c r="L339" s="29" t="s">
        <v>1250</v>
      </c>
      <c r="M339" s="21" t="s">
        <v>1259</v>
      </c>
      <c r="N339" s="48">
        <v>45604</v>
      </c>
      <c r="O339" s="21">
        <f>INDEX(Auxiliar!$D$5:$F$13,MATCH(Table1[[#This Row],[Tipologia_Testes]],Auxiliar!$B$5:$B$13,0),MATCH(Table1[[#This Row],[Complexidade]],Auxiliar!$D$4:$F$4,0))</f>
        <v>2</v>
      </c>
      <c r="P339" s="2" t="s">
        <v>1276</v>
      </c>
      <c r="Q339" s="2"/>
      <c r="R339" s="152"/>
      <c r="S339" s="152"/>
      <c r="T339" s="152">
        <v>45603</v>
      </c>
      <c r="U339" s="152">
        <v>45607</v>
      </c>
      <c r="V339" s="152">
        <v>45600</v>
      </c>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616</v>
      </c>
      <c r="J340" s="43">
        <f>VLOOKUP(Table1[[#This Row],[Status]],Auxiliar!$B$16:$C$24,2,0)</f>
        <v>5</v>
      </c>
      <c r="K340" s="2" t="s">
        <v>1255</v>
      </c>
      <c r="L340" s="29" t="s">
        <v>1250</v>
      </c>
      <c r="M340" s="21" t="s">
        <v>1259</v>
      </c>
      <c r="N340" s="48">
        <v>45604</v>
      </c>
      <c r="O340" s="21">
        <f>INDEX(Auxiliar!$D$5:$F$13,MATCH(Table1[[#This Row],[Tipologia_Testes]],Auxiliar!$B$5:$B$13,0),MATCH(Table1[[#This Row],[Complexidade]],Auxiliar!$D$4:$F$4,0))</f>
        <v>0.1</v>
      </c>
      <c r="P340" s="2" t="s">
        <v>1276</v>
      </c>
      <c r="Q340" s="2"/>
      <c r="R340" s="152"/>
      <c r="S340" s="152"/>
      <c r="T340" s="152">
        <v>45603</v>
      </c>
      <c r="U340" s="152">
        <v>45607</v>
      </c>
      <c r="V340" s="152">
        <v>45600</v>
      </c>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616</v>
      </c>
      <c r="J341" s="43">
        <f>VLOOKUP(Table1[[#This Row],[Status]],Auxiliar!$B$16:$C$24,2,0)</f>
        <v>5</v>
      </c>
      <c r="K341" s="2" t="s">
        <v>1252</v>
      </c>
      <c r="L341" s="29" t="s">
        <v>1250</v>
      </c>
      <c r="M341" s="21" t="s">
        <v>1259</v>
      </c>
      <c r="N341" s="48">
        <v>45604</v>
      </c>
      <c r="O341" s="21">
        <f>INDEX(Auxiliar!$D$5:$F$13,MATCH(Table1[[#This Row],[Tipologia_Testes]],Auxiliar!$B$5:$B$13,0),MATCH(Table1[[#This Row],[Complexidade]],Auxiliar!$D$4:$F$4,0))</f>
        <v>2</v>
      </c>
      <c r="P341" s="2" t="s">
        <v>1276</v>
      </c>
      <c r="Q341" s="2"/>
      <c r="R341" s="152">
        <v>45261</v>
      </c>
      <c r="S341" s="152"/>
      <c r="T341" s="152">
        <v>45603</v>
      </c>
      <c r="U341" s="152">
        <v>45607</v>
      </c>
      <c r="V341" s="152">
        <v>45600</v>
      </c>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616</v>
      </c>
      <c r="J342" s="43">
        <f>VLOOKUP(Table1[[#This Row],[Status]],Auxiliar!$B$16:$C$24,2,0)</f>
        <v>5</v>
      </c>
      <c r="K342" s="2" t="s">
        <v>1253</v>
      </c>
      <c r="L342" s="29" t="s">
        <v>1250</v>
      </c>
      <c r="M342" s="21" t="s">
        <v>1259</v>
      </c>
      <c r="N342" s="48">
        <v>45604</v>
      </c>
      <c r="O342" s="21">
        <f>INDEX(Auxiliar!$D$5:$F$13,MATCH(Table1[[#This Row],[Tipologia_Testes]],Auxiliar!$B$5:$B$13,0),MATCH(Table1[[#This Row],[Complexidade]],Auxiliar!$D$4:$F$4,0))</f>
        <v>2</v>
      </c>
      <c r="P342" s="2" t="s">
        <v>1276</v>
      </c>
      <c r="Q342" s="2"/>
      <c r="R342" s="152"/>
      <c r="S342" s="152"/>
      <c r="T342" s="152">
        <v>45603</v>
      </c>
      <c r="U342" s="152">
        <v>45607</v>
      </c>
      <c r="V342" s="152">
        <v>45600</v>
      </c>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616</v>
      </c>
      <c r="J343" s="43">
        <f>VLOOKUP(Table1[[#This Row],[Status]],Auxiliar!$B$16:$C$24,2,0)</f>
        <v>5</v>
      </c>
      <c r="K343" s="2" t="s">
        <v>1255</v>
      </c>
      <c r="L343" s="29" t="s">
        <v>1250</v>
      </c>
      <c r="M343" s="21" t="s">
        <v>1259</v>
      </c>
      <c r="N343" s="48">
        <v>45604</v>
      </c>
      <c r="O343" s="21">
        <f>INDEX(Auxiliar!$D$5:$F$13,MATCH(Table1[[#This Row],[Tipologia_Testes]],Auxiliar!$B$5:$B$13,0),MATCH(Table1[[#This Row],[Complexidade]],Auxiliar!$D$4:$F$4,0))</f>
        <v>0.1</v>
      </c>
      <c r="P343" s="2" t="s">
        <v>1276</v>
      </c>
      <c r="Q343" s="2"/>
      <c r="R343" s="152"/>
      <c r="S343" s="152"/>
      <c r="T343" s="152">
        <v>45603</v>
      </c>
      <c r="U343" s="152">
        <v>45607</v>
      </c>
      <c r="V343" s="152">
        <v>45600</v>
      </c>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616</v>
      </c>
      <c r="J344" s="43">
        <f>VLOOKUP(Table1[[#This Row],[Status]],Auxiliar!$B$16:$C$24,2,0)</f>
        <v>5</v>
      </c>
      <c r="K344" s="2" t="s">
        <v>1252</v>
      </c>
      <c r="L344" s="29" t="s">
        <v>1250</v>
      </c>
      <c r="M344" s="21" t="s">
        <v>1259</v>
      </c>
      <c r="N344" s="48">
        <v>45604</v>
      </c>
      <c r="O344" s="21">
        <f>INDEX(Auxiliar!$D$5:$F$13,MATCH(Table1[[#This Row],[Tipologia_Testes]],Auxiliar!$B$5:$B$13,0),MATCH(Table1[[#This Row],[Complexidade]],Auxiliar!$D$4:$F$4,0))</f>
        <v>2</v>
      </c>
      <c r="P344" s="2" t="s">
        <v>1276</v>
      </c>
      <c r="Q344" s="2"/>
      <c r="R344" s="152">
        <v>45261</v>
      </c>
      <c r="S344" s="152"/>
      <c r="T344" s="152">
        <v>45603</v>
      </c>
      <c r="U344" s="152">
        <v>45607</v>
      </c>
      <c r="V344" s="152">
        <v>45600</v>
      </c>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616</v>
      </c>
      <c r="J345" s="43">
        <f>VLOOKUP(Table1[[#This Row],[Status]],Auxiliar!$B$16:$C$24,2,0)</f>
        <v>5</v>
      </c>
      <c r="K345" s="2" t="s">
        <v>1253</v>
      </c>
      <c r="L345" s="29" t="s">
        <v>1250</v>
      </c>
      <c r="M345" s="21" t="s">
        <v>1259</v>
      </c>
      <c r="N345" s="48">
        <v>45604</v>
      </c>
      <c r="O345" s="21">
        <f>INDEX(Auxiliar!$D$5:$F$13,MATCH(Table1[[#This Row],[Tipologia_Testes]],Auxiliar!$B$5:$B$13,0),MATCH(Table1[[#This Row],[Complexidade]],Auxiliar!$D$4:$F$4,0))</f>
        <v>2</v>
      </c>
      <c r="P345" s="2" t="s">
        <v>1276</v>
      </c>
      <c r="Q345" s="2"/>
      <c r="R345" s="152"/>
      <c r="S345" s="152"/>
      <c r="T345" s="152">
        <v>45603</v>
      </c>
      <c r="U345" s="152">
        <v>45607</v>
      </c>
      <c r="V345" s="152">
        <v>45600</v>
      </c>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616</v>
      </c>
      <c r="J346" s="43">
        <f>VLOOKUP(Table1[[#This Row],[Status]],Auxiliar!$B$16:$C$24,2,0)</f>
        <v>5</v>
      </c>
      <c r="K346" s="2" t="s">
        <v>1255</v>
      </c>
      <c r="L346" s="29" t="s">
        <v>1250</v>
      </c>
      <c r="M346" s="21" t="s">
        <v>1259</v>
      </c>
      <c r="N346" s="48">
        <v>45604</v>
      </c>
      <c r="O346" s="21">
        <f>INDEX(Auxiliar!$D$5:$F$13,MATCH(Table1[[#This Row],[Tipologia_Testes]],Auxiliar!$B$5:$B$13,0),MATCH(Table1[[#This Row],[Complexidade]],Auxiliar!$D$4:$F$4,0))</f>
        <v>0.1</v>
      </c>
      <c r="P346" s="2" t="s">
        <v>1276</v>
      </c>
      <c r="Q346" s="2"/>
      <c r="R346" s="152"/>
      <c r="S346" s="152"/>
      <c r="T346" s="152">
        <v>45603</v>
      </c>
      <c r="U346" s="152">
        <v>45607</v>
      </c>
      <c r="V346" s="152">
        <v>45600</v>
      </c>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8"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8"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8"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8"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8"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8"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8"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8"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8"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8"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8"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8"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8"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8"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8"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8"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8"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8"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customHeight="1">
      <c r="B517" s="2" t="s">
        <v>26</v>
      </c>
      <c r="C517" s="2" t="s">
        <v>311</v>
      </c>
      <c r="D517" s="2" t="s">
        <v>313</v>
      </c>
      <c r="E517" s="2" t="s">
        <v>38</v>
      </c>
      <c r="F517" s="2" t="s">
        <v>312</v>
      </c>
      <c r="G517" s="2" t="s">
        <v>320</v>
      </c>
      <c r="H517" s="57" t="str">
        <f>Table1[[#This Row],[Tabela]]&amp;Table1[[#This Row],[Campo]]</f>
        <v>modesg_out_bens_imoveisorigem_scp1_emss</v>
      </c>
      <c r="I517" s="2" t="s">
        <v>1931</v>
      </c>
      <c r="J517" s="43">
        <f>VLOOKUP(Table1[[#This Row],[Status]],Auxiliar!$B$16:$C$24,2,0)</f>
        <v>2</v>
      </c>
      <c r="K517" s="2" t="s">
        <v>1252</v>
      </c>
      <c r="L517" s="2"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1</v>
      </c>
      <c r="X517" s="2"/>
    </row>
    <row r="518" spans="2:24" ht="52.2" customHeight="1">
      <c r="B518" s="2" t="s">
        <v>26</v>
      </c>
      <c r="C518" s="2" t="s">
        <v>311</v>
      </c>
      <c r="D518" s="2" t="s">
        <v>313</v>
      </c>
      <c r="E518" s="2" t="s">
        <v>38</v>
      </c>
      <c r="F518" s="2" t="s">
        <v>312</v>
      </c>
      <c r="G518" s="2" t="s">
        <v>320</v>
      </c>
      <c r="H518" s="57" t="str">
        <f>Table1[[#This Row],[Tabela]]&amp;Table1[[#This Row],[Campo]]</f>
        <v>modesg_out_bens_imoveisorigem_scp1_emss</v>
      </c>
      <c r="I518" s="2" t="s">
        <v>1931</v>
      </c>
      <c r="J518" s="43">
        <f>VLOOKUP(Table1[[#This Row],[Status]],Auxiliar!$B$16:$C$24,2,0)</f>
        <v>2</v>
      </c>
      <c r="K518" s="2" t="s">
        <v>1253</v>
      </c>
      <c r="L518" s="2"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1</v>
      </c>
      <c r="X518" s="2"/>
    </row>
    <row r="519" spans="2:24" ht="52.2" customHeight="1">
      <c r="B519" s="2" t="s">
        <v>26</v>
      </c>
      <c r="C519" s="2" t="s">
        <v>311</v>
      </c>
      <c r="D519" s="2" t="s">
        <v>313</v>
      </c>
      <c r="E519" s="2" t="s">
        <v>38</v>
      </c>
      <c r="F519" s="2" t="s">
        <v>312</v>
      </c>
      <c r="G519" s="2" t="s">
        <v>320</v>
      </c>
      <c r="H519" s="57" t="str">
        <f>Table1[[#This Row],[Tabela]]&amp;Table1[[#This Row],[Campo]]</f>
        <v>modesg_out_bens_imoveisorigem_scp1_emss</v>
      </c>
      <c r="I519" s="2" t="s">
        <v>1931</v>
      </c>
      <c r="J519" s="43">
        <f>VLOOKUP(Table1[[#This Row],[Status]],Auxiliar!$B$16:$C$24,2,0)</f>
        <v>2</v>
      </c>
      <c r="K519" s="2" t="s">
        <v>1255</v>
      </c>
      <c r="L519" s="2"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0.05</v>
      </c>
      <c r="X519" s="2"/>
    </row>
    <row r="520" spans="2:24" ht="52.2" customHeight="1">
      <c r="B520" s="2" t="s">
        <v>26</v>
      </c>
      <c r="C520" s="2" t="s">
        <v>311</v>
      </c>
      <c r="D520" s="2" t="s">
        <v>313</v>
      </c>
      <c r="E520" s="2" t="s">
        <v>38</v>
      </c>
      <c r="F520" s="2" t="s">
        <v>312</v>
      </c>
      <c r="G520" s="2" t="s">
        <v>321</v>
      </c>
      <c r="H520" s="57" t="str">
        <f>Table1[[#This Row],[Tabela]]&amp;Table1[[#This Row],[Campo]]</f>
        <v>modesg_out_bens_imoveisorigem_scp2_emss</v>
      </c>
      <c r="I520" s="2" t="s">
        <v>1931</v>
      </c>
      <c r="J520" s="43">
        <f>VLOOKUP(Table1[[#This Row],[Status]],Auxiliar!$B$16:$C$24,2,0)</f>
        <v>2</v>
      </c>
      <c r="K520" s="2" t="s">
        <v>1252</v>
      </c>
      <c r="L520" s="2"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1</v>
      </c>
      <c r="X520" s="2"/>
    </row>
    <row r="521" spans="2:24" ht="52.2" customHeight="1">
      <c r="B521" s="2" t="s">
        <v>26</v>
      </c>
      <c r="C521" s="2" t="s">
        <v>311</v>
      </c>
      <c r="D521" s="2" t="s">
        <v>313</v>
      </c>
      <c r="E521" s="2" t="s">
        <v>38</v>
      </c>
      <c r="F521" s="2" t="s">
        <v>312</v>
      </c>
      <c r="G521" s="2" t="s">
        <v>321</v>
      </c>
      <c r="H521" s="57" t="str">
        <f>Table1[[#This Row],[Tabela]]&amp;Table1[[#This Row],[Campo]]</f>
        <v>modesg_out_bens_imoveisorigem_scp2_emss</v>
      </c>
      <c r="I521" s="2" t="s">
        <v>1931</v>
      </c>
      <c r="J521" s="43">
        <f>VLOOKUP(Table1[[#This Row],[Status]],Auxiliar!$B$16:$C$24,2,0)</f>
        <v>2</v>
      </c>
      <c r="K521" s="2" t="s">
        <v>1253</v>
      </c>
      <c r="L521" s="2"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1</v>
      </c>
      <c r="X521" s="2"/>
    </row>
    <row r="522" spans="2:24" ht="52.2" customHeight="1">
      <c r="B522" s="2" t="s">
        <v>26</v>
      </c>
      <c r="C522" s="2" t="s">
        <v>311</v>
      </c>
      <c r="D522" s="2" t="s">
        <v>313</v>
      </c>
      <c r="E522" s="2" t="s">
        <v>38</v>
      </c>
      <c r="F522" s="2" t="s">
        <v>312</v>
      </c>
      <c r="G522" s="2" t="s">
        <v>321</v>
      </c>
      <c r="H522" s="57" t="str">
        <f>Table1[[#This Row],[Tabela]]&amp;Table1[[#This Row],[Campo]]</f>
        <v>modesg_out_bens_imoveisorigem_scp2_emss</v>
      </c>
      <c r="I522" s="2" t="s">
        <v>1931</v>
      </c>
      <c r="J522" s="43">
        <f>VLOOKUP(Table1[[#This Row],[Status]],Auxiliar!$B$16:$C$24,2,0)</f>
        <v>2</v>
      </c>
      <c r="K522" s="2" t="s">
        <v>1255</v>
      </c>
      <c r="L522" s="2"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0.05</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customHeight="1">
      <c r="B529" s="2" t="s">
        <v>26</v>
      </c>
      <c r="C529" s="2" t="s">
        <v>311</v>
      </c>
      <c r="D529" s="2" t="s">
        <v>313</v>
      </c>
      <c r="E529" s="2" t="s">
        <v>38</v>
      </c>
      <c r="F529" s="2" t="s">
        <v>312</v>
      </c>
      <c r="G529" s="2" t="s">
        <v>286</v>
      </c>
      <c r="H529" s="57" t="str">
        <f>Table1[[#This Row],[Tabela]]&amp;Table1[[#This Row],[Campo]]</f>
        <v>modesg_out_bens_imoveisscp1_emss</v>
      </c>
      <c r="I529" s="2" t="s">
        <v>1931</v>
      </c>
      <c r="J529" s="43">
        <f>VLOOKUP(Table1[[#This Row],[Status]],Auxiliar!$B$16:$C$24,2,0)</f>
        <v>2</v>
      </c>
      <c r="K529" s="2" t="s">
        <v>1252</v>
      </c>
      <c r="L529" s="2"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2</v>
      </c>
      <c r="X529" s="2"/>
    </row>
    <row r="530" spans="2:24" ht="69.599999999999994" customHeight="1">
      <c r="B530" s="2" t="s">
        <v>26</v>
      </c>
      <c r="C530" s="2" t="s">
        <v>311</v>
      </c>
      <c r="D530" s="2" t="s">
        <v>313</v>
      </c>
      <c r="E530" s="2" t="s">
        <v>38</v>
      </c>
      <c r="F530" s="2" t="s">
        <v>312</v>
      </c>
      <c r="G530" s="2" t="s">
        <v>286</v>
      </c>
      <c r="H530" s="57" t="str">
        <f>Table1[[#This Row],[Tabela]]&amp;Table1[[#This Row],[Campo]]</f>
        <v>modesg_out_bens_imoveisscp1_emss</v>
      </c>
      <c r="I530" s="2" t="s">
        <v>1931</v>
      </c>
      <c r="J530" s="43">
        <f>VLOOKUP(Table1[[#This Row],[Status]],Auxiliar!$B$16:$C$24,2,0)</f>
        <v>2</v>
      </c>
      <c r="K530" s="2" t="s">
        <v>1253</v>
      </c>
      <c r="L530" s="2"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2</v>
      </c>
      <c r="X530" s="2"/>
    </row>
    <row r="531" spans="2:24" ht="69.599999999999994" customHeight="1">
      <c r="B531" s="2" t="s">
        <v>26</v>
      </c>
      <c r="C531" s="2" t="s">
        <v>311</v>
      </c>
      <c r="D531" s="2" t="s">
        <v>313</v>
      </c>
      <c r="E531" s="2" t="s">
        <v>38</v>
      </c>
      <c r="F531" s="2" t="s">
        <v>312</v>
      </c>
      <c r="G531" s="2" t="s">
        <v>286</v>
      </c>
      <c r="H531" s="57" t="str">
        <f>Table1[[#This Row],[Tabela]]&amp;Table1[[#This Row],[Campo]]</f>
        <v>modesg_out_bens_imoveisscp1_emss</v>
      </c>
      <c r="I531" s="2" t="s">
        <v>1931</v>
      </c>
      <c r="J531" s="43">
        <f>VLOOKUP(Table1[[#This Row],[Status]],Auxiliar!$B$16:$C$24,2,0)</f>
        <v>2</v>
      </c>
      <c r="K531" s="2" t="s">
        <v>1255</v>
      </c>
      <c r="L531" s="2"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0.05</v>
      </c>
      <c r="X531" s="2"/>
    </row>
    <row r="532" spans="2:24" ht="69.599999999999994" customHeight="1">
      <c r="B532" s="2" t="s">
        <v>26</v>
      </c>
      <c r="C532" s="2" t="s">
        <v>311</v>
      </c>
      <c r="D532" s="2" t="s">
        <v>313</v>
      </c>
      <c r="E532" s="2" t="s">
        <v>38</v>
      </c>
      <c r="F532" s="2" t="s">
        <v>312</v>
      </c>
      <c r="G532" s="2" t="s">
        <v>287</v>
      </c>
      <c r="H532" s="57" t="str">
        <f>Table1[[#This Row],[Tabela]]&amp;Table1[[#This Row],[Campo]]</f>
        <v>modesg_out_bens_imoveisscp2_emss</v>
      </c>
      <c r="I532" s="2" t="s">
        <v>1931</v>
      </c>
      <c r="J532" s="43">
        <f>VLOOKUP(Table1[[#This Row],[Status]],Auxiliar!$B$16:$C$24,2,0)</f>
        <v>2</v>
      </c>
      <c r="K532" s="2" t="s">
        <v>1252</v>
      </c>
      <c r="L532" s="2"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2</v>
      </c>
      <c r="X532" s="2"/>
    </row>
    <row r="533" spans="2:24" ht="69.599999999999994" customHeight="1">
      <c r="B533" s="2" t="s">
        <v>26</v>
      </c>
      <c r="C533" s="2" t="s">
        <v>311</v>
      </c>
      <c r="D533" s="2" t="s">
        <v>313</v>
      </c>
      <c r="E533" s="2" t="s">
        <v>38</v>
      </c>
      <c r="F533" s="2" t="s">
        <v>312</v>
      </c>
      <c r="G533" s="2" t="s">
        <v>287</v>
      </c>
      <c r="H533" s="57" t="str">
        <f>Table1[[#This Row],[Tabela]]&amp;Table1[[#This Row],[Campo]]</f>
        <v>modesg_out_bens_imoveisscp2_emss</v>
      </c>
      <c r="I533" s="2" t="s">
        <v>1931</v>
      </c>
      <c r="J533" s="43">
        <f>VLOOKUP(Table1[[#This Row],[Status]],Auxiliar!$B$16:$C$24,2,0)</f>
        <v>2</v>
      </c>
      <c r="K533" s="2" t="s">
        <v>1253</v>
      </c>
      <c r="L533" s="2"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2</v>
      </c>
      <c r="X533" s="2"/>
    </row>
    <row r="534" spans="2:24" ht="69.599999999999994" customHeight="1">
      <c r="B534" s="2" t="s">
        <v>26</v>
      </c>
      <c r="C534" s="2" t="s">
        <v>311</v>
      </c>
      <c r="D534" s="2" t="s">
        <v>313</v>
      </c>
      <c r="E534" s="2" t="s">
        <v>38</v>
      </c>
      <c r="F534" s="2" t="s">
        <v>312</v>
      </c>
      <c r="G534" s="2" t="s">
        <v>287</v>
      </c>
      <c r="H534" s="57" t="str">
        <f>Table1[[#This Row],[Tabela]]&amp;Table1[[#This Row],[Campo]]</f>
        <v>modesg_out_bens_imoveisscp2_emss</v>
      </c>
      <c r="I534" s="2" t="s">
        <v>1931</v>
      </c>
      <c r="J534" s="43">
        <f>VLOOKUP(Table1[[#This Row],[Status]],Auxiliar!$B$16:$C$24,2,0)</f>
        <v>2</v>
      </c>
      <c r="K534" s="2" t="s">
        <v>1255</v>
      </c>
      <c r="L534" s="2"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0.05</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customHeight="1">
      <c r="B538" s="2" t="s">
        <v>26</v>
      </c>
      <c r="C538" s="2" t="s">
        <v>311</v>
      </c>
      <c r="D538" s="2" t="s">
        <v>313</v>
      </c>
      <c r="E538" s="2" t="s">
        <v>38</v>
      </c>
      <c r="F538" s="2" t="s">
        <v>312</v>
      </c>
      <c r="G538" s="2" t="s">
        <v>323</v>
      </c>
      <c r="H538" s="57" t="str">
        <f>Table1[[#This Row],[Tabela]]&amp;Table1[[#This Row],[Campo]]</f>
        <v>modesg_out_bens_imoveisunidade_funcional_scp1_emss</v>
      </c>
      <c r="I538" s="2" t="s">
        <v>1931</v>
      </c>
      <c r="J538" s="43">
        <f>VLOOKUP(Table1[[#This Row],[Status]],Auxiliar!$B$16:$C$24,2,0)</f>
        <v>2</v>
      </c>
      <c r="K538" s="2" t="s">
        <v>1252</v>
      </c>
      <c r="L538" s="2"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1</v>
      </c>
      <c r="X538" s="2"/>
    </row>
    <row r="539" spans="2:24" ht="52.2" customHeight="1">
      <c r="B539" s="2" t="s">
        <v>26</v>
      </c>
      <c r="C539" s="2" t="s">
        <v>311</v>
      </c>
      <c r="D539" s="2" t="s">
        <v>313</v>
      </c>
      <c r="E539" s="2" t="s">
        <v>38</v>
      </c>
      <c r="F539" s="2" t="s">
        <v>312</v>
      </c>
      <c r="G539" s="2" t="s">
        <v>323</v>
      </c>
      <c r="H539" s="57" t="str">
        <f>Table1[[#This Row],[Tabela]]&amp;Table1[[#This Row],[Campo]]</f>
        <v>modesg_out_bens_imoveisunidade_funcional_scp1_emss</v>
      </c>
      <c r="I539" s="2" t="s">
        <v>1931</v>
      </c>
      <c r="J539" s="43">
        <f>VLOOKUP(Table1[[#This Row],[Status]],Auxiliar!$B$16:$C$24,2,0)</f>
        <v>2</v>
      </c>
      <c r="K539" s="2" t="s">
        <v>1253</v>
      </c>
      <c r="L539" s="2"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1</v>
      </c>
      <c r="X539" s="2"/>
    </row>
    <row r="540" spans="2:24" ht="52.2" customHeight="1">
      <c r="B540" s="2" t="s">
        <v>26</v>
      </c>
      <c r="C540" s="2" t="s">
        <v>311</v>
      </c>
      <c r="D540" s="2" t="s">
        <v>313</v>
      </c>
      <c r="E540" s="2" t="s">
        <v>38</v>
      </c>
      <c r="F540" s="2" t="s">
        <v>312</v>
      </c>
      <c r="G540" s="2" t="s">
        <v>323</v>
      </c>
      <c r="H540" s="57" t="str">
        <f>Table1[[#This Row],[Tabela]]&amp;Table1[[#This Row],[Campo]]</f>
        <v>modesg_out_bens_imoveisunidade_funcional_scp1_emss</v>
      </c>
      <c r="I540" s="2" t="s">
        <v>1931</v>
      </c>
      <c r="J540" s="43">
        <f>VLOOKUP(Table1[[#This Row],[Status]],Auxiliar!$B$16:$C$24,2,0)</f>
        <v>2</v>
      </c>
      <c r="K540" s="2" t="s">
        <v>1255</v>
      </c>
      <c r="L540" s="2"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0.05</v>
      </c>
      <c r="X540" s="2"/>
    </row>
    <row r="541" spans="2:24" ht="52.2" customHeight="1">
      <c r="B541" s="2" t="s">
        <v>26</v>
      </c>
      <c r="C541" s="2" t="s">
        <v>311</v>
      </c>
      <c r="D541" s="2" t="s">
        <v>313</v>
      </c>
      <c r="E541" s="2" t="s">
        <v>38</v>
      </c>
      <c r="F541" s="2" t="s">
        <v>312</v>
      </c>
      <c r="G541" s="2" t="s">
        <v>324</v>
      </c>
      <c r="H541" s="57" t="str">
        <f>Table1[[#This Row],[Tabela]]&amp;Table1[[#This Row],[Campo]]</f>
        <v>modesg_out_bens_imoveisunidade_funcional_scp2_emss</v>
      </c>
      <c r="I541" s="2" t="s">
        <v>1931</v>
      </c>
      <c r="J541" s="43">
        <f>VLOOKUP(Table1[[#This Row],[Status]],Auxiliar!$B$16:$C$24,2,0)</f>
        <v>2</v>
      </c>
      <c r="K541" s="2" t="s">
        <v>1252</v>
      </c>
      <c r="L541" s="2"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1</v>
      </c>
      <c r="X541" s="2"/>
    </row>
    <row r="542" spans="2:24" ht="52.2" customHeight="1">
      <c r="B542" s="2" t="s">
        <v>26</v>
      </c>
      <c r="C542" s="2" t="s">
        <v>311</v>
      </c>
      <c r="D542" s="2" t="s">
        <v>313</v>
      </c>
      <c r="E542" s="2" t="s">
        <v>38</v>
      </c>
      <c r="F542" s="2" t="s">
        <v>312</v>
      </c>
      <c r="G542" s="2" t="s">
        <v>324</v>
      </c>
      <c r="H542" s="57" t="str">
        <f>Table1[[#This Row],[Tabela]]&amp;Table1[[#This Row],[Campo]]</f>
        <v>modesg_out_bens_imoveisunidade_funcional_scp2_emss</v>
      </c>
      <c r="I542" s="2" t="s">
        <v>1931</v>
      </c>
      <c r="J542" s="43">
        <f>VLOOKUP(Table1[[#This Row],[Status]],Auxiliar!$B$16:$C$24,2,0)</f>
        <v>2</v>
      </c>
      <c r="K542" s="2" t="s">
        <v>1253</v>
      </c>
      <c r="L542" s="2"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1</v>
      </c>
      <c r="X542" s="2"/>
    </row>
    <row r="543" spans="2:24" ht="52.2" customHeight="1">
      <c r="B543" s="2" t="s">
        <v>26</v>
      </c>
      <c r="C543" s="2" t="s">
        <v>311</v>
      </c>
      <c r="D543" s="2" t="s">
        <v>313</v>
      </c>
      <c r="E543" s="2" t="s">
        <v>38</v>
      </c>
      <c r="F543" s="2" t="s">
        <v>312</v>
      </c>
      <c r="G543" s="2" t="s">
        <v>324</v>
      </c>
      <c r="H543" s="57" t="str">
        <f>Table1[[#This Row],[Tabela]]&amp;Table1[[#This Row],[Campo]]</f>
        <v>modesg_out_bens_imoveisunidade_funcional_scp2_emss</v>
      </c>
      <c r="I543" s="2" t="s">
        <v>1931</v>
      </c>
      <c r="J543" s="43">
        <f>VLOOKUP(Table1[[#This Row],[Status]],Auxiliar!$B$16:$C$24,2,0)</f>
        <v>2</v>
      </c>
      <c r="K543" s="2" t="s">
        <v>1255</v>
      </c>
      <c r="L543" s="2"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0.05</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8"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8"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8"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1249</v>
      </c>
      <c r="L644" s="29" t="s">
        <v>1258</v>
      </c>
      <c r="M644" s="21" t="s">
        <v>1259</v>
      </c>
      <c r="N644" s="48">
        <v>45561</v>
      </c>
      <c r="O644" s="21">
        <f>INDEX(Auxiliar!$D$5:$F$13,MATCH(Table1[[#This Row],[Tipologia_Testes]],Auxiliar!$B$5:$B$13,0),MATCH(Table1[[#This Row],[Complexidade]],Auxiliar!$D$4:$F$4,0))</f>
        <v>8</v>
      </c>
      <c r="P644" s="23" t="s">
        <v>1286</v>
      </c>
      <c r="Q644" s="2"/>
      <c r="R644" s="152">
        <v>45560</v>
      </c>
      <c r="S644" s="152"/>
      <c r="T644" s="152">
        <v>45560</v>
      </c>
      <c r="U644" s="152">
        <v>45607</v>
      </c>
      <c r="V644" s="152"/>
      <c r="W644" s="2">
        <f>VLOOKUP(Table1[[#This Row],[Status]],Auxiliar!$B$16:$D$24,3,0)*Table1[[#This Row],[Estimação (horas)]]</f>
        <v>2</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1252</v>
      </c>
      <c r="L657" s="2" t="s">
        <v>1250</v>
      </c>
      <c r="M657" s="21" t="s">
        <v>1260</v>
      </c>
      <c r="N657" s="48">
        <v>45561</v>
      </c>
      <c r="O657" s="21">
        <f>INDEX(Auxiliar!$D$5:$F$13,MATCH(Table1[[#This Row],[Tipologia_Testes]],Auxiliar!$B$5:$B$13,0),MATCH(Table1[[#This Row],[Complexidade]],Auxiliar!$D$4:$F$4,0))</f>
        <v>4</v>
      </c>
      <c r="P657" s="2" t="s">
        <v>1287</v>
      </c>
      <c r="Q657" s="2"/>
      <c r="R657" s="152">
        <v>45559</v>
      </c>
      <c r="S657" s="152"/>
      <c r="T657" s="152">
        <v>45559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1253</v>
      </c>
      <c r="L658" s="2" t="s">
        <v>1250</v>
      </c>
      <c r="M658" s="21" t="s">
        <v>1260</v>
      </c>
      <c r="N658" s="48">
        <v>45561</v>
      </c>
      <c r="O658" s="21">
        <f>INDEX(Auxiliar!$D$5:$F$13,MATCH(Table1[[#This Row],[Tipologia_Testes]],Auxiliar!$B$5:$B$13,0),MATCH(Table1[[#This Row],[Complexidade]],Auxiliar!$D$4:$F$4,0))</f>
        <v>4</v>
      </c>
      <c r="P658" s="2" t="s">
        <v>1287</v>
      </c>
      <c r="Q658" s="2"/>
      <c r="R658" s="152">
        <v>45559</v>
      </c>
      <c r="S658" s="152"/>
      <c r="T658" s="152">
        <v>45559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1255</v>
      </c>
      <c r="L659" s="2" t="s">
        <v>1250</v>
      </c>
      <c r="M659" s="21" t="s">
        <v>1260</v>
      </c>
      <c r="N659" s="48">
        <v>45561</v>
      </c>
      <c r="O659" s="21">
        <f>INDEX(Auxiliar!$D$5:$F$13,MATCH(Table1[[#This Row],[Tipologia_Testes]],Auxiliar!$B$5:$B$13,0),MATCH(Table1[[#This Row],[Complexidade]],Auxiliar!$D$4:$F$4,0))</f>
        <v>0.1</v>
      </c>
      <c r="P659" s="2" t="s">
        <v>1287</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1252</v>
      </c>
      <c r="L660" s="2" t="s">
        <v>1250</v>
      </c>
      <c r="M660" s="21" t="s">
        <v>1260</v>
      </c>
      <c r="N660" s="48">
        <v>45575</v>
      </c>
      <c r="O660" s="21">
        <f>INDEX(Auxiliar!$D$5:$F$13,MATCH(Table1[[#This Row],[Tipologia_Testes]],Auxiliar!$B$5:$B$13,0),MATCH(Table1[[#This Row],[Complexidade]],Auxiliar!$D$4:$F$4,0))</f>
        <v>4</v>
      </c>
      <c r="P660" s="2" t="s">
        <v>1288</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1253</v>
      </c>
      <c r="L661" s="2" t="s">
        <v>1250</v>
      </c>
      <c r="M661" s="21" t="s">
        <v>1260</v>
      </c>
      <c r="N661" s="48">
        <v>45575</v>
      </c>
      <c r="O661" s="21">
        <f>INDEX(Auxiliar!$D$5:$F$13,MATCH(Table1[[#This Row],[Tipologia_Testes]],Auxiliar!$B$5:$B$13,0),MATCH(Table1[[#This Row],[Complexidade]],Auxiliar!$D$4:$F$4,0))</f>
        <v>4</v>
      </c>
      <c r="P661" s="2" t="s">
        <v>1288</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1255</v>
      </c>
      <c r="L662" s="2" t="s">
        <v>1250</v>
      </c>
      <c r="M662" s="21" t="s">
        <v>1260</v>
      </c>
      <c r="N662" s="48">
        <v>45575</v>
      </c>
      <c r="O662" s="21">
        <f>INDEX(Auxiliar!$D$5:$F$13,MATCH(Table1[[#This Row],[Tipologia_Testes]],Auxiliar!$B$5:$B$13,0),MATCH(Table1[[#This Row],[Complexidade]],Auxiliar!$D$4:$F$4,0))</f>
        <v>0.1</v>
      </c>
      <c r="P662" s="2" t="s">
        <v>1288</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1252</v>
      </c>
      <c r="L663" s="2" t="s">
        <v>1250</v>
      </c>
      <c r="M663" s="21" t="s">
        <v>1260</v>
      </c>
      <c r="N663" s="48">
        <v>45575</v>
      </c>
      <c r="O663" s="21">
        <f>INDEX(Auxiliar!$D$5:$F$13,MATCH(Table1[[#This Row],[Tipologia_Testes]],Auxiliar!$B$5:$B$13,0),MATCH(Table1[[#This Row],[Complexidade]],Auxiliar!$D$4:$F$4,0))</f>
        <v>4</v>
      </c>
      <c r="P663" s="2" t="s">
        <v>1289</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1253</v>
      </c>
      <c r="L664" s="2" t="s">
        <v>1250</v>
      </c>
      <c r="M664" s="21" t="s">
        <v>1260</v>
      </c>
      <c r="N664" s="48">
        <v>45575</v>
      </c>
      <c r="O664" s="21">
        <f>INDEX(Auxiliar!$D$5:$F$13,MATCH(Table1[[#This Row],[Tipologia_Testes]],Auxiliar!$B$5:$B$13,0),MATCH(Table1[[#This Row],[Complexidade]],Auxiliar!$D$4:$F$4,0))</f>
        <v>4</v>
      </c>
      <c r="P664" s="2" t="s">
        <v>1289</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1255</v>
      </c>
      <c r="L665" s="2" t="s">
        <v>1250</v>
      </c>
      <c r="M665" s="21" t="s">
        <v>1260</v>
      </c>
      <c r="N665" s="48">
        <v>45575</v>
      </c>
      <c r="O665" s="21">
        <f>INDEX(Auxiliar!$D$5:$F$13,MATCH(Table1[[#This Row],[Tipologia_Testes]],Auxiliar!$B$5:$B$13,0),MATCH(Table1[[#This Row],[Complexidade]],Auxiliar!$D$4:$F$4,0))</f>
        <v>0.1</v>
      </c>
      <c r="P665" s="2" t="s">
        <v>1289</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1252</v>
      </c>
      <c r="L666" s="2" t="s">
        <v>1250</v>
      </c>
      <c r="M666" s="21" t="s">
        <v>1260</v>
      </c>
      <c r="N666" s="48">
        <v>45575</v>
      </c>
      <c r="O666" s="21">
        <f>INDEX(Auxiliar!$D$5:$F$13,MATCH(Table1[[#This Row],[Tipologia_Testes]],Auxiliar!$B$5:$B$13,0),MATCH(Table1[[#This Row],[Complexidade]],Auxiliar!$D$4:$F$4,0))</f>
        <v>4</v>
      </c>
      <c r="P666" s="2" t="s">
        <v>1290</v>
      </c>
      <c r="Q666" s="2"/>
      <c r="R666" s="152">
        <v>45566</v>
      </c>
      <c r="S666" s="152"/>
      <c r="T666" s="152">
        <v>45569</v>
      </c>
      <c r="U666" s="152">
        <v>45607</v>
      </c>
      <c r="V666" s="152"/>
      <c r="W666" s="2">
        <f>VLOOKUP(Table1[[#This Row],[Status]],Auxiliar!$B$16:$D$24,3,0)*Table1[[#This Row],[Estimação (horas)]]</f>
        <v>1</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1253</v>
      </c>
      <c r="L667" s="2" t="s">
        <v>1250</v>
      </c>
      <c r="M667" s="21" t="s">
        <v>1260</v>
      </c>
      <c r="N667" s="48">
        <v>45575</v>
      </c>
      <c r="O667" s="21">
        <f>INDEX(Auxiliar!$D$5:$F$13,MATCH(Table1[[#This Row],[Tipologia_Testes]],Auxiliar!$B$5:$B$13,0),MATCH(Table1[[#This Row],[Complexidade]],Auxiliar!$D$4:$F$4,0))</f>
        <v>4</v>
      </c>
      <c r="P667" s="2" t="s">
        <v>1290</v>
      </c>
      <c r="Q667" s="2"/>
      <c r="R667" s="152">
        <v>45566</v>
      </c>
      <c r="S667" s="152"/>
      <c r="T667" s="152">
        <v>45569</v>
      </c>
      <c r="U667" s="152">
        <v>45607</v>
      </c>
      <c r="V667" s="152"/>
      <c r="W667" s="2">
        <f>VLOOKUP(Table1[[#This Row],[Status]],Auxiliar!$B$16:$D$24,3,0)*Table1[[#This Row],[Estimação (horas)]]</f>
        <v>1</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1255</v>
      </c>
      <c r="L668" s="2" t="s">
        <v>1250</v>
      </c>
      <c r="M668" s="21" t="s">
        <v>1260</v>
      </c>
      <c r="N668" s="48">
        <v>45575</v>
      </c>
      <c r="O668" s="21">
        <f>INDEX(Auxiliar!$D$5:$F$13,MATCH(Table1[[#This Row],[Tipologia_Testes]],Auxiliar!$B$5:$B$13,0),MATCH(Table1[[#This Row],[Complexidade]],Auxiliar!$D$4:$F$4,0))</f>
        <v>0.1</v>
      </c>
      <c r="P668" s="2" t="s">
        <v>1290</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1252</v>
      </c>
      <c r="L672" s="2" t="s">
        <v>1250</v>
      </c>
      <c r="M672" s="21" t="s">
        <v>1251</v>
      </c>
      <c r="N672" s="48">
        <v>45575</v>
      </c>
      <c r="O672" s="21">
        <f>INDEX(Auxiliar!$D$5:$F$13,MATCH(Table1[[#This Row],[Tipologia_Testes]],Auxiliar!$B$5:$B$13,0),MATCH(Table1[[#This Row],[Complexidade]],Auxiliar!$D$4:$F$4,0))</f>
        <v>8</v>
      </c>
      <c r="P672" s="23" t="s">
        <v>1291</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1253</v>
      </c>
      <c r="L673" s="2" t="s">
        <v>1250</v>
      </c>
      <c r="M673" s="21" t="s">
        <v>1251</v>
      </c>
      <c r="N673" s="48">
        <v>45575</v>
      </c>
      <c r="O673" s="21">
        <f>INDEX(Auxiliar!$D$5:$F$13,MATCH(Table1[[#This Row],[Tipologia_Testes]],Auxiliar!$B$5:$B$13,0),MATCH(Table1[[#This Row],[Complexidade]],Auxiliar!$D$4:$F$4,0))</f>
        <v>8</v>
      </c>
      <c r="P673" s="23" t="s">
        <v>1291</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1255</v>
      </c>
      <c r="L674" s="2" t="s">
        <v>1250</v>
      </c>
      <c r="M674" s="21" t="s">
        <v>1251</v>
      </c>
      <c r="N674" s="48">
        <v>45575</v>
      </c>
      <c r="O674" s="21">
        <f>INDEX(Auxiliar!$D$5:$F$13,MATCH(Table1[[#This Row],[Tipologia_Testes]],Auxiliar!$B$5:$B$13,0),MATCH(Table1[[#This Row],[Complexidade]],Auxiliar!$D$4:$F$4,0))</f>
        <v>0.1</v>
      </c>
      <c r="P674" s="23" t="s">
        <v>1291</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1252</v>
      </c>
      <c r="L675" s="2" t="s">
        <v>1250</v>
      </c>
      <c r="M675" s="21" t="s">
        <v>1251</v>
      </c>
      <c r="N675" s="48">
        <v>45575</v>
      </c>
      <c r="O675" s="21">
        <f>INDEX(Auxiliar!$D$5:$F$13,MATCH(Table1[[#This Row],[Tipologia_Testes]],Auxiliar!$B$5:$B$13,0),MATCH(Table1[[#This Row],[Complexidade]],Auxiliar!$D$4:$F$4,0))</f>
        <v>8</v>
      </c>
      <c r="P675" s="23" t="s">
        <v>1291</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1253</v>
      </c>
      <c r="L676" s="2" t="s">
        <v>1250</v>
      </c>
      <c r="M676" s="21" t="s">
        <v>1251</v>
      </c>
      <c r="N676" s="48">
        <v>45575</v>
      </c>
      <c r="O676" s="21">
        <f>INDEX(Auxiliar!$D$5:$F$13,MATCH(Table1[[#This Row],[Tipologia_Testes]],Auxiliar!$B$5:$B$13,0),MATCH(Table1[[#This Row],[Complexidade]],Auxiliar!$D$4:$F$4,0))</f>
        <v>8</v>
      </c>
      <c r="P676" s="23" t="s">
        <v>1291</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1255</v>
      </c>
      <c r="L677" s="2" t="s">
        <v>1250</v>
      </c>
      <c r="M677" s="21" t="s">
        <v>1251</v>
      </c>
      <c r="N677" s="48">
        <v>45575</v>
      </c>
      <c r="O677" s="21">
        <f>INDEX(Auxiliar!$D$5:$F$13,MATCH(Table1[[#This Row],[Tipologia_Testes]],Auxiliar!$B$5:$B$13,0),MATCH(Table1[[#This Row],[Complexidade]],Auxiliar!$D$4:$F$4,0))</f>
        <v>0.1</v>
      </c>
      <c r="P677" s="23" t="s">
        <v>1291</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1252</v>
      </c>
      <c r="L678" s="2" t="s">
        <v>1250</v>
      </c>
      <c r="M678" s="21" t="s">
        <v>1251</v>
      </c>
      <c r="N678" s="48">
        <v>45575</v>
      </c>
      <c r="O678" s="21">
        <f>INDEX(Auxiliar!$D$5:$F$13,MATCH(Table1[[#This Row],[Tipologia_Testes]],Auxiliar!$B$5:$B$13,0),MATCH(Table1[[#This Row],[Complexidade]],Auxiliar!$D$4:$F$4,0))</f>
        <v>8</v>
      </c>
      <c r="P678" s="23" t="s">
        <v>1291</v>
      </c>
      <c r="Q678" s="2"/>
      <c r="R678" s="152">
        <v>45566</v>
      </c>
      <c r="S678" s="152"/>
      <c r="T678" s="152">
        <v>45569</v>
      </c>
      <c r="U678" s="152">
        <v>45607</v>
      </c>
      <c r="V678" s="152"/>
      <c r="W678" s="2">
        <f>VLOOKUP(Table1[[#This Row],[Status]],Auxiliar!$B$16:$D$24,3,0)*Table1[[#This Row],[Estimação (horas)]]</f>
        <v>2</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1253</v>
      </c>
      <c r="L679" s="2" t="s">
        <v>1250</v>
      </c>
      <c r="M679" s="21" t="s">
        <v>1251</v>
      </c>
      <c r="N679" s="48">
        <v>45575</v>
      </c>
      <c r="O679" s="21">
        <f>INDEX(Auxiliar!$D$5:$F$13,MATCH(Table1[[#This Row],[Tipologia_Testes]],Auxiliar!$B$5:$B$13,0),MATCH(Table1[[#This Row],[Complexidade]],Auxiliar!$D$4:$F$4,0))</f>
        <v>8</v>
      </c>
      <c r="P679" s="23" t="s">
        <v>1291</v>
      </c>
      <c r="Q679" s="2"/>
      <c r="R679" s="152">
        <v>45566</v>
      </c>
      <c r="S679" s="152"/>
      <c r="T679" s="152">
        <v>45569</v>
      </c>
      <c r="U679" s="152">
        <v>45607</v>
      </c>
      <c r="V679" s="152"/>
      <c r="W679" s="2">
        <f>VLOOKUP(Table1[[#This Row],[Status]],Auxiliar!$B$16:$D$24,3,0)*Table1[[#This Row],[Estimação (horas)]]</f>
        <v>2</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1255</v>
      </c>
      <c r="L680" s="2" t="s">
        <v>1250</v>
      </c>
      <c r="M680" s="21" t="s">
        <v>1251</v>
      </c>
      <c r="N680" s="48">
        <v>45575</v>
      </c>
      <c r="O680" s="21">
        <f>INDEX(Auxiliar!$D$5:$F$13,MATCH(Table1[[#This Row],[Tipologia_Testes]],Auxiliar!$B$5:$B$13,0),MATCH(Table1[[#This Row],[Complexidade]],Auxiliar!$D$4:$F$4,0))</f>
        <v>0.1</v>
      </c>
      <c r="P680" s="23" t="s">
        <v>1291</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8"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8"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8"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1298</v>
      </c>
      <c r="E733" s="2" t="s">
        <v>38</v>
      </c>
      <c r="F733" s="2" t="s">
        <v>182</v>
      </c>
      <c r="G733" s="2" t="s">
        <v>38</v>
      </c>
      <c r="H733" s="57" t="str">
        <f>Table1[[#This Row],[Tabela]]&amp;Table1[[#This Row],[Campo]]</f>
        <v>modesg_param_sfcs_taxon_europeian.a.</v>
      </c>
      <c r="I733" s="2" t="s">
        <v>1931</v>
      </c>
      <c r="J733" s="43">
        <f>VLOOKUP(Table1[[#This Row],[Status]],Auxiliar!$B$16:$C$24,2,0)</f>
        <v>2</v>
      </c>
      <c r="K733" s="2" t="s">
        <v>1249</v>
      </c>
      <c r="L733" s="2" t="s">
        <v>1258</v>
      </c>
      <c r="M733" s="21" t="s">
        <v>1251</v>
      </c>
      <c r="N733" s="48">
        <v>45603</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4</v>
      </c>
      <c r="X733" s="2"/>
    </row>
    <row r="734" spans="2:24" ht="87" hidden="1" customHeight="1">
      <c r="B734" s="2" t="s">
        <v>26</v>
      </c>
      <c r="C734" s="2" t="s">
        <v>181</v>
      </c>
      <c r="D734" s="2" t="s">
        <v>1298</v>
      </c>
      <c r="E734" s="2" t="s">
        <v>38</v>
      </c>
      <c r="F734" s="2" t="s">
        <v>182</v>
      </c>
      <c r="G734" s="2" t="s">
        <v>38</v>
      </c>
      <c r="H734" s="57" t="str">
        <f>Table1[[#This Row],[Tabela]]&amp;Table1[[#This Row],[Campo]]</f>
        <v>modesg_param_sfcs_taxon_europeian.a.</v>
      </c>
      <c r="I734" s="2" t="s">
        <v>1931</v>
      </c>
      <c r="J734" s="43">
        <f>VLOOKUP(Table1[[#This Row],[Status]],Auxiliar!$B$16:$C$24,2,0)</f>
        <v>2</v>
      </c>
      <c r="K734" s="2" t="s">
        <v>1299</v>
      </c>
      <c r="L734" s="2" t="s">
        <v>1258</v>
      </c>
      <c r="M734" s="21" t="s">
        <v>1259</v>
      </c>
      <c r="N734" s="48">
        <v>45603</v>
      </c>
      <c r="O734" s="21">
        <f>INDEX(Auxiliar!$D$5:$F$13,MATCH(Table1[[#This Row],[Tipologia_Testes]],Auxiliar!$B$5:$B$13,0),MATCH(Table1[[#This Row],[Complexidade]],Auxiliar!$D$4:$F$4,0))</f>
        <v>0.5</v>
      </c>
      <c r="P734" s="23" t="s">
        <v>1300</v>
      </c>
      <c r="Q734" s="2"/>
      <c r="R734" s="152">
        <v>45563</v>
      </c>
      <c r="S734" s="152"/>
      <c r="T734" s="152">
        <v>45563</v>
      </c>
      <c r="U734" s="152">
        <v>45603</v>
      </c>
      <c r="V734" s="152">
        <v>45604</v>
      </c>
      <c r="W734" s="2">
        <f>VLOOKUP(Table1[[#This Row],[Status]],Auxiliar!$B$16:$D$24,3,0)*Table1[[#This Row],[Estimação (horas)]]</f>
        <v>0.25</v>
      </c>
      <c r="X734" s="2"/>
    </row>
    <row r="735" spans="2:24" ht="17.7" hidden="1" customHeight="1">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1298</v>
      </c>
      <c r="E751" s="2" t="s">
        <v>38</v>
      </c>
      <c r="F751" s="2" t="s">
        <v>182</v>
      </c>
      <c r="G751" s="2" t="s">
        <v>191</v>
      </c>
      <c r="H751" s="57" t="str">
        <f>Table1[[#This Row],[Tabela]]&amp;Table1[[#This Row],[Campo]]</f>
        <v>modesg_param_sfcs_taxon_europeiacod_regra</v>
      </c>
      <c r="I751" s="2" t="s">
        <v>1931</v>
      </c>
      <c r="J751" s="43">
        <f>VLOOKUP(Table1[[#This Row],[Status]],Auxiliar!$B$16:$C$24,2,0)</f>
        <v>2</v>
      </c>
      <c r="K751" s="2" t="s">
        <v>1263</v>
      </c>
      <c r="L751" s="29" t="s">
        <v>1250</v>
      </c>
      <c r="M751" s="21" t="s">
        <v>1259</v>
      </c>
      <c r="N751" s="48">
        <v>45603</v>
      </c>
      <c r="O751" s="21">
        <f>INDEX(Auxiliar!$D$5:$F$13,MATCH(Table1[[#This Row],[Tipologia_Testes]],Auxiliar!$B$5:$B$13,0),MATCH(Table1[[#This Row],[Complexidade]],Auxiliar!$D$4:$F$4,0))</f>
        <v>0.5</v>
      </c>
      <c r="P751" s="2" t="s">
        <v>1301</v>
      </c>
      <c r="Q751" s="2"/>
      <c r="R751" s="152">
        <v>45563</v>
      </c>
      <c r="S751" s="152"/>
      <c r="T751" s="152">
        <v>45563</v>
      </c>
      <c r="U751" s="152">
        <v>45603</v>
      </c>
      <c r="V751" s="152">
        <v>45604</v>
      </c>
      <c r="W751" s="2">
        <f>VLOOKUP(Table1[[#This Row],[Status]],Auxiliar!$B$16:$D$24,3,0)*Table1[[#This Row],[Estimação (horas)]]</f>
        <v>0.25</v>
      </c>
      <c r="X751" s="2"/>
    </row>
    <row r="752" spans="2:24" ht="17.7" hidden="1" customHeight="1">
      <c r="B752" s="2" t="s">
        <v>26</v>
      </c>
      <c r="C752" s="2" t="s">
        <v>181</v>
      </c>
      <c r="D752" s="2" t="s">
        <v>1298</v>
      </c>
      <c r="E752" s="2" t="s">
        <v>38</v>
      </c>
      <c r="F752" s="2" t="s">
        <v>182</v>
      </c>
      <c r="G752" s="2" t="s">
        <v>191</v>
      </c>
      <c r="H752" s="57" t="str">
        <f>Table1[[#This Row],[Tabela]]&amp;Table1[[#This Row],[Campo]]</f>
        <v>modesg_param_sfcs_taxon_europeiacod_regra</v>
      </c>
      <c r="I752" s="2" t="s">
        <v>1931</v>
      </c>
      <c r="J752" s="43">
        <f>VLOOKUP(Table1[[#This Row],[Status]],Auxiliar!$B$16:$C$24,2,0)</f>
        <v>2</v>
      </c>
      <c r="K752" s="2" t="s">
        <v>1255</v>
      </c>
      <c r="L752" s="29" t="s">
        <v>1250</v>
      </c>
      <c r="M752" s="21" t="s">
        <v>1259</v>
      </c>
      <c r="N752" s="48">
        <v>45603</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0.05</v>
      </c>
      <c r="X752" s="2"/>
    </row>
    <row r="753" spans="2:24" ht="17.7" hidden="1" customHeight="1">
      <c r="B753" s="2" t="s">
        <v>26</v>
      </c>
      <c r="C753" s="2" t="s">
        <v>181</v>
      </c>
      <c r="D753" s="2" t="s">
        <v>1298</v>
      </c>
      <c r="E753" s="2" t="s">
        <v>38</v>
      </c>
      <c r="F753" s="2" t="s">
        <v>182</v>
      </c>
      <c r="G753" s="2" t="s">
        <v>192</v>
      </c>
      <c r="H753" s="57" t="str">
        <f>Table1[[#This Row],[Tabela]]&amp;Table1[[#This Row],[Campo]]</f>
        <v>modesg_param_sfcs_taxon_europeiacomite</v>
      </c>
      <c r="I753" s="2" t="s">
        <v>1931</v>
      </c>
      <c r="J753" s="43">
        <f>VLOOKUP(Table1[[#This Row],[Status]],Auxiliar!$B$16:$C$24,2,0)</f>
        <v>2</v>
      </c>
      <c r="K753" s="2" t="s">
        <v>1263</v>
      </c>
      <c r="L753" s="29" t="s">
        <v>1258</v>
      </c>
      <c r="M753" s="21" t="s">
        <v>1259</v>
      </c>
      <c r="N753" s="48">
        <v>45603</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0.25</v>
      </c>
      <c r="X753" s="2"/>
    </row>
    <row r="754" spans="2:24" ht="17.7" hidden="1" customHeight="1">
      <c r="B754" s="2" t="s">
        <v>26</v>
      </c>
      <c r="C754" s="2" t="s">
        <v>181</v>
      </c>
      <c r="D754" s="2" t="s">
        <v>1298</v>
      </c>
      <c r="E754" s="2" t="s">
        <v>38</v>
      </c>
      <c r="F754" s="2" t="s">
        <v>182</v>
      </c>
      <c r="G754" s="2" t="s">
        <v>192</v>
      </c>
      <c r="H754" s="57" t="str">
        <f>Table1[[#This Row],[Tabela]]&amp;Table1[[#This Row],[Campo]]</f>
        <v>modesg_param_sfcs_taxon_europeiacomite</v>
      </c>
      <c r="I754" s="2" t="s">
        <v>1931</v>
      </c>
      <c r="J754" s="43">
        <f>VLOOKUP(Table1[[#This Row],[Status]],Auxiliar!$B$16:$C$24,2,0)</f>
        <v>2</v>
      </c>
      <c r="K754" s="2" t="s">
        <v>1255</v>
      </c>
      <c r="L754" s="29" t="s">
        <v>1258</v>
      </c>
      <c r="M754" s="21" t="s">
        <v>1259</v>
      </c>
      <c r="N754" s="48">
        <v>45603</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0.05</v>
      </c>
      <c r="X754" s="2"/>
    </row>
    <row r="755" spans="2:24" ht="17.7" hidden="1" customHeight="1">
      <c r="B755" s="2" t="s">
        <v>26</v>
      </c>
      <c r="C755" s="2" t="s">
        <v>181</v>
      </c>
      <c r="D755" s="2" t="s">
        <v>1298</v>
      </c>
      <c r="E755" s="2" t="s">
        <v>38</v>
      </c>
      <c r="F755" s="2" t="s">
        <v>182</v>
      </c>
      <c r="G755" s="2" t="s">
        <v>193</v>
      </c>
      <c r="H755" s="57" t="str">
        <f>Table1[[#This Row],[Tabela]]&amp;Table1[[#This Row],[Campo]]</f>
        <v>modesg_param_sfcs_taxon_europeiadata_aprvc</v>
      </c>
      <c r="I755" s="2" t="s">
        <v>1931</v>
      </c>
      <c r="J755" s="43">
        <f>VLOOKUP(Table1[[#This Row],[Status]],Auxiliar!$B$16:$C$24,2,0)</f>
        <v>2</v>
      </c>
      <c r="K755" s="2" t="s">
        <v>1263</v>
      </c>
      <c r="L755" s="29" t="s">
        <v>1258</v>
      </c>
      <c r="M755" s="21" t="s">
        <v>1259</v>
      </c>
      <c r="N755" s="48">
        <v>45603</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0.25</v>
      </c>
      <c r="X755" s="2"/>
    </row>
    <row r="756" spans="2:24" ht="17.7" hidden="1" customHeight="1">
      <c r="B756" s="2" t="s">
        <v>26</v>
      </c>
      <c r="C756" s="2" t="s">
        <v>181</v>
      </c>
      <c r="D756" s="2" t="s">
        <v>1298</v>
      </c>
      <c r="E756" s="2" t="s">
        <v>38</v>
      </c>
      <c r="F756" s="2" t="s">
        <v>182</v>
      </c>
      <c r="G756" s="2" t="s">
        <v>193</v>
      </c>
      <c r="H756" s="57" t="str">
        <f>Table1[[#This Row],[Tabela]]&amp;Table1[[#This Row],[Campo]]</f>
        <v>modesg_param_sfcs_taxon_europeiadata_aprvc</v>
      </c>
      <c r="I756" s="2" t="s">
        <v>1931</v>
      </c>
      <c r="J756" s="43">
        <f>VLOOKUP(Table1[[#This Row],[Status]],Auxiliar!$B$16:$C$24,2,0)</f>
        <v>2</v>
      </c>
      <c r="K756" s="2" t="s">
        <v>1255</v>
      </c>
      <c r="L756" s="29" t="s">
        <v>1258</v>
      </c>
      <c r="M756" s="21" t="s">
        <v>1259</v>
      </c>
      <c r="N756" s="48">
        <v>45603</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0.05</v>
      </c>
      <c r="X756" s="2"/>
    </row>
    <row r="757" spans="2:24" ht="17.7" hidden="1" customHeight="1">
      <c r="B757" s="2" t="s">
        <v>26</v>
      </c>
      <c r="C757" s="2" t="s">
        <v>181</v>
      </c>
      <c r="D757" s="2" t="s">
        <v>1298</v>
      </c>
      <c r="E757" s="2" t="s">
        <v>38</v>
      </c>
      <c r="F757" s="2" t="s">
        <v>182</v>
      </c>
      <c r="G757" s="2" t="s">
        <v>194</v>
      </c>
      <c r="H757" s="57" t="str">
        <f>Table1[[#This Row],[Tabela]]&amp;Table1[[#This Row],[Campo]]</f>
        <v>modesg_param_sfcs_taxon_europeiadata_final</v>
      </c>
      <c r="I757" s="2" t="s">
        <v>1931</v>
      </c>
      <c r="J757" s="43">
        <f>VLOOKUP(Table1[[#This Row],[Status]],Auxiliar!$B$16:$C$24,2,0)</f>
        <v>2</v>
      </c>
      <c r="K757" s="2" t="s">
        <v>1263</v>
      </c>
      <c r="L757" s="29" t="s">
        <v>1258</v>
      </c>
      <c r="M757" s="21" t="s">
        <v>1259</v>
      </c>
      <c r="N757" s="48">
        <v>45603</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0.25</v>
      </c>
      <c r="X757" s="2"/>
    </row>
    <row r="758" spans="2:24" ht="17.7" hidden="1" customHeight="1">
      <c r="B758" s="2" t="s">
        <v>26</v>
      </c>
      <c r="C758" s="2" t="s">
        <v>181</v>
      </c>
      <c r="D758" s="2" t="s">
        <v>1298</v>
      </c>
      <c r="E758" s="2" t="s">
        <v>38</v>
      </c>
      <c r="F758" s="2" t="s">
        <v>182</v>
      </c>
      <c r="G758" s="2" t="s">
        <v>194</v>
      </c>
      <c r="H758" s="57" t="str">
        <f>Table1[[#This Row],[Tabela]]&amp;Table1[[#This Row],[Campo]]</f>
        <v>modesg_param_sfcs_taxon_europeiadata_final</v>
      </c>
      <c r="I758" s="2" t="s">
        <v>1931</v>
      </c>
      <c r="J758" s="43">
        <f>VLOOKUP(Table1[[#This Row],[Status]],Auxiliar!$B$16:$C$24,2,0)</f>
        <v>2</v>
      </c>
      <c r="K758" s="2" t="s">
        <v>1255</v>
      </c>
      <c r="L758" s="29" t="s">
        <v>1258</v>
      </c>
      <c r="M758" s="21" t="s">
        <v>1259</v>
      </c>
      <c r="N758" s="48">
        <v>45603</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0.05</v>
      </c>
      <c r="X758" s="2"/>
    </row>
    <row r="759" spans="2:24" ht="17.7" hidden="1" customHeight="1">
      <c r="B759" s="2" t="s">
        <v>26</v>
      </c>
      <c r="C759" s="2" t="s">
        <v>181</v>
      </c>
      <c r="D759" s="2" t="s">
        <v>1298</v>
      </c>
      <c r="E759" s="2" t="s">
        <v>38</v>
      </c>
      <c r="F759" s="2" t="s">
        <v>182</v>
      </c>
      <c r="G759" s="2" t="s">
        <v>195</v>
      </c>
      <c r="H759" s="57" t="str">
        <f>Table1[[#This Row],[Tabela]]&amp;Table1[[#This Row],[Campo]]</f>
        <v>modesg_param_sfcs_taxon_europeiadata_inicial</v>
      </c>
      <c r="I759" s="2" t="s">
        <v>1931</v>
      </c>
      <c r="J759" s="43">
        <f>VLOOKUP(Table1[[#This Row],[Status]],Auxiliar!$B$16:$C$24,2,0)</f>
        <v>2</v>
      </c>
      <c r="K759" s="2" t="s">
        <v>1263</v>
      </c>
      <c r="L759" s="29" t="s">
        <v>1258</v>
      </c>
      <c r="M759" s="21" t="s">
        <v>1259</v>
      </c>
      <c r="N759" s="48">
        <v>45603</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0.25</v>
      </c>
      <c r="X759" s="2"/>
    </row>
    <row r="760" spans="2:24" ht="17.7" hidden="1" customHeight="1">
      <c r="B760" s="2" t="s">
        <v>26</v>
      </c>
      <c r="C760" s="2" t="s">
        <v>181</v>
      </c>
      <c r="D760" s="2" t="s">
        <v>1298</v>
      </c>
      <c r="E760" s="2" t="s">
        <v>38</v>
      </c>
      <c r="F760" s="2" t="s">
        <v>182</v>
      </c>
      <c r="G760" s="2" t="s">
        <v>195</v>
      </c>
      <c r="H760" s="57" t="str">
        <f>Table1[[#This Row],[Tabela]]&amp;Table1[[#This Row],[Campo]]</f>
        <v>modesg_param_sfcs_taxon_europeiadata_inicial</v>
      </c>
      <c r="I760" s="2" t="s">
        <v>1931</v>
      </c>
      <c r="J760" s="43">
        <f>VLOOKUP(Table1[[#This Row],[Status]],Auxiliar!$B$16:$C$24,2,0)</f>
        <v>2</v>
      </c>
      <c r="K760" s="2" t="s">
        <v>1255</v>
      </c>
      <c r="L760" s="29" t="s">
        <v>1258</v>
      </c>
      <c r="M760" s="21" t="s">
        <v>1259</v>
      </c>
      <c r="N760" s="48">
        <v>45603</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0.05</v>
      </c>
      <c r="X760" s="2"/>
    </row>
    <row r="761" spans="2:24" ht="17.7" hidden="1" customHeight="1">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1298</v>
      </c>
      <c r="E767" s="2" t="s">
        <v>38</v>
      </c>
      <c r="F767" s="2" t="s">
        <v>182</v>
      </c>
      <c r="G767" s="2" t="s">
        <v>199</v>
      </c>
      <c r="H767" s="57" t="str">
        <f>Table1[[#This Row],[Tabela]]&amp;Table1[[#This Row],[Campo]]</f>
        <v>modesg_param_sfcs_taxon_europeiaflag_project_finance</v>
      </c>
      <c r="I767" s="2" t="s">
        <v>1931</v>
      </c>
      <c r="J767" s="43">
        <f>VLOOKUP(Table1[[#This Row],[Status]],Auxiliar!$B$16:$C$24,2,0)</f>
        <v>2</v>
      </c>
      <c r="K767" s="2" t="s">
        <v>1255</v>
      </c>
      <c r="L767" s="2" t="s">
        <v>655</v>
      </c>
      <c r="M767" s="21" t="s">
        <v>1259</v>
      </c>
      <c r="N767" s="48">
        <v>45603</v>
      </c>
      <c r="O767" s="21">
        <f>INDEX(Auxiliar!$D$5:$F$13,MATCH(Table1[[#This Row],[Tipologia_Testes]],Auxiliar!$B$5:$B$13,0),MATCH(Table1[[#This Row],[Complexidade]],Auxiliar!$D$4:$F$4,0))</f>
        <v>0.1</v>
      </c>
      <c r="P767" s="2" t="s">
        <v>1302</v>
      </c>
      <c r="Q767" s="2"/>
      <c r="R767" s="152">
        <v>45563</v>
      </c>
      <c r="S767" s="152"/>
      <c r="T767" s="152">
        <v>45563</v>
      </c>
      <c r="U767" s="152">
        <v>45603</v>
      </c>
      <c r="V767" s="152">
        <v>45604</v>
      </c>
      <c r="W767" s="2">
        <f>VLOOKUP(Table1[[#This Row],[Status]],Auxiliar!$B$16:$D$24,3,0)*Table1[[#This Row],[Estimação (horas)]]</f>
        <v>0.05</v>
      </c>
      <c r="X767" s="2"/>
    </row>
    <row r="768" spans="2:24" ht="17.7" hidden="1" customHeight="1">
      <c r="B768" s="2" t="s">
        <v>26</v>
      </c>
      <c r="C768" s="2" t="s">
        <v>181</v>
      </c>
      <c r="D768" s="2" t="s">
        <v>1298</v>
      </c>
      <c r="E768" s="2" t="s">
        <v>38</v>
      </c>
      <c r="F768" s="2" t="s">
        <v>182</v>
      </c>
      <c r="G768" s="2" t="s">
        <v>199</v>
      </c>
      <c r="H768" s="57" t="str">
        <f>Table1[[#This Row],[Tabela]]&amp;Table1[[#This Row],[Campo]]</f>
        <v>modesg_param_sfcs_taxon_europeiaflag_project_finance</v>
      </c>
      <c r="I768" s="2" t="s">
        <v>1931</v>
      </c>
      <c r="J768" s="43">
        <f>VLOOKUP(Table1[[#This Row],[Status]],Auxiliar!$B$16:$C$24,2,0)</f>
        <v>2</v>
      </c>
      <c r="K768" s="2" t="s">
        <v>1263</v>
      </c>
      <c r="L768" s="2" t="s">
        <v>655</v>
      </c>
      <c r="M768" s="21" t="s">
        <v>1259</v>
      </c>
      <c r="N768" s="48">
        <v>45603</v>
      </c>
      <c r="O768" s="21">
        <f>INDEX(Auxiliar!$D$5:$F$13,MATCH(Table1[[#This Row],[Tipologia_Testes]],Auxiliar!$B$5:$B$13,0),MATCH(Table1[[#This Row],[Complexidade]],Auxiliar!$D$4:$F$4,0))</f>
        <v>0.5</v>
      </c>
      <c r="P768" s="2" t="s">
        <v>1302</v>
      </c>
      <c r="Q768" s="2"/>
      <c r="R768" s="152">
        <v>45563</v>
      </c>
      <c r="S768" s="152"/>
      <c r="T768" s="152">
        <v>45563</v>
      </c>
      <c r="U768" s="152">
        <v>45603</v>
      </c>
      <c r="V768" s="152">
        <v>45604</v>
      </c>
      <c r="W768" s="2">
        <f>VLOOKUP(Table1[[#This Row],[Status]],Auxiliar!$B$16:$D$24,3,0)*Table1[[#This Row],[Estimação (horas)]]</f>
        <v>0.25</v>
      </c>
      <c r="X768" s="2"/>
    </row>
    <row r="769" spans="2:24" ht="17.7" hidden="1" customHeight="1">
      <c r="B769" s="2" t="s">
        <v>26</v>
      </c>
      <c r="C769" s="2" t="s">
        <v>181</v>
      </c>
      <c r="D769" s="2" t="s">
        <v>1298</v>
      </c>
      <c r="E769" s="2" t="s">
        <v>38</v>
      </c>
      <c r="F769" s="2" t="s">
        <v>182</v>
      </c>
      <c r="G769" s="2" t="s">
        <v>200</v>
      </c>
      <c r="H769" s="57" t="str">
        <f>Table1[[#This Row],[Tabela]]&amp;Table1[[#This Row],[Campo]]</f>
        <v>modesg_param_sfcs_taxon_europeiacfinalidad</v>
      </c>
      <c r="I769" s="2" t="s">
        <v>1931</v>
      </c>
      <c r="J769" s="43">
        <f>VLOOKUP(Table1[[#This Row],[Status]],Auxiliar!$B$16:$C$24,2,0)</f>
        <v>2</v>
      </c>
      <c r="K769" s="2" t="s">
        <v>1255</v>
      </c>
      <c r="L769" s="2" t="s">
        <v>655</v>
      </c>
      <c r="M769" s="21" t="s">
        <v>1260</v>
      </c>
      <c r="N769" s="48">
        <v>45603</v>
      </c>
      <c r="O769" s="21">
        <f>INDEX(Auxiliar!$D$5:$F$13,MATCH(Table1[[#This Row],[Tipologia_Testes]],Auxiliar!$B$5:$B$13,0),MATCH(Table1[[#This Row],[Complexidade]],Auxiliar!$D$4:$F$4,0))</f>
        <v>0.1</v>
      </c>
      <c r="P769" s="2" t="s">
        <v>1303</v>
      </c>
      <c r="Q769" s="2"/>
      <c r="R769" s="152">
        <v>45563</v>
      </c>
      <c r="S769" s="152"/>
      <c r="T769" s="152">
        <v>45563</v>
      </c>
      <c r="U769" s="152">
        <v>45603</v>
      </c>
      <c r="V769" s="152">
        <v>45604</v>
      </c>
      <c r="W769" s="2">
        <f>VLOOKUP(Table1[[#This Row],[Status]],Auxiliar!$B$16:$D$24,3,0)*Table1[[#This Row],[Estimação (horas)]]</f>
        <v>0.05</v>
      </c>
      <c r="X769" s="2"/>
    </row>
    <row r="770" spans="2:24" ht="17.7" hidden="1" customHeight="1">
      <c r="B770" s="2" t="s">
        <v>26</v>
      </c>
      <c r="C770" s="2" t="s">
        <v>181</v>
      </c>
      <c r="D770" s="2" t="s">
        <v>1298</v>
      </c>
      <c r="E770" s="2" t="s">
        <v>38</v>
      </c>
      <c r="F770" s="2" t="s">
        <v>182</v>
      </c>
      <c r="G770" s="2" t="s">
        <v>200</v>
      </c>
      <c r="H770" s="57" t="str">
        <f>Table1[[#This Row],[Tabela]]&amp;Table1[[#This Row],[Campo]]</f>
        <v>modesg_param_sfcs_taxon_europeiacfinalidad</v>
      </c>
      <c r="I770" s="2" t="s">
        <v>1931</v>
      </c>
      <c r="J770" s="43">
        <f>VLOOKUP(Table1[[#This Row],[Status]],Auxiliar!$B$16:$C$24,2,0)</f>
        <v>2</v>
      </c>
      <c r="K770" s="2" t="s">
        <v>1263</v>
      </c>
      <c r="L770" s="2" t="s">
        <v>655</v>
      </c>
      <c r="M770" s="21" t="s">
        <v>1260</v>
      </c>
      <c r="N770" s="48">
        <v>45603</v>
      </c>
      <c r="O770" s="21">
        <f>INDEX(Auxiliar!$D$5:$F$13,MATCH(Table1[[#This Row],[Tipologia_Testes]],Auxiliar!$B$5:$B$13,0),MATCH(Table1[[#This Row],[Complexidade]],Auxiliar!$D$4:$F$4,0))</f>
        <v>0.5</v>
      </c>
      <c r="P770" s="2" t="s">
        <v>1303</v>
      </c>
      <c r="Q770" s="2"/>
      <c r="R770" s="152">
        <v>45563</v>
      </c>
      <c r="S770" s="152"/>
      <c r="T770" s="152">
        <v>45563</v>
      </c>
      <c r="U770" s="152">
        <v>45603</v>
      </c>
      <c r="V770" s="152">
        <v>45604</v>
      </c>
      <c r="W770" s="2">
        <f>VLOOKUP(Table1[[#This Row],[Status]],Auxiliar!$B$16:$D$24,3,0)*Table1[[#This Row],[Estimação (horas)]]</f>
        <v>0.25</v>
      </c>
      <c r="X770" s="2"/>
    </row>
    <row r="771" spans="2:24" ht="17.7" hidden="1" customHeight="1">
      <c r="B771" s="2" t="s">
        <v>26</v>
      </c>
      <c r="C771" s="2" t="s">
        <v>181</v>
      </c>
      <c r="D771" s="2" t="s">
        <v>1298</v>
      </c>
      <c r="E771" s="2" t="s">
        <v>38</v>
      </c>
      <c r="F771" s="2" t="s">
        <v>182</v>
      </c>
      <c r="G771" s="2" t="s">
        <v>201</v>
      </c>
      <c r="H771" s="57" t="str">
        <f>Table1[[#This Row],[Tabela]]&amp;Table1[[#This Row],[Campo]]</f>
        <v>modesg_param_sfcs_taxon_europeiatipo_combust</v>
      </c>
      <c r="I771" s="2" t="s">
        <v>1931</v>
      </c>
      <c r="J771" s="43">
        <f>VLOOKUP(Table1[[#This Row],[Status]],Auxiliar!$B$16:$C$24,2,0)</f>
        <v>2</v>
      </c>
      <c r="K771" s="2" t="s">
        <v>1263</v>
      </c>
      <c r="L771" s="2" t="s">
        <v>655</v>
      </c>
      <c r="M771" s="21" t="s">
        <v>1259</v>
      </c>
      <c r="N771" s="48">
        <v>45603</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0.25</v>
      </c>
      <c r="X771" s="2"/>
    </row>
    <row r="772" spans="2:24" ht="17.7" hidden="1" customHeight="1">
      <c r="B772" s="2" t="s">
        <v>26</v>
      </c>
      <c r="C772" s="2" t="s">
        <v>181</v>
      </c>
      <c r="D772" s="2" t="s">
        <v>1298</v>
      </c>
      <c r="E772" s="2" t="s">
        <v>38</v>
      </c>
      <c r="F772" s="2" t="s">
        <v>182</v>
      </c>
      <c r="G772" s="2" t="s">
        <v>201</v>
      </c>
      <c r="H772" s="57" t="str">
        <f>Table1[[#This Row],[Tabela]]&amp;Table1[[#This Row],[Campo]]</f>
        <v>modesg_param_sfcs_taxon_europeiatipo_combust</v>
      </c>
      <c r="I772" s="2" t="s">
        <v>1931</v>
      </c>
      <c r="J772" s="43">
        <f>VLOOKUP(Table1[[#This Row],[Status]],Auxiliar!$B$16:$C$24,2,0)</f>
        <v>2</v>
      </c>
      <c r="K772" s="2" t="s">
        <v>1255</v>
      </c>
      <c r="L772" s="2" t="s">
        <v>655</v>
      </c>
      <c r="M772" s="21" t="s">
        <v>1259</v>
      </c>
      <c r="N772" s="48">
        <v>45603</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0.05</v>
      </c>
      <c r="X772" s="2"/>
    </row>
    <row r="773" spans="2:24" ht="17.7" hidden="1" customHeight="1">
      <c r="B773" s="2" t="s">
        <v>26</v>
      </c>
      <c r="C773" s="2" t="s">
        <v>181</v>
      </c>
      <c r="D773" s="2" t="s">
        <v>1298</v>
      </c>
      <c r="E773" s="2" t="s">
        <v>38</v>
      </c>
      <c r="F773" s="2" t="s">
        <v>182</v>
      </c>
      <c r="G773" s="2" t="s">
        <v>202</v>
      </c>
      <c r="H773" s="57" t="str">
        <f>Table1[[#This Row],[Tabela]]&amp;Table1[[#This Row],[Campo]]</f>
        <v>modesg_param_sfcs_taxon_europeiamontante_pndrc</v>
      </c>
      <c r="I773" s="2" t="s">
        <v>1931</v>
      </c>
      <c r="J773" s="43">
        <f>VLOOKUP(Table1[[#This Row],[Status]],Auxiliar!$B$16:$C$24,2,0)</f>
        <v>2</v>
      </c>
      <c r="K773" s="2" t="s">
        <v>1263</v>
      </c>
      <c r="L773" s="2" t="s">
        <v>1258</v>
      </c>
      <c r="M773" s="21" t="s">
        <v>1259</v>
      </c>
      <c r="N773" s="48">
        <v>45603</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0.25</v>
      </c>
      <c r="X773" s="2"/>
    </row>
    <row r="774" spans="2:24" ht="17.7" hidden="1" customHeight="1">
      <c r="B774" s="2" t="s">
        <v>26</v>
      </c>
      <c r="C774" s="2" t="s">
        <v>181</v>
      </c>
      <c r="D774" s="2" t="s">
        <v>1298</v>
      </c>
      <c r="E774" s="2" t="s">
        <v>38</v>
      </c>
      <c r="F774" s="2" t="s">
        <v>182</v>
      </c>
      <c r="G774" s="2" t="s">
        <v>202</v>
      </c>
      <c r="H774" s="57" t="str">
        <f>Table1[[#This Row],[Tabela]]&amp;Table1[[#This Row],[Campo]]</f>
        <v>modesg_param_sfcs_taxon_europeiamontante_pndrc</v>
      </c>
      <c r="I774" s="2" t="s">
        <v>1931</v>
      </c>
      <c r="J774" s="43">
        <f>VLOOKUP(Table1[[#This Row],[Status]],Auxiliar!$B$16:$C$24,2,0)</f>
        <v>2</v>
      </c>
      <c r="K774" s="2" t="s">
        <v>1255</v>
      </c>
      <c r="L774" s="2" t="s">
        <v>1258</v>
      </c>
      <c r="M774" s="21" t="s">
        <v>1259</v>
      </c>
      <c r="N774" s="48">
        <v>45603</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0.05</v>
      </c>
      <c r="X774" s="2"/>
    </row>
    <row r="775" spans="2:24" ht="69.599999999999994" hidden="1" customHeight="1">
      <c r="B775" s="2" t="s">
        <v>26</v>
      </c>
      <c r="C775" s="2" t="s">
        <v>181</v>
      </c>
      <c r="D775" s="2" t="s">
        <v>1298</v>
      </c>
      <c r="E775" s="2" t="s">
        <v>38</v>
      </c>
      <c r="F775" s="2" t="s">
        <v>182</v>
      </c>
      <c r="G775" s="2" t="s">
        <v>203</v>
      </c>
      <c r="H775" s="57" t="str">
        <f>Table1[[#This Row],[Tabela]]&amp;Table1[[#This Row],[Campo]]</f>
        <v>modesg_param_sfcs_taxon_europeianome_ctgr_sfcs</v>
      </c>
      <c r="I775" s="2" t="s">
        <v>1931</v>
      </c>
      <c r="J775" s="43">
        <f>VLOOKUP(Table1[[#This Row],[Status]],Auxiliar!$B$16:$C$24,2,0)</f>
        <v>2</v>
      </c>
      <c r="K775" s="2" t="s">
        <v>1263</v>
      </c>
      <c r="L775" s="2" t="s">
        <v>1258</v>
      </c>
      <c r="M775" s="21" t="s">
        <v>1259</v>
      </c>
      <c r="N775" s="48">
        <v>45603</v>
      </c>
      <c r="O775" s="21">
        <f>INDEX(Auxiliar!$D$5:$F$13,MATCH(Table1[[#This Row],[Tipologia_Testes]],Auxiliar!$B$5:$B$13,0),MATCH(Table1[[#This Row],[Complexidade]],Auxiliar!$D$4:$F$4,0))</f>
        <v>0.5</v>
      </c>
      <c r="P775" s="23" t="s">
        <v>1304</v>
      </c>
      <c r="Q775" s="2"/>
      <c r="R775" s="152">
        <v>45261</v>
      </c>
      <c r="S775" s="152"/>
      <c r="T775" s="152">
        <v>45563</v>
      </c>
      <c r="U775" s="152">
        <v>45603</v>
      </c>
      <c r="V775" s="152">
        <v>45604</v>
      </c>
      <c r="W775" s="2">
        <f>VLOOKUP(Table1[[#This Row],[Status]],Auxiliar!$B$16:$D$24,3,0)*Table1[[#This Row],[Estimação (horas)]]</f>
        <v>0.25</v>
      </c>
      <c r="X775" s="2"/>
    </row>
    <row r="776" spans="2:24" ht="69.599999999999994" hidden="1" customHeight="1">
      <c r="B776" s="2" t="s">
        <v>26</v>
      </c>
      <c r="C776" s="2" t="s">
        <v>181</v>
      </c>
      <c r="D776" s="2" t="s">
        <v>1298</v>
      </c>
      <c r="E776" s="2" t="s">
        <v>38</v>
      </c>
      <c r="F776" s="2" t="s">
        <v>182</v>
      </c>
      <c r="G776" s="2" t="s">
        <v>203</v>
      </c>
      <c r="H776" s="57" t="str">
        <f>Table1[[#This Row],[Tabela]]&amp;Table1[[#This Row],[Campo]]</f>
        <v>modesg_param_sfcs_taxon_europeianome_ctgr_sfcs</v>
      </c>
      <c r="I776" s="2" t="s">
        <v>1931</v>
      </c>
      <c r="J776" s="43">
        <f>VLOOKUP(Table1[[#This Row],[Status]],Auxiliar!$B$16:$C$24,2,0)</f>
        <v>2</v>
      </c>
      <c r="K776" s="2" t="s">
        <v>1255</v>
      </c>
      <c r="L776" s="29" t="s">
        <v>1258</v>
      </c>
      <c r="M776" s="21" t="s">
        <v>1259</v>
      </c>
      <c r="N776" s="48">
        <v>45603</v>
      </c>
      <c r="O776" s="21">
        <f>INDEX(Auxiliar!$D$5:$F$13,MATCH(Table1[[#This Row],[Tipologia_Testes]],Auxiliar!$B$5:$B$13,0),MATCH(Table1[[#This Row],[Complexidade]],Auxiliar!$D$4:$F$4,0))</f>
        <v>0.1</v>
      </c>
      <c r="P776" s="23" t="s">
        <v>1304</v>
      </c>
      <c r="Q776" s="2"/>
      <c r="R776" s="152">
        <v>45261</v>
      </c>
      <c r="S776" s="152"/>
      <c r="T776" s="152">
        <v>45563</v>
      </c>
      <c r="U776" s="152">
        <v>45603</v>
      </c>
      <c r="V776" s="152">
        <v>45604</v>
      </c>
      <c r="W776" s="2">
        <f>VLOOKUP(Table1[[#This Row],[Status]],Auxiliar!$B$16:$D$24,3,0)*Table1[[#This Row],[Estimação (horas)]]</f>
        <v>0.05</v>
      </c>
      <c r="X776" s="2"/>
    </row>
    <row r="777" spans="2:24" ht="17.7" hidden="1" customHeight="1">
      <c r="B777" s="2" t="s">
        <v>26</v>
      </c>
      <c r="C777" s="2" t="s">
        <v>181</v>
      </c>
      <c r="D777" s="2" t="s">
        <v>1298</v>
      </c>
      <c r="E777" s="2" t="s">
        <v>38</v>
      </c>
      <c r="F777" s="2" t="s">
        <v>182</v>
      </c>
      <c r="G777" s="2" t="s">
        <v>204</v>
      </c>
      <c r="H777" s="57" t="str">
        <f>Table1[[#This Row],[Tabela]]&amp;Table1[[#This Row],[Campo]]</f>
        <v>modesg_param_sfcs_taxon_europeianome_general_specific_purpose</v>
      </c>
      <c r="I777" s="2" t="s">
        <v>1931</v>
      </c>
      <c r="J777" s="55">
        <f>VLOOKUP(Table1[[#This Row],[Status]],Auxiliar!$B$16:$C$24,2,0)</f>
        <v>2</v>
      </c>
      <c r="K777" s="2" t="s">
        <v>1263</v>
      </c>
      <c r="L777" s="29" t="s">
        <v>1258</v>
      </c>
      <c r="M777" s="21" t="s">
        <v>1259</v>
      </c>
      <c r="N777" s="48">
        <v>45603</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0.25</v>
      </c>
      <c r="X777" s="2"/>
    </row>
    <row r="778" spans="2:24" ht="17.7" hidden="1" customHeight="1">
      <c r="B778" s="2" t="s">
        <v>26</v>
      </c>
      <c r="C778" s="2" t="s">
        <v>181</v>
      </c>
      <c r="D778" s="2" t="s">
        <v>1298</v>
      </c>
      <c r="E778" s="2" t="s">
        <v>38</v>
      </c>
      <c r="F778" s="2" t="s">
        <v>182</v>
      </c>
      <c r="G778" s="2" t="s">
        <v>204</v>
      </c>
      <c r="H778" s="57" t="str">
        <f>Table1[[#This Row],[Tabela]]&amp;Table1[[#This Row],[Campo]]</f>
        <v>modesg_param_sfcs_taxon_europeianome_general_specific_purpose</v>
      </c>
      <c r="I778" s="2" t="s">
        <v>1931</v>
      </c>
      <c r="J778" s="55">
        <f>VLOOKUP(Table1[[#This Row],[Status]],Auxiliar!$B$16:$C$24,2,0)</f>
        <v>2</v>
      </c>
      <c r="K778" s="2" t="s">
        <v>1255</v>
      </c>
      <c r="L778" s="29" t="s">
        <v>1258</v>
      </c>
      <c r="M778" s="21" t="s">
        <v>1259</v>
      </c>
      <c r="N778" s="48">
        <v>45603</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0.05</v>
      </c>
      <c r="X778" s="2"/>
    </row>
    <row r="779" spans="2:24" ht="17.7" hidden="1" customHeight="1">
      <c r="B779" s="2" t="s">
        <v>26</v>
      </c>
      <c r="C779" s="2" t="s">
        <v>181</v>
      </c>
      <c r="D779" s="2" t="s">
        <v>1298</v>
      </c>
      <c r="E779" s="2" t="s">
        <v>38</v>
      </c>
      <c r="F779" s="2" t="s">
        <v>182</v>
      </c>
      <c r="G779" s="2" t="s">
        <v>205</v>
      </c>
      <c r="H779" s="57" t="str">
        <f>Table1[[#This Row],[Tabela]]&amp;Table1[[#This Row],[Campo]]</f>
        <v>modesg_param_sfcs_taxon_europeianome_purpose_esg</v>
      </c>
      <c r="I779" s="2" t="s">
        <v>1931</v>
      </c>
      <c r="J779" s="55">
        <f>VLOOKUP(Table1[[#This Row],[Status]],Auxiliar!$B$16:$C$24,2,0)</f>
        <v>2</v>
      </c>
      <c r="K779" s="2" t="s">
        <v>1263</v>
      </c>
      <c r="L779" s="29" t="s">
        <v>1258</v>
      </c>
      <c r="M779" s="21" t="s">
        <v>1259</v>
      </c>
      <c r="N779" s="48">
        <v>45603</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0.25</v>
      </c>
      <c r="X779" s="2"/>
    </row>
    <row r="780" spans="2:24" ht="17.7" hidden="1" customHeight="1">
      <c r="B780" s="2" t="s">
        <v>26</v>
      </c>
      <c r="C780" s="2" t="s">
        <v>181</v>
      </c>
      <c r="D780" s="2" t="s">
        <v>1298</v>
      </c>
      <c r="E780" s="2" t="s">
        <v>38</v>
      </c>
      <c r="F780" s="2" t="s">
        <v>182</v>
      </c>
      <c r="G780" s="2" t="s">
        <v>205</v>
      </c>
      <c r="H780" s="57" t="str">
        <f>Table1[[#This Row],[Tabela]]&amp;Table1[[#This Row],[Campo]]</f>
        <v>modesg_param_sfcs_taxon_europeianome_purpose_esg</v>
      </c>
      <c r="I780" s="2" t="s">
        <v>1931</v>
      </c>
      <c r="J780" s="55">
        <f>VLOOKUP(Table1[[#This Row],[Status]],Auxiliar!$B$16:$C$24,2,0)</f>
        <v>2</v>
      </c>
      <c r="K780" s="2" t="s">
        <v>1255</v>
      </c>
      <c r="L780" s="29" t="s">
        <v>1258</v>
      </c>
      <c r="M780" s="21" t="s">
        <v>1259</v>
      </c>
      <c r="N780" s="48">
        <v>45603</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0.05</v>
      </c>
      <c r="X780" s="2"/>
    </row>
    <row r="781" spans="2:24" ht="17.7" hidden="1" customHeight="1">
      <c r="B781" s="2" t="s">
        <v>26</v>
      </c>
      <c r="C781" s="2" t="s">
        <v>181</v>
      </c>
      <c r="D781" s="2" t="s">
        <v>1298</v>
      </c>
      <c r="E781" s="2" t="s">
        <v>38</v>
      </c>
      <c r="F781" s="2" t="s">
        <v>182</v>
      </c>
      <c r="G781" s="2" t="s">
        <v>206</v>
      </c>
      <c r="H781" s="57" t="str">
        <f>Table1[[#This Row],[Tabela]]&amp;Table1[[#This Row],[Campo]]</f>
        <v>modesg_param_sfcs_taxon_europeianome_specific_eligible</v>
      </c>
      <c r="I781" s="2" t="s">
        <v>1931</v>
      </c>
      <c r="J781" s="55">
        <f>VLOOKUP(Table1[[#This Row],[Status]],Auxiliar!$B$16:$C$24,2,0)</f>
        <v>2</v>
      </c>
      <c r="K781" s="2" t="s">
        <v>1263</v>
      </c>
      <c r="L781" s="29" t="s">
        <v>1258</v>
      </c>
      <c r="M781" s="21" t="s">
        <v>1259</v>
      </c>
      <c r="N781" s="48">
        <v>45603</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0.25</v>
      </c>
      <c r="X781" s="2"/>
    </row>
    <row r="782" spans="2:24" ht="17.7" hidden="1" customHeight="1">
      <c r="B782" s="2" t="s">
        <v>26</v>
      </c>
      <c r="C782" s="2" t="s">
        <v>181</v>
      </c>
      <c r="D782" s="2" t="s">
        <v>1298</v>
      </c>
      <c r="E782" s="2" t="s">
        <v>38</v>
      </c>
      <c r="F782" s="2" t="s">
        <v>182</v>
      </c>
      <c r="G782" s="2" t="s">
        <v>206</v>
      </c>
      <c r="H782" s="57" t="str">
        <f>Table1[[#This Row],[Tabela]]&amp;Table1[[#This Row],[Campo]]</f>
        <v>modesg_param_sfcs_taxon_europeianome_specific_eligible</v>
      </c>
      <c r="I782" s="2" t="s">
        <v>1931</v>
      </c>
      <c r="J782" s="55">
        <f>VLOOKUP(Table1[[#This Row],[Status]],Auxiliar!$B$16:$C$24,2,0)</f>
        <v>2</v>
      </c>
      <c r="K782" s="2" t="s">
        <v>1255</v>
      </c>
      <c r="L782" s="29" t="s">
        <v>1258</v>
      </c>
      <c r="M782" s="21" t="s">
        <v>1259</v>
      </c>
      <c r="N782" s="48">
        <v>45603</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0.05</v>
      </c>
      <c r="X782" s="2"/>
    </row>
    <row r="783" spans="2:24" ht="17.7" hidden="1" customHeight="1">
      <c r="B783" s="2" t="s">
        <v>26</v>
      </c>
      <c r="C783" s="2" t="s">
        <v>181</v>
      </c>
      <c r="D783" s="2" t="s">
        <v>1298</v>
      </c>
      <c r="E783" s="2" t="s">
        <v>38</v>
      </c>
      <c r="F783" s="2" t="s">
        <v>182</v>
      </c>
      <c r="G783" s="2" t="s">
        <v>207</v>
      </c>
      <c r="H783" s="57" t="str">
        <f>Table1[[#This Row],[Tabela]]&amp;Table1[[#This Row],[Campo]]</f>
        <v>modesg_param_sfcs_taxon_europeianome_specific_sustainable</v>
      </c>
      <c r="I783" s="2" t="s">
        <v>1931</v>
      </c>
      <c r="J783" s="55">
        <f>VLOOKUP(Table1[[#This Row],[Status]],Auxiliar!$B$16:$C$24,2,0)</f>
        <v>2</v>
      </c>
      <c r="K783" s="2" t="s">
        <v>1263</v>
      </c>
      <c r="L783" s="29" t="s">
        <v>1258</v>
      </c>
      <c r="M783" s="21" t="s">
        <v>1259</v>
      </c>
      <c r="N783" s="48">
        <v>45603</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0.25</v>
      </c>
      <c r="X783" s="2"/>
    </row>
    <row r="784" spans="2:24" ht="17.7" hidden="1" customHeight="1">
      <c r="B784" s="2" t="s">
        <v>26</v>
      </c>
      <c r="C784" s="2" t="s">
        <v>181</v>
      </c>
      <c r="D784" s="2" t="s">
        <v>1298</v>
      </c>
      <c r="E784" s="2" t="s">
        <v>38</v>
      </c>
      <c r="F784" s="2" t="s">
        <v>182</v>
      </c>
      <c r="G784" s="2" t="s">
        <v>207</v>
      </c>
      <c r="H784" s="57" t="str">
        <f>Table1[[#This Row],[Tabela]]&amp;Table1[[#This Row],[Campo]]</f>
        <v>modesg_param_sfcs_taxon_europeianome_specific_sustainable</v>
      </c>
      <c r="I784" s="2" t="s">
        <v>1931</v>
      </c>
      <c r="J784" s="55">
        <f>VLOOKUP(Table1[[#This Row],[Status]],Auxiliar!$B$16:$C$24,2,0)</f>
        <v>2</v>
      </c>
      <c r="K784" s="2" t="s">
        <v>1255</v>
      </c>
      <c r="L784" s="29" t="s">
        <v>1258</v>
      </c>
      <c r="M784" s="21" t="s">
        <v>1259</v>
      </c>
      <c r="N784" s="48">
        <v>45603</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0.05</v>
      </c>
      <c r="X784" s="2"/>
    </row>
    <row r="785" spans="2:24" ht="17.7" hidden="1" customHeight="1">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1298</v>
      </c>
      <c r="E787" s="2" t="s">
        <v>38</v>
      </c>
      <c r="F787" s="2" t="s">
        <v>182</v>
      </c>
      <c r="G787" s="2" t="s">
        <v>209</v>
      </c>
      <c r="H787" s="57" t="str">
        <f>Table1[[#This Row],[Tabela]]&amp;Table1[[#This Row],[Campo]]</f>
        <v>modesg_param_sfcs_taxon_europeiazcliente</v>
      </c>
      <c r="I787" s="2" t="s">
        <v>1931</v>
      </c>
      <c r="J787" s="55">
        <f>VLOOKUP(Table1[[#This Row],[Status]],Auxiliar!$B$16:$C$24,2,0)</f>
        <v>2</v>
      </c>
      <c r="K787" s="2" t="s">
        <v>1263</v>
      </c>
      <c r="L787" s="2" t="s">
        <v>1258</v>
      </c>
      <c r="M787" s="21" t="s">
        <v>1259</v>
      </c>
      <c r="N787" s="48">
        <v>45603</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0.25</v>
      </c>
      <c r="X787" s="2"/>
    </row>
    <row r="788" spans="2:24" ht="17.7" hidden="1" customHeight="1">
      <c r="B788" s="2" t="s">
        <v>26</v>
      </c>
      <c r="C788" s="2" t="s">
        <v>181</v>
      </c>
      <c r="D788" s="2" t="s">
        <v>1298</v>
      </c>
      <c r="E788" s="2" t="s">
        <v>38</v>
      </c>
      <c r="F788" s="2" t="s">
        <v>182</v>
      </c>
      <c r="G788" s="2" t="s">
        <v>209</v>
      </c>
      <c r="H788" s="57" t="str">
        <f>Table1[[#This Row],[Tabela]]&amp;Table1[[#This Row],[Campo]]</f>
        <v>modesg_param_sfcs_taxon_europeiazcliente</v>
      </c>
      <c r="I788" s="2" t="s">
        <v>1931</v>
      </c>
      <c r="J788" s="55">
        <f>VLOOKUP(Table1[[#This Row],[Status]],Auxiliar!$B$16:$C$24,2,0)</f>
        <v>2</v>
      </c>
      <c r="K788" s="2" t="s">
        <v>1255</v>
      </c>
      <c r="L788" s="2" t="s">
        <v>1258</v>
      </c>
      <c r="M788" s="21" t="s">
        <v>1259</v>
      </c>
      <c r="N788" s="48">
        <v>45603</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0.05</v>
      </c>
      <c r="X788" s="2"/>
    </row>
    <row r="789" spans="2:24" ht="17.7" hidden="1" customHeight="1">
      <c r="B789" s="2" t="s">
        <v>26</v>
      </c>
      <c r="C789" s="2" t="s">
        <v>181</v>
      </c>
      <c r="D789" s="2" t="s">
        <v>1298</v>
      </c>
      <c r="E789" s="2" t="s">
        <v>38</v>
      </c>
      <c r="F789" s="2" t="s">
        <v>182</v>
      </c>
      <c r="G789" s="2" t="s">
        <v>210</v>
      </c>
      <c r="H789" s="57" t="str">
        <f>Table1[[#This Row],[Tabela]]&amp;Table1[[#This Row],[Campo]]</f>
        <v>modesg_param_sfcs_taxon_europeiazdeposit</v>
      </c>
      <c r="I789" s="2" t="s">
        <v>1931</v>
      </c>
      <c r="J789" s="55">
        <f>VLOOKUP(Table1[[#This Row],[Status]],Auxiliar!$B$16:$C$24,2,0)</f>
        <v>2</v>
      </c>
      <c r="K789" s="2" t="s">
        <v>1263</v>
      </c>
      <c r="L789" s="2" t="s">
        <v>1258</v>
      </c>
      <c r="M789" s="21" t="s">
        <v>1259</v>
      </c>
      <c r="N789" s="48">
        <v>45603</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0.25</v>
      </c>
      <c r="X789" s="2"/>
    </row>
    <row r="790" spans="2:24" ht="17.7" hidden="1" customHeight="1">
      <c r="B790" s="2" t="s">
        <v>26</v>
      </c>
      <c r="C790" s="2" t="s">
        <v>181</v>
      </c>
      <c r="D790" s="2" t="s">
        <v>1298</v>
      </c>
      <c r="E790" s="2" t="s">
        <v>38</v>
      </c>
      <c r="F790" s="2" t="s">
        <v>182</v>
      </c>
      <c r="G790" s="2" t="s">
        <v>210</v>
      </c>
      <c r="H790" s="57" t="str">
        <f>Table1[[#This Row],[Tabela]]&amp;Table1[[#This Row],[Campo]]</f>
        <v>modesg_param_sfcs_taxon_europeiazdeposit</v>
      </c>
      <c r="I790" s="2" t="s">
        <v>1931</v>
      </c>
      <c r="J790" s="55">
        <f>VLOOKUP(Table1[[#This Row],[Status]],Auxiliar!$B$16:$C$24,2,0)</f>
        <v>2</v>
      </c>
      <c r="K790" s="2" t="s">
        <v>1255</v>
      </c>
      <c r="L790" s="2" t="s">
        <v>1258</v>
      </c>
      <c r="M790" s="21" t="s">
        <v>1259</v>
      </c>
      <c r="N790" s="48">
        <v>45603</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0.05</v>
      </c>
      <c r="X790" s="2"/>
    </row>
    <row r="791" spans="2:24" ht="17.7" hidden="1" customHeight="1">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21"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21"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1358</v>
      </c>
      <c r="E1164" s="42" t="s">
        <v>1340</v>
      </c>
      <c r="F1164" s="40" t="s">
        <v>1965</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1358</v>
      </c>
      <c r="E1165" s="39" t="s">
        <v>1340</v>
      </c>
      <c r="F1165" s="40" t="s">
        <v>1965</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1358</v>
      </c>
      <c r="E1166" s="39" t="s">
        <v>1340</v>
      </c>
      <c r="F1166" s="40" t="s">
        <v>1965</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1358</v>
      </c>
      <c r="E1167" s="42" t="s">
        <v>1340</v>
      </c>
      <c r="F1167" s="40" t="s">
        <v>1965</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1358</v>
      </c>
      <c r="E1168" s="39" t="s">
        <v>1340</v>
      </c>
      <c r="F1168" s="40" t="s">
        <v>1965</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1358</v>
      </c>
      <c r="E1169" s="39" t="s">
        <v>1340</v>
      </c>
      <c r="F1169" s="40" t="s">
        <v>1965</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1966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c r="B1174" s="39" t="s">
        <v>26</v>
      </c>
      <c r="C1174" s="39" t="s">
        <v>26</v>
      </c>
      <c r="D1174" s="39" t="s">
        <v>1966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c r="B1175" s="39" t="s">
        <v>26</v>
      </c>
      <c r="C1175" s="39" t="s">
        <v>26</v>
      </c>
      <c r="D1175" s="39" t="s">
        <v>1966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c r="B1176" s="41" t="s">
        <v>26</v>
      </c>
      <c r="C1176" s="41" t="s">
        <v>26</v>
      </c>
      <c r="D1176" s="37" t="s">
        <v>1966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c r="B1177" s="39" t="s">
        <v>26</v>
      </c>
      <c r="C1177" s="39" t="s">
        <v>26</v>
      </c>
      <c r="D1177" s="39" t="s">
        <v>1966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c r="B1178" s="39" t="s">
        <v>26</v>
      </c>
      <c r="C1178" s="39" t="s">
        <v>26</v>
      </c>
      <c r="D1178" s="39" t="s">
        <v>1966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c r="B1179" s="39" t="s">
        <v>26</v>
      </c>
      <c r="C1179" s="39" t="s">
        <v>26</v>
      </c>
      <c r="D1179" s="37" t="s">
        <v>1966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c r="B1180" s="39" t="s">
        <v>26</v>
      </c>
      <c r="C1180" s="39" t="s">
        <v>26</v>
      </c>
      <c r="D1180" s="39" t="s">
        <v>1966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c r="B1181" s="39" t="s">
        <v>26</v>
      </c>
      <c r="C1181" s="39" t="s">
        <v>26</v>
      </c>
      <c r="D1181" s="39" t="s">
        <v>1966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1966</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1966</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1966</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1966</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1966</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1966</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1966</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1966</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1966</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1966</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1966</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1966</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1966</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1966</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1966</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1966</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1966</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1966</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1966</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1966</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1966</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1966</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1966</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1966</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1966</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1966</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1966</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1966</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c r="B1213" s="39" t="s">
        <v>26</v>
      </c>
      <c r="C1213" s="39" t="s">
        <v>26</v>
      </c>
      <c r="D1213" s="2" t="s">
        <v>38</v>
      </c>
      <c r="E1213" s="39" t="s">
        <v>38</v>
      </c>
      <c r="F1213" s="39" t="s">
        <v>1966</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c r="B1214" s="39" t="s">
        <v>26</v>
      </c>
      <c r="C1214" s="39" t="s">
        <v>26</v>
      </c>
      <c r="D1214" s="2" t="s">
        <v>38</v>
      </c>
      <c r="E1214" s="39" t="s">
        <v>38</v>
      </c>
      <c r="F1214" s="39" t="s">
        <v>1966</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c r="B1215" s="39" t="s">
        <v>26</v>
      </c>
      <c r="C1215" s="39" t="s">
        <v>26</v>
      </c>
      <c r="D1215" s="2" t="s">
        <v>38</v>
      </c>
      <c r="E1215" s="39" t="s">
        <v>38</v>
      </c>
      <c r="F1215" s="39" t="s">
        <v>1966</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c r="B1216" s="39" t="s">
        <v>26</v>
      </c>
      <c r="C1216" s="39" t="s">
        <v>26</v>
      </c>
      <c r="D1216" s="2" t="s">
        <v>38</v>
      </c>
      <c r="E1216" s="39" t="s">
        <v>38</v>
      </c>
      <c r="F1216" s="39" t="s">
        <v>1966</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c r="B1217" s="39" t="s">
        <v>26</v>
      </c>
      <c r="C1217" s="39" t="s">
        <v>26</v>
      </c>
      <c r="D1217" s="2" t="s">
        <v>38</v>
      </c>
      <c r="E1217" s="39" t="s">
        <v>38</v>
      </c>
      <c r="F1217" s="39" t="s">
        <v>1966</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c r="B1218" s="39" t="s">
        <v>26</v>
      </c>
      <c r="C1218" s="39" t="s">
        <v>26</v>
      </c>
      <c r="D1218" s="2" t="s">
        <v>38</v>
      </c>
      <c r="E1218" s="39" t="s">
        <v>38</v>
      </c>
      <c r="F1218" s="39" t="s">
        <v>1966</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c r="B1219" s="39" t="s">
        <v>26</v>
      </c>
      <c r="C1219" s="39" t="s">
        <v>26</v>
      </c>
      <c r="D1219" s="2" t="s">
        <v>38</v>
      </c>
      <c r="E1219" s="39" t="s">
        <v>38</v>
      </c>
      <c r="F1219" s="39" t="s">
        <v>1966</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c r="B1220" s="39" t="s">
        <v>26</v>
      </c>
      <c r="C1220" s="39" t="s">
        <v>26</v>
      </c>
      <c r="D1220" s="2" t="s">
        <v>38</v>
      </c>
      <c r="E1220" s="39" t="s">
        <v>38</v>
      </c>
      <c r="F1220" s="39" t="s">
        <v>1966</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c r="B1221" s="39" t="s">
        <v>26</v>
      </c>
      <c r="C1221" s="39" t="s">
        <v>26</v>
      </c>
      <c r="D1221" s="2" t="s">
        <v>38</v>
      </c>
      <c r="E1221" s="39" t="s">
        <v>38</v>
      </c>
      <c r="F1221" s="39" t="s">
        <v>1966</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c r="B1222" s="39" t="s">
        <v>26</v>
      </c>
      <c r="C1222" s="39" t="s">
        <v>26</v>
      </c>
      <c r="D1222" s="2" t="s">
        <v>38</v>
      </c>
      <c r="E1222" s="39" t="s">
        <v>38</v>
      </c>
      <c r="F1222" s="39" t="s">
        <v>1966</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c r="B1223" s="39" t="s">
        <v>26</v>
      </c>
      <c r="C1223" s="39" t="s">
        <v>26</v>
      </c>
      <c r="D1223" s="2" t="s">
        <v>38</v>
      </c>
      <c r="E1223" s="39" t="s">
        <v>38</v>
      </c>
      <c r="F1223" s="39" t="s">
        <v>1966</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c r="B1224" s="39" t="s">
        <v>26</v>
      </c>
      <c r="C1224" s="39" t="s">
        <v>26</v>
      </c>
      <c r="D1224" s="2" t="s">
        <v>38</v>
      </c>
      <c r="E1224" s="39" t="s">
        <v>38</v>
      </c>
      <c r="F1224" s="39" t="s">
        <v>1966</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c r="B1225" s="39" t="s">
        <v>26</v>
      </c>
      <c r="C1225" s="39" t="s">
        <v>26</v>
      </c>
      <c r="D1225" s="2" t="s">
        <v>38</v>
      </c>
      <c r="E1225" s="39" t="s">
        <v>38</v>
      </c>
      <c r="F1225" s="39" t="s">
        <v>1966</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c r="B1226" s="39" t="s">
        <v>26</v>
      </c>
      <c r="C1226" s="39" t="s">
        <v>26</v>
      </c>
      <c r="D1226" s="2" t="s">
        <v>38</v>
      </c>
      <c r="E1226" s="39" t="s">
        <v>38</v>
      </c>
      <c r="F1226" s="39" t="s">
        <v>1966</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c r="B1227" s="39" t="s">
        <v>26</v>
      </c>
      <c r="C1227" s="39" t="s">
        <v>26</v>
      </c>
      <c r="D1227" s="2" t="s">
        <v>38</v>
      </c>
      <c r="E1227" s="39" t="s">
        <v>38</v>
      </c>
      <c r="F1227" s="39" t="s">
        <v>1966</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c r="B1228" s="39" t="s">
        <v>26</v>
      </c>
      <c r="C1228" s="39" t="s">
        <v>26</v>
      </c>
      <c r="D1228" s="2" t="s">
        <v>38</v>
      </c>
      <c r="E1228" s="39" t="s">
        <v>38</v>
      </c>
      <c r="F1228" s="39" t="s">
        <v>1966</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c r="B1229" s="39" t="s">
        <v>26</v>
      </c>
      <c r="C1229" s="39" t="s">
        <v>26</v>
      </c>
      <c r="D1229" s="2" t="s">
        <v>38</v>
      </c>
      <c r="E1229" s="39" t="s">
        <v>38</v>
      </c>
      <c r="F1229" s="39" t="s">
        <v>1966</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1965</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1965</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 operator="containsText" id="{F0FC3167-D078-4732-B252-F6CF35A33118}">
            <xm:f>NOT(ISERROR(SEARCH(Auxiliar!$B$21,I127)))</xm:f>
            <xm:f>Auxiliar!$B$21</xm:f>
            <x14:dxf>
              <font>
                <b/>
                <i val="0"/>
                <color rgb="FFFFC000"/>
              </font>
              <fill>
                <patternFill>
                  <bgColor theme="9" tint="0.59996337778862885"/>
                </patternFill>
              </fill>
            </x14:dxf>
          </x14:cfRule>
          <x14:cfRule type="cellIs" priority="14" operator="equal" id="{0DF84132-7044-4342-A136-5BB25A806900}">
            <xm:f>Auxiliar!$B$24</xm:f>
            <x14:dxf>
              <font>
                <b/>
                <i val="0"/>
                <color theme="1"/>
              </font>
              <fill>
                <patternFill patternType="darkUp">
                  <bgColor theme="0"/>
                </patternFill>
              </fill>
            </x14:dxf>
          </x14:cfRule>
          <x14:cfRule type="cellIs" priority="15" operator="equal" id="{0AA668F3-08F2-48AD-824F-FDAAFE4C3390}">
            <xm:f>Auxiliar!$B$18</xm:f>
            <x14:dxf>
              <font>
                <b/>
                <i val="0"/>
                <color theme="0" tint="-0.499984740745262"/>
              </font>
              <fill>
                <patternFill>
                  <bgColor theme="0" tint="-4.9989318521683403E-2"/>
                </patternFill>
              </fill>
            </x14:dxf>
          </x14:cfRule>
          <x14:cfRule type="containsText" priority="1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 operator="containsText" id="{78425F7A-5AA3-4C2F-BAD5-C0F4938EE630}">
            <xm:f>NOT(ISERROR(SEARCH(Auxiliar!$B$21,I326)))</xm:f>
            <xm:f>Auxiliar!$B$21</xm:f>
            <x14:dxf>
              <font>
                <b/>
                <i val="0"/>
                <color rgb="FFFFC000"/>
              </font>
              <fill>
                <patternFill>
                  <bgColor theme="9" tint="0.59996337778862885"/>
                </patternFill>
              </fill>
            </x14:dxf>
          </x14:cfRule>
          <x14:cfRule type="cellIs" priority="2" operator="equal" id="{07546F8A-23C7-47A5-BF29-28CEDC1744EA}">
            <xm:f>Auxiliar!$B$24</xm:f>
            <x14:dxf>
              <font>
                <b/>
                <i val="0"/>
                <color theme="1"/>
              </font>
              <fill>
                <patternFill patternType="darkUp">
                  <bgColor theme="0"/>
                </patternFill>
              </fill>
            </x14:dxf>
          </x14:cfRule>
          <x14:cfRule type="cellIs" priority="3" operator="equal" id="{662A78C6-04BA-445C-914E-3C6C072F89AF}">
            <xm:f>Auxiliar!$B$18</xm:f>
            <x14:dxf>
              <font>
                <b/>
                <i val="0"/>
                <color theme="0" tint="-0.499984740745262"/>
              </font>
              <fill>
                <patternFill>
                  <bgColor theme="0" tint="-4.9989318521683403E-2"/>
                </patternFill>
              </fill>
            </x14:dxf>
          </x14:cfRule>
          <x14:cfRule type="containsText" priority="4" operator="containsText" id="{635B979F-10A5-4C22-8013-F685280EB3F8}">
            <xm:f>NOT(ISERROR(SEARCH(Auxiliar!$B$22,I326)))</xm:f>
            <xm:f>Auxiliar!$B$22</xm:f>
            <x14:dxf>
              <font>
                <b/>
                <i val="0"/>
                <color rgb="FFC00000"/>
              </font>
              <fill>
                <patternFill>
                  <bgColor theme="4" tint="0.79998168889431442"/>
                </patternFill>
              </fill>
            </x14:dxf>
          </x14:cfRule>
          <x14:cfRule type="containsText" priority="5" operator="containsText" id="{E81CA5A7-7414-4530-AF83-7D2DD95B3C68}">
            <xm:f>NOT(ISERROR(SEARCH(Auxiliar!$B$19,I326)))</xm:f>
            <xm:f>Auxiliar!$B$19</xm:f>
            <x14:dxf>
              <font>
                <b/>
                <i val="0"/>
                <color theme="9" tint="-0.499984740745262"/>
              </font>
              <fill>
                <patternFill>
                  <bgColor theme="9" tint="0.79998168889431442"/>
                </patternFill>
              </fill>
            </x14:dxf>
          </x14:cfRule>
          <x14:cfRule type="containsText" priority="6" operator="containsText" id="{29547984-E7B9-499A-95B9-5C8C7422C413}">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31" operator="containsText" id="{20A563A9-45C9-4AC0-A9D0-E0525C5783FD}">
            <xm:f>NOT(ISERROR(SEARCH(Auxiliar!$B$21,I1014)))</xm:f>
            <xm:f>Auxiliar!$B$21</xm:f>
            <x14:dxf>
              <font>
                <b/>
                <i val="0"/>
                <color rgb="FFFFC000"/>
              </font>
              <fill>
                <patternFill>
                  <bgColor theme="9" tint="0.59996337778862885"/>
                </patternFill>
              </fill>
            </x14:dxf>
          </x14:cfRule>
          <x14:cfRule type="cellIs" priority="32" operator="equal" id="{BD43A748-F00C-4772-938B-9714A9B76740}">
            <xm:f>Auxiliar!$B$24</xm:f>
            <x14:dxf>
              <font>
                <b/>
                <i val="0"/>
                <color theme="1"/>
              </font>
              <fill>
                <patternFill patternType="darkUp">
                  <bgColor theme="0"/>
                </patternFill>
              </fill>
            </x14:dxf>
          </x14:cfRule>
          <x14:cfRule type="cellIs" priority="33" operator="equal" id="{E6B33A13-E435-4B24-A09D-50CAD4AA2060}">
            <xm:f>Auxiliar!$B$18</xm:f>
            <x14:dxf>
              <font>
                <b/>
                <i val="0"/>
                <color theme="0" tint="-0.499984740745262"/>
              </font>
              <fill>
                <patternFill>
                  <bgColor theme="0" tint="-4.9989318521683403E-2"/>
                </patternFill>
              </fill>
            </x14:dxf>
          </x14:cfRule>
          <x14:cfRule type="containsText" priority="34"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35"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36"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09" operator="containsText" id="{EA2DBC0A-63DC-4CE0-8083-3A02BA7405B2}">
            <xm:f>NOT(ISERROR(SEARCH(Auxiliar!$B$21,I1216)))</xm:f>
            <xm:f>Auxiliar!$B$21</xm:f>
            <x14:dxf>
              <font>
                <b/>
                <i val="0"/>
                <color rgb="FFFFC000"/>
              </font>
              <fill>
                <patternFill>
                  <bgColor theme="9" tint="0.59996337778862885"/>
                </patternFill>
              </fill>
            </x14:dxf>
          </x14:cfRule>
          <x14:cfRule type="cellIs" priority="410" operator="equal" id="{23653787-2AE0-4EC1-9A30-571B656263BC}">
            <xm:f>Auxiliar!$B$24</xm:f>
            <x14:dxf>
              <font>
                <b/>
                <i val="0"/>
                <color theme="1"/>
              </font>
              <fill>
                <patternFill patternType="darkUp">
                  <bgColor theme="0"/>
                </patternFill>
              </fill>
            </x14:dxf>
          </x14:cfRule>
          <x14:cfRule type="cellIs" priority="411" operator="equal" id="{E978F7FE-9F98-4BCC-9C14-E320674D0714}">
            <xm:f>Auxiliar!$B$18</xm:f>
            <x14:dxf>
              <font>
                <b/>
                <i val="0"/>
                <color theme="0" tint="-0.499984740745262"/>
              </font>
              <fill>
                <patternFill>
                  <bgColor theme="0" tint="-4.9989318521683403E-2"/>
                </patternFill>
              </fill>
            </x14:dxf>
          </x14:cfRule>
          <x14:cfRule type="containsText" priority="412"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3"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14"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27" operator="containsText" id="{75C985F8-1201-4734-A7FA-FB95C89BB4F7}">
            <xm:f>NOT(ISERROR(SEARCH(Auxiliar!$B$21,I1219)))</xm:f>
            <xm:f>Auxiliar!$B$21</xm:f>
            <x14:dxf>
              <font>
                <b/>
                <i val="0"/>
                <color rgb="FFFFC000"/>
              </font>
              <fill>
                <patternFill>
                  <bgColor theme="9" tint="0.59996337778862885"/>
                </patternFill>
              </fill>
            </x14:dxf>
          </x14:cfRule>
          <x14:cfRule type="cellIs" priority="428" operator="equal" id="{E95A66DB-73E6-49B2-92BD-E316C6A6F069}">
            <xm:f>Auxiliar!$B$24</xm:f>
            <x14:dxf>
              <font>
                <b/>
                <i val="0"/>
                <color theme="1"/>
              </font>
              <fill>
                <patternFill patternType="darkUp">
                  <bgColor theme="0"/>
                </patternFill>
              </fill>
            </x14:dxf>
          </x14:cfRule>
          <x14:cfRule type="cellIs" priority="429" operator="equal" id="{830BF99E-52B8-46DD-AB05-444E3E489AA6}">
            <xm:f>Auxiliar!$B$18</xm:f>
            <x14:dxf>
              <font>
                <b/>
                <i val="0"/>
                <color theme="0" tint="-0.499984740745262"/>
              </font>
              <fill>
                <patternFill>
                  <bgColor theme="0" tint="-4.9989318521683403E-2"/>
                </patternFill>
              </fill>
            </x14:dxf>
          </x14:cfRule>
          <x14:cfRule type="containsText" priority="430"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1"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2"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39" operator="containsText" id="{10BBDEAB-9A17-4ECE-A36D-A1F49F283670}">
            <xm:f>NOT(ISERROR(SEARCH(Auxiliar!$B$21,I1222)))</xm:f>
            <xm:f>Auxiliar!$B$21</xm:f>
            <x14:dxf>
              <font>
                <b/>
                <i val="0"/>
                <color rgb="FFFFC000"/>
              </font>
              <fill>
                <patternFill>
                  <bgColor theme="9" tint="0.59996337778862885"/>
                </patternFill>
              </fill>
            </x14:dxf>
          </x14:cfRule>
          <x14:cfRule type="cellIs" priority="440" operator="equal" id="{DBF1EFFE-CFFC-4F04-AD4B-B9BCA7488094}">
            <xm:f>Auxiliar!$B$24</xm:f>
            <x14:dxf>
              <font>
                <b/>
                <i val="0"/>
                <color theme="1"/>
              </font>
              <fill>
                <patternFill patternType="darkUp">
                  <bgColor theme="0"/>
                </patternFill>
              </fill>
            </x14:dxf>
          </x14:cfRule>
          <x14:cfRule type="cellIs" priority="441" operator="equal" id="{6B07FA4C-D314-48DA-AE2B-7C2D4C78E359}">
            <xm:f>Auxiliar!$B$18</xm:f>
            <x14:dxf>
              <font>
                <b/>
                <i val="0"/>
                <color theme="0" tint="-0.499984740745262"/>
              </font>
              <fill>
                <patternFill>
                  <bgColor theme="0" tint="-4.9989318521683403E-2"/>
                </patternFill>
              </fill>
            </x14:dxf>
          </x14:cfRule>
          <x14:cfRule type="containsText" priority="442"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3"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44"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1" operator="containsText" id="{10E15432-E180-42B0-8B88-FBFB1DC6AEF1}">
            <xm:f>NOT(ISERROR(SEARCH(Auxiliar!$B$21,I1225)))</xm:f>
            <xm:f>Auxiliar!$B$21</xm:f>
            <x14:dxf>
              <font>
                <b/>
                <i val="0"/>
                <color rgb="FFFFC000"/>
              </font>
              <fill>
                <patternFill>
                  <bgColor theme="9" tint="0.59996337778862885"/>
                </patternFill>
              </fill>
            </x14:dxf>
          </x14:cfRule>
          <x14:cfRule type="cellIs" priority="452" operator="equal" id="{EC8D58FC-149E-4526-8A66-55F7696A5CF4}">
            <xm:f>Auxiliar!$B$24</xm:f>
            <x14:dxf>
              <font>
                <b/>
                <i val="0"/>
                <color theme="1"/>
              </font>
              <fill>
                <patternFill patternType="darkUp">
                  <bgColor theme="0"/>
                </patternFill>
              </fill>
            </x14:dxf>
          </x14:cfRule>
          <x14:cfRule type="cellIs" priority="453" operator="equal" id="{00CD7E63-054D-4B18-8BE0-8A45325AAD57}">
            <xm:f>Auxiliar!$B$18</xm:f>
            <x14:dxf>
              <font>
                <b/>
                <i val="0"/>
                <color theme="0" tint="-0.499984740745262"/>
              </font>
              <fill>
                <patternFill>
                  <bgColor theme="0" tint="-4.9989318521683403E-2"/>
                </patternFill>
              </fill>
            </x14:dxf>
          </x14:cfRule>
          <x14:cfRule type="containsText" priority="454"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55"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56"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3" operator="containsText" id="{6D31A4AC-B122-497F-9FC6-CE817FED866F}">
            <xm:f>NOT(ISERROR(SEARCH(Auxiliar!$B$21,I1228)))</xm:f>
            <xm:f>Auxiliar!$B$21</xm:f>
            <x14:dxf>
              <font>
                <b/>
                <i val="0"/>
                <color rgb="FFFFC000"/>
              </font>
              <fill>
                <patternFill>
                  <bgColor theme="9" tint="0.59996337778862885"/>
                </patternFill>
              </fill>
            </x14:dxf>
          </x14:cfRule>
          <x14:cfRule type="cellIs" priority="464" operator="equal" id="{BC24EA63-FCB7-41C8-8459-50E6363DD3DC}">
            <xm:f>Auxiliar!$B$24</xm:f>
            <x14:dxf>
              <font>
                <b/>
                <i val="0"/>
                <color theme="1"/>
              </font>
              <fill>
                <patternFill patternType="darkUp">
                  <bgColor theme="0"/>
                </patternFill>
              </fill>
            </x14:dxf>
          </x14:cfRule>
          <x14:cfRule type="cellIs" priority="465" operator="equal" id="{EF3405F2-F06B-40CA-90B2-7832EB88D81D}">
            <xm:f>Auxiliar!$B$18</xm:f>
            <x14:dxf>
              <font>
                <b/>
                <i val="0"/>
                <color theme="0" tint="-0.499984740745262"/>
              </font>
              <fill>
                <patternFill>
                  <bgColor theme="0" tint="-4.9989318521683403E-2"/>
                </patternFill>
              </fill>
            </x14:dxf>
          </x14:cfRule>
          <x14:cfRule type="containsText" priority="466"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67"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68"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3" operator="containsText" id="{EA64DC1C-861B-48F8-9621-E598024B99B0}">
            <xm:f>NOT(ISERROR(SEARCH(Auxiliar!$B$21,I1294)))</xm:f>
            <xm:f>Auxiliar!$B$21</xm:f>
            <x14:dxf>
              <font>
                <b/>
                <i val="0"/>
                <color rgb="FFFFC000"/>
              </font>
              <fill>
                <patternFill>
                  <bgColor theme="9" tint="0.59996337778862885"/>
                </patternFill>
              </fill>
            </x14:dxf>
          </x14:cfRule>
          <x14:cfRule type="cellIs" priority="404" operator="equal" id="{839A85C4-8947-4392-8D52-FE7821AB5714}">
            <xm:f>Auxiliar!$B$24</xm:f>
            <x14:dxf>
              <font>
                <b/>
                <i val="0"/>
                <color theme="1"/>
              </font>
              <fill>
                <patternFill patternType="darkUp">
                  <bgColor theme="0"/>
                </patternFill>
              </fill>
            </x14:dxf>
          </x14:cfRule>
          <x14:cfRule type="cellIs" priority="405" operator="equal" id="{AFCEA854-203F-4E0E-9E0B-A825AA0A5D6E}">
            <xm:f>Auxiliar!$B$18</xm:f>
            <x14:dxf>
              <font>
                <b/>
                <i val="0"/>
                <color theme="0" tint="-0.499984740745262"/>
              </font>
              <fill>
                <patternFill>
                  <bgColor theme="0" tint="-4.9989318521683403E-2"/>
                </patternFill>
              </fill>
            </x14:dxf>
          </x14:cfRule>
          <x14:cfRule type="containsText" priority="40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0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0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397" operator="containsText" id="{22EE3303-E871-4FDC-B876-3AC40B4BB29E}">
            <xm:f>NOT(ISERROR(SEARCH(Auxiliar!$B$21,I9)))</xm:f>
            <xm:f>Auxiliar!$B$21</xm:f>
            <x14:dxf>
              <font>
                <b/>
                <i val="0"/>
                <color rgb="FFFFC000"/>
              </font>
              <fill>
                <patternFill>
                  <bgColor theme="9" tint="0.59996337778862885"/>
                </patternFill>
              </fill>
            </x14:dxf>
          </x14:cfRule>
          <x14:cfRule type="cellIs" priority="398" operator="equal" id="{A75C795E-F66D-4DC2-A9AF-15BDCED7DA25}">
            <xm:f>Auxiliar!$B$24</xm:f>
            <x14:dxf>
              <font>
                <b/>
                <i val="0"/>
                <color theme="1"/>
              </font>
              <fill>
                <patternFill patternType="darkUp">
                  <bgColor theme="0"/>
                </patternFill>
              </fill>
            </x14:dxf>
          </x14:cfRule>
          <x14:cfRule type="cellIs" priority="399" operator="equal" id="{68C7A1CE-73C7-4D91-A2AC-1493C4E277DD}">
            <xm:f>Auxiliar!$B$18</xm:f>
            <x14:dxf>
              <font>
                <b/>
                <i val="0"/>
                <color theme="0" tint="-0.499984740745262"/>
              </font>
              <fill>
                <patternFill>
                  <bgColor theme="0" tint="-4.9989318521683403E-2"/>
                </patternFill>
              </fill>
            </x14:dxf>
          </x14:cfRule>
          <x14:cfRule type="containsText" priority="40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1" operator="containsText" id="{6928D489-0130-4A60-BE2B-1D9108B02454}">
            <xm:f>NOT(ISERROR(SEARCH(Auxiliar!$B$21,I130)))</xm:f>
            <xm:f>Auxiliar!$B$21</xm:f>
            <x14:dxf>
              <font>
                <b/>
                <i val="0"/>
                <color rgb="FFFFC000"/>
              </font>
              <fill>
                <patternFill>
                  <bgColor theme="9" tint="0.59996337778862885"/>
                </patternFill>
              </fill>
            </x14:dxf>
          </x14:cfRule>
          <x14:cfRule type="cellIs" priority="482" operator="equal" id="{E2F14AF0-878C-4184-86EE-1EC72D11FF82}">
            <xm:f>Auxiliar!$B$24</xm:f>
            <x14:dxf>
              <font>
                <b/>
                <i val="0"/>
                <color theme="1"/>
              </font>
              <fill>
                <patternFill patternType="darkUp">
                  <bgColor theme="0"/>
                </patternFill>
              </fill>
            </x14:dxf>
          </x14:cfRule>
          <x14:cfRule type="cellIs" priority="483" operator="equal" id="{662C2D77-73A6-422E-B043-D39190EAAFD3}">
            <xm:f>Auxiliar!$B$18</xm:f>
            <x14:dxf>
              <font>
                <b/>
                <i val="0"/>
                <color theme="0" tint="-0.499984740745262"/>
              </font>
              <fill>
                <patternFill>
                  <bgColor theme="0" tint="-4.9989318521683403E-2"/>
                </patternFill>
              </fill>
            </x14:dxf>
          </x14:cfRule>
          <x14:cfRule type="containsText" priority="48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8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86" operator="containsText" id="{E1F4ABAD-4246-42AD-B2CD-8E341D15C381}">
            <xm:f>NOT(ISERROR(SEARCH(Auxiliar!$B$16,I130)))</xm:f>
            <xm:f>Auxiliar!$B$16</xm:f>
            <x14:dxf>
              <font>
                <b/>
                <i val="0"/>
                <color theme="7"/>
              </font>
              <fill>
                <patternFill>
                  <bgColor theme="7" tint="0.79998168889431442"/>
                </patternFill>
              </fill>
            </x14:dxf>
          </x14:cfRule>
          <xm:sqref>I130:J325 I1170:I1172 I1080:I1145</xm:sqref>
        </x14:conditionalFormatting>
        <x14:conditionalFormatting xmlns:xm="http://schemas.microsoft.com/office/excel/2006/main">
          <x14:cfRule type="containsText" priority="547" operator="containsText" id="{A0E353A4-BC40-460B-BB47-B57EC0BDDA87}">
            <xm:f>NOT(ISERROR(SEARCH(Auxiliar!$B$21,I347)))</xm:f>
            <xm:f>Auxiliar!$B$21</xm:f>
            <x14:dxf>
              <font>
                <b/>
                <i val="0"/>
                <color rgb="FFFFC000"/>
              </font>
              <fill>
                <patternFill>
                  <bgColor theme="9" tint="0.59996337778862885"/>
                </patternFill>
              </fill>
            </x14:dxf>
          </x14:cfRule>
          <x14:cfRule type="cellIs" priority="548" operator="equal" id="{461BEC2A-3AB6-4974-9160-0CC657CD83C0}">
            <xm:f>Auxiliar!$B$24</xm:f>
            <x14:dxf>
              <font>
                <b/>
                <i val="0"/>
                <color theme="1"/>
              </font>
              <fill>
                <patternFill patternType="darkUp">
                  <bgColor theme="0"/>
                </patternFill>
              </fill>
            </x14:dxf>
          </x14:cfRule>
          <x14:cfRule type="cellIs" priority="1015" operator="equal" id="{5CC18A3F-CC0C-4983-A19C-E91C49A3DB8A}">
            <xm:f>Auxiliar!$B$18</xm:f>
            <x14:dxf>
              <font>
                <b/>
                <i val="0"/>
                <color theme="0" tint="-0.499984740745262"/>
              </font>
              <fill>
                <patternFill>
                  <bgColor theme="0" tint="-4.9989318521683403E-2"/>
                </patternFill>
              </fill>
            </x14:dxf>
          </x14:cfRule>
          <x14:cfRule type="containsText" priority="101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1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18"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I1146:J1169 J1170:J1172 I1173:J1215 J1216:J1217 I1218:J1218 J1219:J1220 I1221:J1221 J1222:J1223 I1224:J1224 J1225:J1226 I1227:J1227 J1228:J1256 I1257:J1293 J1294:J1300 I1301:J1320 I347:J1013</xm:sqref>
        </x14:conditionalFormatting>
        <x14:conditionalFormatting xmlns:xm="http://schemas.microsoft.com/office/excel/2006/main">
          <x14:cfRule type="containsText" priority="373" operator="containsText" id="{B9BA2292-98F1-4845-8262-A781D9352444}">
            <xm:f>NOT(ISERROR(SEARCH(Auxiliar!$B$21,J127)))</xm:f>
            <xm:f>Auxiliar!$B$21</xm:f>
            <x14:dxf>
              <font>
                <b/>
                <i val="0"/>
                <color rgb="FFFFC000"/>
              </font>
              <fill>
                <patternFill>
                  <bgColor theme="9" tint="0.59996337778862885"/>
                </patternFill>
              </fill>
            </x14:dxf>
          </x14:cfRule>
          <x14:cfRule type="cellIs" priority="374" operator="equal" id="{D32B9961-C82B-426A-A975-2475FFC80C76}">
            <xm:f>Auxiliar!$B$24</xm:f>
            <x14:dxf>
              <font>
                <b/>
                <i val="0"/>
                <color theme="1"/>
              </font>
              <fill>
                <patternFill patternType="darkUp">
                  <bgColor theme="0"/>
                </patternFill>
              </fill>
            </x14:dxf>
          </x14:cfRule>
          <x14:cfRule type="cellIs" priority="375" operator="equal" id="{EE9F5D7D-A515-4B4F-859E-E804329C9CE0}">
            <xm:f>Auxiliar!$B$18</xm:f>
            <x14:dxf>
              <font>
                <b/>
                <i val="0"/>
                <color theme="0" tint="-0.499984740745262"/>
              </font>
              <fill>
                <patternFill>
                  <bgColor theme="0" tint="-4.9989318521683403E-2"/>
                </patternFill>
              </fill>
            </x14:dxf>
          </x14:cfRule>
          <x14:cfRule type="containsText" priority="37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7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7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499" operator="containsText" id="{576165AC-18FE-49D8-90D0-249BF5B7AAD2}">
            <xm:f>NOT(ISERROR(SEARCH(Auxiliar!$B$21,J326)))</xm:f>
            <xm:f>Auxiliar!$B$21</xm:f>
            <x14:dxf>
              <font>
                <b/>
                <i val="0"/>
                <color rgb="FFFFC000"/>
              </font>
              <fill>
                <patternFill>
                  <bgColor theme="9" tint="0.59996337778862885"/>
                </patternFill>
              </fill>
            </x14:dxf>
          </x14:cfRule>
          <x14:cfRule type="cellIs" priority="500" operator="equal" id="{2BEF1854-999B-428C-B198-117A6D75B6CF}">
            <xm:f>Auxiliar!$B$24</xm:f>
            <x14:dxf>
              <font>
                <b/>
                <i val="0"/>
                <color theme="1"/>
              </font>
              <fill>
                <patternFill patternType="darkUp">
                  <bgColor theme="0"/>
                </patternFill>
              </fill>
            </x14:dxf>
          </x14:cfRule>
          <x14:cfRule type="cellIs" priority="501" operator="equal" id="{82150E9C-7DB3-4C92-B25A-09099C09088C}">
            <xm:f>Auxiliar!$B$18</xm:f>
            <x14:dxf>
              <font>
                <b/>
                <i val="0"/>
                <color theme="0" tint="-0.499984740745262"/>
              </font>
              <fill>
                <patternFill>
                  <bgColor theme="0" tint="-4.9989318521683403E-2"/>
                </patternFill>
              </fill>
            </x14:dxf>
          </x14:cfRule>
          <x14:cfRule type="containsText" priority="50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0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1370</v>
      </c>
      <c r="B1" s="14" t="s">
        <v>1371</v>
      </c>
      <c r="C1" s="14" t="s">
        <v>1372</v>
      </c>
      <c r="D1" s="14" t="s">
        <v>1373</v>
      </c>
      <c r="E1" s="14" t="s">
        <v>1374</v>
      </c>
      <c r="F1" s="14" t="s">
        <v>1375</v>
      </c>
      <c r="G1" s="14" t="s">
        <v>1376</v>
      </c>
      <c r="H1" s="14" t="s">
        <v>1377</v>
      </c>
      <c r="I1" s="14" t="s">
        <v>1378</v>
      </c>
      <c r="J1" s="14" t="s">
        <v>1379</v>
      </c>
      <c r="K1" s="14" t="s">
        <v>1380</v>
      </c>
    </row>
    <row r="2" spans="1:11">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c r="A19" s="16" t="s">
        <v>1435</v>
      </c>
      <c r="B19" s="14" t="s">
        <v>1436</v>
      </c>
      <c r="C19" s="14" t="s">
        <v>1437</v>
      </c>
      <c r="D19" s="14" t="s">
        <v>1406</v>
      </c>
      <c r="E19" s="14" t="s">
        <v>1438</v>
      </c>
      <c r="F19" s="14" t="s">
        <v>1419</v>
      </c>
      <c r="G19" s="14" t="s">
        <v>1401</v>
      </c>
      <c r="H19" s="14" t="s">
        <v>1409</v>
      </c>
      <c r="I19" s="14">
        <v>2002411</v>
      </c>
      <c r="J19" s="14">
        <v>2002411</v>
      </c>
      <c r="K19" s="14">
        <v>100</v>
      </c>
    </row>
    <row r="20" spans="1:11">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c r="A55" s="16" t="s">
        <v>1530</v>
      </c>
      <c r="B55" s="14" t="s">
        <v>1531</v>
      </c>
      <c r="C55" s="14" t="s">
        <v>1532</v>
      </c>
      <c r="D55" s="14" t="s">
        <v>1406</v>
      </c>
      <c r="E55" s="14" t="s">
        <v>1533</v>
      </c>
      <c r="F55" s="14" t="s">
        <v>1494</v>
      </c>
      <c r="G55" s="14" t="s">
        <v>1475</v>
      </c>
      <c r="H55" s="14" t="s">
        <v>624</v>
      </c>
      <c r="I55" s="14">
        <v>2003033</v>
      </c>
      <c r="J55" s="14">
        <v>0</v>
      </c>
      <c r="K55" s="14">
        <v>0</v>
      </c>
    </row>
    <row r="56" spans="1:11">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c r="A60" s="16" t="s">
        <v>1545</v>
      </c>
      <c r="B60" s="14" t="s">
        <v>1546</v>
      </c>
      <c r="C60" s="14" t="s">
        <v>1547</v>
      </c>
      <c r="D60" s="14" t="s">
        <v>1406</v>
      </c>
      <c r="E60" s="14" t="s">
        <v>1548</v>
      </c>
      <c r="F60" s="14" t="s">
        <v>1494</v>
      </c>
      <c r="G60" s="14" t="s">
        <v>1475</v>
      </c>
      <c r="H60" s="14" t="s">
        <v>624</v>
      </c>
      <c r="I60" s="14">
        <v>2003033</v>
      </c>
      <c r="J60" s="14">
        <v>0</v>
      </c>
      <c r="K60" s="14">
        <v>0</v>
      </c>
    </row>
    <row r="61" spans="1:11">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c r="A68" s="16" t="s">
        <v>1569</v>
      </c>
      <c r="B68" s="14" t="s">
        <v>1570</v>
      </c>
      <c r="C68" s="14" t="s">
        <v>1571</v>
      </c>
      <c r="D68" s="14" t="s">
        <v>1406</v>
      </c>
      <c r="E68" s="14" t="s">
        <v>1572</v>
      </c>
      <c r="F68" s="14" t="s">
        <v>1494</v>
      </c>
      <c r="G68" s="14" t="s">
        <v>1475</v>
      </c>
      <c r="H68" s="14" t="s">
        <v>624</v>
      </c>
      <c r="I68" s="14">
        <v>2003033</v>
      </c>
      <c r="J68" s="14">
        <v>0</v>
      </c>
      <c r="K68" s="14">
        <v>0</v>
      </c>
    </row>
    <row r="69" spans="1:11">
      <c r="A69" s="16" t="s">
        <v>1573</v>
      </c>
      <c r="B69" s="14" t="s">
        <v>1574</v>
      </c>
      <c r="C69" s="14" t="s">
        <v>1575</v>
      </c>
      <c r="D69" s="14" t="s">
        <v>1406</v>
      </c>
      <c r="E69" s="14" t="s">
        <v>1576</v>
      </c>
      <c r="F69" s="14" t="s">
        <v>1494</v>
      </c>
      <c r="G69" s="14" t="s">
        <v>1475</v>
      </c>
      <c r="H69" s="14" t="s">
        <v>624</v>
      </c>
      <c r="I69" s="14">
        <v>2003033</v>
      </c>
      <c r="J69" s="14">
        <v>0</v>
      </c>
      <c r="K69" s="14">
        <v>0</v>
      </c>
    </row>
    <row r="70" spans="1:11">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c r="A75" s="16" t="s">
        <v>1592</v>
      </c>
      <c r="B75" s="14" t="s">
        <v>1593</v>
      </c>
      <c r="C75" s="14" t="s">
        <v>1594</v>
      </c>
      <c r="D75" s="14" t="s">
        <v>1406</v>
      </c>
      <c r="E75" s="14" t="s">
        <v>1595</v>
      </c>
      <c r="F75" s="14" t="s">
        <v>1494</v>
      </c>
      <c r="G75" s="14" t="s">
        <v>1475</v>
      </c>
      <c r="H75" s="14" t="s">
        <v>624</v>
      </c>
      <c r="I75" s="14">
        <v>2003033</v>
      </c>
      <c r="J75" s="14">
        <v>0</v>
      </c>
      <c r="K75" s="14">
        <v>0</v>
      </c>
    </row>
    <row r="76" spans="1:11">
      <c r="A76" s="16" t="s">
        <v>1596</v>
      </c>
      <c r="B76" s="14" t="s">
        <v>1597</v>
      </c>
      <c r="C76" s="14" t="s">
        <v>1598</v>
      </c>
      <c r="D76" s="14" t="s">
        <v>1406</v>
      </c>
      <c r="E76" s="14" t="s">
        <v>1599</v>
      </c>
      <c r="F76" s="14" t="s">
        <v>1494</v>
      </c>
      <c r="G76" s="14" t="s">
        <v>1475</v>
      </c>
      <c r="H76" s="14" t="s">
        <v>624</v>
      </c>
      <c r="I76" s="14">
        <v>2003033</v>
      </c>
      <c r="J76" s="14">
        <v>0</v>
      </c>
      <c r="K76" s="14">
        <v>0</v>
      </c>
    </row>
    <row r="77" spans="1:11">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c r="A79" s="16" t="s">
        <v>1605</v>
      </c>
      <c r="B79" s="14" t="s">
        <v>1606</v>
      </c>
      <c r="C79" s="14" t="s">
        <v>1607</v>
      </c>
      <c r="D79" s="14" t="s">
        <v>1406</v>
      </c>
      <c r="E79" s="14" t="s">
        <v>1608</v>
      </c>
      <c r="F79" s="14" t="s">
        <v>1494</v>
      </c>
      <c r="G79" s="14" t="s">
        <v>1475</v>
      </c>
      <c r="H79" s="14" t="s">
        <v>624</v>
      </c>
      <c r="I79" s="14">
        <v>2003033</v>
      </c>
      <c r="J79" s="14">
        <v>0</v>
      </c>
      <c r="K79" s="14">
        <v>0</v>
      </c>
    </row>
    <row r="80" spans="1:11">
      <c r="A80" s="16" t="s">
        <v>1609</v>
      </c>
      <c r="B80" s="14" t="s">
        <v>1610</v>
      </c>
      <c r="C80" s="14" t="s">
        <v>1611</v>
      </c>
      <c r="D80" s="14" t="s">
        <v>1406</v>
      </c>
      <c r="E80" s="14" t="s">
        <v>1612</v>
      </c>
      <c r="F80" s="14" t="s">
        <v>1494</v>
      </c>
      <c r="G80" s="14" t="s">
        <v>1475</v>
      </c>
      <c r="H80" s="14" t="s">
        <v>624</v>
      </c>
      <c r="I80" s="14">
        <v>2003033</v>
      </c>
      <c r="J80" s="14">
        <v>0</v>
      </c>
      <c r="K80" s="14">
        <v>0</v>
      </c>
    </row>
    <row r="81" spans="1:11">
      <c r="A81" s="16" t="s">
        <v>1435</v>
      </c>
      <c r="B81" s="14" t="s">
        <v>1613</v>
      </c>
      <c r="C81" s="14" t="s">
        <v>1614</v>
      </c>
      <c r="D81" s="14" t="s">
        <v>1406</v>
      </c>
      <c r="E81" s="14" t="s">
        <v>1438</v>
      </c>
      <c r="F81" s="14" t="s">
        <v>1461</v>
      </c>
      <c r="G81" s="14" t="s">
        <v>1475</v>
      </c>
      <c r="H81" s="14" t="s">
        <v>1409</v>
      </c>
      <c r="I81" s="14">
        <v>2003033</v>
      </c>
      <c r="J81" s="14">
        <v>2003033</v>
      </c>
      <c r="K81" s="14">
        <v>100</v>
      </c>
    </row>
    <row r="82" spans="1:11">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c r="A109" s="16" t="s">
        <v>1530</v>
      </c>
      <c r="B109" s="14" t="s">
        <v>1674</v>
      </c>
      <c r="C109" s="14" t="s">
        <v>1675</v>
      </c>
      <c r="D109" s="14" t="s">
        <v>1406</v>
      </c>
      <c r="E109" s="14" t="s">
        <v>1533</v>
      </c>
      <c r="F109" s="14" t="s">
        <v>1659</v>
      </c>
      <c r="G109" s="14" t="s">
        <v>1656</v>
      </c>
      <c r="H109" s="14" t="s">
        <v>624</v>
      </c>
      <c r="I109" s="14">
        <v>2002411</v>
      </c>
      <c r="J109" s="14">
        <v>0</v>
      </c>
      <c r="K109" s="14">
        <v>0</v>
      </c>
    </row>
    <row r="110" spans="1:11">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c r="A112" s="16" t="s">
        <v>1545</v>
      </c>
      <c r="B112" s="14" t="s">
        <v>1680</v>
      </c>
      <c r="C112" s="14" t="s">
        <v>1681</v>
      </c>
      <c r="D112" s="14" t="s">
        <v>1406</v>
      </c>
      <c r="E112" s="14" t="s">
        <v>1548</v>
      </c>
      <c r="F112" s="14" t="s">
        <v>1659</v>
      </c>
      <c r="G112" s="14" t="s">
        <v>1656</v>
      </c>
      <c r="H112" s="14" t="s">
        <v>624</v>
      </c>
      <c r="I112" s="14">
        <v>2002411</v>
      </c>
      <c r="J112" s="14">
        <v>0</v>
      </c>
      <c r="K112" s="14">
        <v>0</v>
      </c>
    </row>
    <row r="113" spans="1:11">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c r="A116" s="16" t="s">
        <v>1569</v>
      </c>
      <c r="B116" s="14" t="s">
        <v>1688</v>
      </c>
      <c r="C116" s="14" t="s">
        <v>1689</v>
      </c>
      <c r="D116" s="14" t="s">
        <v>1406</v>
      </c>
      <c r="E116" s="14" t="s">
        <v>1572</v>
      </c>
      <c r="F116" s="14" t="s">
        <v>1659</v>
      </c>
      <c r="G116" s="14" t="s">
        <v>1656</v>
      </c>
      <c r="H116" s="14" t="s">
        <v>624</v>
      </c>
      <c r="I116" s="14">
        <v>2002411</v>
      </c>
      <c r="J116" s="14">
        <v>0</v>
      </c>
      <c r="K116" s="14">
        <v>0</v>
      </c>
    </row>
    <row r="117" spans="1:11">
      <c r="A117" s="16" t="s">
        <v>1573</v>
      </c>
      <c r="B117" s="14" t="s">
        <v>1690</v>
      </c>
      <c r="C117" s="14" t="s">
        <v>1691</v>
      </c>
      <c r="D117" s="14" t="s">
        <v>1406</v>
      </c>
      <c r="E117" s="14" t="s">
        <v>1576</v>
      </c>
      <c r="F117" s="14" t="s">
        <v>1659</v>
      </c>
      <c r="G117" s="14" t="s">
        <v>1656</v>
      </c>
      <c r="H117" s="14" t="s">
        <v>624</v>
      </c>
      <c r="I117" s="14">
        <v>2002411</v>
      </c>
      <c r="J117" s="14">
        <v>0</v>
      </c>
      <c r="K117" s="14">
        <v>0</v>
      </c>
    </row>
    <row r="118" spans="1:11">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c r="A121" s="16" t="s">
        <v>1592</v>
      </c>
      <c r="B121" s="14" t="s">
        <v>1698</v>
      </c>
      <c r="C121" s="14" t="s">
        <v>1699</v>
      </c>
      <c r="D121" s="14" t="s">
        <v>1406</v>
      </c>
      <c r="E121" s="14" t="s">
        <v>1595</v>
      </c>
      <c r="F121" s="14" t="s">
        <v>1659</v>
      </c>
      <c r="G121" s="14" t="s">
        <v>1656</v>
      </c>
      <c r="H121" s="14" t="s">
        <v>624</v>
      </c>
      <c r="I121" s="14">
        <v>2002411</v>
      </c>
      <c r="J121" s="14">
        <v>0</v>
      </c>
      <c r="K121" s="14">
        <v>0</v>
      </c>
    </row>
    <row r="122" spans="1:11">
      <c r="A122" s="16" t="s">
        <v>1596</v>
      </c>
      <c r="B122" s="14" t="s">
        <v>1700</v>
      </c>
      <c r="C122" s="14" t="s">
        <v>1701</v>
      </c>
      <c r="D122" s="14" t="s">
        <v>1406</v>
      </c>
      <c r="E122" s="14" t="s">
        <v>1599</v>
      </c>
      <c r="F122" s="14" t="s">
        <v>1659</v>
      </c>
      <c r="G122" s="14" t="s">
        <v>1656</v>
      </c>
      <c r="H122" s="14" t="s">
        <v>624</v>
      </c>
      <c r="I122" s="14">
        <v>2002411</v>
      </c>
      <c r="J122" s="14">
        <v>0</v>
      </c>
      <c r="K122" s="14">
        <v>0</v>
      </c>
    </row>
    <row r="123" spans="1:11">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c r="A124" s="16" t="s">
        <v>1605</v>
      </c>
      <c r="B124" s="14" t="s">
        <v>1704</v>
      </c>
      <c r="C124" s="14" t="s">
        <v>1705</v>
      </c>
      <c r="D124" s="14" t="s">
        <v>1406</v>
      </c>
      <c r="E124" s="14" t="s">
        <v>1608</v>
      </c>
      <c r="F124" s="14" t="s">
        <v>1659</v>
      </c>
      <c r="G124" s="14" t="s">
        <v>1656</v>
      </c>
      <c r="H124" s="14" t="s">
        <v>624</v>
      </c>
      <c r="I124" s="14">
        <v>2002411</v>
      </c>
      <c r="J124" s="14">
        <v>0</v>
      </c>
      <c r="K124" s="14">
        <v>0</v>
      </c>
    </row>
    <row r="125" spans="1:11">
      <c r="A125" s="16" t="s">
        <v>1609</v>
      </c>
      <c r="B125" s="14" t="s">
        <v>1706</v>
      </c>
      <c r="C125" s="14" t="s">
        <v>1707</v>
      </c>
      <c r="D125" s="14" t="s">
        <v>1406</v>
      </c>
      <c r="E125" s="14" t="s">
        <v>1612</v>
      </c>
      <c r="F125" s="14" t="s">
        <v>1659</v>
      </c>
      <c r="G125" s="14" t="s">
        <v>1656</v>
      </c>
      <c r="H125" s="14" t="s">
        <v>624</v>
      </c>
      <c r="I125" s="14">
        <v>2002411</v>
      </c>
      <c r="J125" s="14">
        <v>0</v>
      </c>
      <c r="K125" s="14">
        <v>0</v>
      </c>
    </row>
    <row r="126" spans="1:11">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c r="A186" s="16" t="s">
        <v>1530</v>
      </c>
      <c r="B186" s="14" t="s">
        <v>1834</v>
      </c>
      <c r="C186" s="14" t="s">
        <v>1835</v>
      </c>
      <c r="D186" s="14" t="s">
        <v>1714</v>
      </c>
      <c r="E186" s="14" t="s">
        <v>1533</v>
      </c>
      <c r="F186" s="14" t="s">
        <v>1715</v>
      </c>
      <c r="G186" s="14" t="s">
        <v>1716</v>
      </c>
      <c r="H186" s="14" t="s">
        <v>624</v>
      </c>
      <c r="I186" s="14">
        <v>0</v>
      </c>
      <c r="J186" s="14">
        <v>0</v>
      </c>
      <c r="K186" s="14">
        <v>0</v>
      </c>
    </row>
    <row r="187" spans="1:11">
      <c r="A187" s="16" t="s">
        <v>1530</v>
      </c>
      <c r="B187" s="14" t="s">
        <v>1836</v>
      </c>
      <c r="C187" s="14" t="s">
        <v>1837</v>
      </c>
      <c r="D187" s="14" t="s">
        <v>1714</v>
      </c>
      <c r="E187" s="14" t="s">
        <v>1533</v>
      </c>
      <c r="F187" s="14" t="s">
        <v>1715</v>
      </c>
      <c r="G187" s="14" t="s">
        <v>1716</v>
      </c>
      <c r="H187" s="14" t="s">
        <v>624</v>
      </c>
      <c r="I187" s="14">
        <v>0</v>
      </c>
      <c r="J187" s="14">
        <v>0</v>
      </c>
      <c r="K187" s="14">
        <v>0</v>
      </c>
    </row>
    <row r="188" spans="1:11">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c r="A191" s="16" t="s">
        <v>1545</v>
      </c>
      <c r="B191" s="14" t="s">
        <v>1844</v>
      </c>
      <c r="C191" s="14" t="s">
        <v>1845</v>
      </c>
      <c r="D191" s="14" t="s">
        <v>1714</v>
      </c>
      <c r="E191" s="14" t="s">
        <v>1548</v>
      </c>
      <c r="F191" s="14" t="s">
        <v>1715</v>
      </c>
      <c r="G191" s="14" t="s">
        <v>1716</v>
      </c>
      <c r="H191" s="14" t="s">
        <v>624</v>
      </c>
      <c r="I191" s="14">
        <v>0</v>
      </c>
      <c r="J191" s="14">
        <v>0</v>
      </c>
      <c r="K191" s="14">
        <v>0</v>
      </c>
    </row>
    <row r="192" spans="1:11">
      <c r="A192" s="16" t="s">
        <v>1545</v>
      </c>
      <c r="B192" s="14" t="s">
        <v>1846</v>
      </c>
      <c r="C192" s="14" t="s">
        <v>1847</v>
      </c>
      <c r="D192" s="14" t="s">
        <v>1714</v>
      </c>
      <c r="E192" s="14" t="s">
        <v>1548</v>
      </c>
      <c r="F192" s="14" t="s">
        <v>1715</v>
      </c>
      <c r="G192" s="14" t="s">
        <v>1716</v>
      </c>
      <c r="H192" s="14" t="s">
        <v>624</v>
      </c>
      <c r="I192" s="14">
        <v>0</v>
      </c>
      <c r="J192" s="14">
        <v>0</v>
      </c>
      <c r="K192" s="14">
        <v>0</v>
      </c>
    </row>
    <row r="193" spans="1:11">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c r="A204" s="16" t="s">
        <v>1569</v>
      </c>
      <c r="B204" s="14" t="s">
        <v>1870</v>
      </c>
      <c r="C204" s="14" t="s">
        <v>1871</v>
      </c>
      <c r="D204" s="14" t="s">
        <v>1714</v>
      </c>
      <c r="E204" s="14" t="s">
        <v>1572</v>
      </c>
      <c r="F204" s="14" t="s">
        <v>1715</v>
      </c>
      <c r="G204" s="14" t="s">
        <v>1716</v>
      </c>
      <c r="H204" s="14" t="s">
        <v>624</v>
      </c>
      <c r="I204" s="14">
        <v>0</v>
      </c>
      <c r="J204" s="14">
        <v>0</v>
      </c>
      <c r="K204" s="14">
        <v>0</v>
      </c>
    </row>
    <row r="205" spans="1:11">
      <c r="A205" s="16" t="s">
        <v>1569</v>
      </c>
      <c r="B205" s="14" t="s">
        <v>1872</v>
      </c>
      <c r="C205" s="14" t="s">
        <v>1873</v>
      </c>
      <c r="D205" s="14" t="s">
        <v>1714</v>
      </c>
      <c r="E205" s="14" t="s">
        <v>1572</v>
      </c>
      <c r="F205" s="14" t="s">
        <v>1715</v>
      </c>
      <c r="G205" s="14" t="s">
        <v>1716</v>
      </c>
      <c r="H205" s="14" t="s">
        <v>624</v>
      </c>
      <c r="I205" s="14">
        <v>0</v>
      </c>
      <c r="J205" s="14">
        <v>0</v>
      </c>
      <c r="K205" s="14">
        <v>0</v>
      </c>
    </row>
    <row r="206" spans="1:11">
      <c r="A206" s="16" t="s">
        <v>1569</v>
      </c>
      <c r="B206" s="14" t="s">
        <v>1874</v>
      </c>
      <c r="C206" s="14" t="s">
        <v>1875</v>
      </c>
      <c r="D206" s="14" t="s">
        <v>1714</v>
      </c>
      <c r="E206" s="14" t="s">
        <v>1572</v>
      </c>
      <c r="F206" s="14" t="s">
        <v>1715</v>
      </c>
      <c r="G206" s="14" t="s">
        <v>1716</v>
      </c>
      <c r="H206" s="14" t="s">
        <v>624</v>
      </c>
      <c r="I206" s="14">
        <v>0</v>
      </c>
      <c r="J206" s="14">
        <v>0</v>
      </c>
      <c r="K206" s="14">
        <v>0</v>
      </c>
    </row>
    <row r="207" spans="1:11">
      <c r="A207" s="16" t="s">
        <v>1573</v>
      </c>
      <c r="B207" s="14" t="s">
        <v>1876</v>
      </c>
      <c r="C207" s="14" t="s">
        <v>1877</v>
      </c>
      <c r="D207" s="14" t="s">
        <v>1714</v>
      </c>
      <c r="E207" s="14" t="s">
        <v>1576</v>
      </c>
      <c r="F207" s="14" t="s">
        <v>1715</v>
      </c>
      <c r="G207" s="14" t="s">
        <v>1716</v>
      </c>
      <c r="H207" s="14" t="s">
        <v>624</v>
      </c>
      <c r="I207" s="14">
        <v>0</v>
      </c>
      <c r="J207" s="14">
        <v>0</v>
      </c>
      <c r="K207" s="14">
        <v>0</v>
      </c>
    </row>
    <row r="208" spans="1:11">
      <c r="A208" s="16" t="s">
        <v>1573</v>
      </c>
      <c r="B208" s="14" t="s">
        <v>1878</v>
      </c>
      <c r="C208" s="14" t="s">
        <v>1879</v>
      </c>
      <c r="D208" s="14" t="s">
        <v>1714</v>
      </c>
      <c r="E208" s="14" t="s">
        <v>1576</v>
      </c>
      <c r="F208" s="14" t="s">
        <v>1715</v>
      </c>
      <c r="G208" s="14" t="s">
        <v>1716</v>
      </c>
      <c r="H208" s="14" t="s">
        <v>624</v>
      </c>
      <c r="I208" s="14">
        <v>0</v>
      </c>
      <c r="J208" s="14">
        <v>0</v>
      </c>
      <c r="K208" s="14">
        <v>0</v>
      </c>
    </row>
    <row r="209" spans="1:11">
      <c r="A209" s="16" t="s">
        <v>1573</v>
      </c>
      <c r="B209" s="14" t="s">
        <v>1880</v>
      </c>
      <c r="C209" s="14" t="s">
        <v>1881</v>
      </c>
      <c r="D209" s="14" t="s">
        <v>1714</v>
      </c>
      <c r="E209" s="14" t="s">
        <v>1576</v>
      </c>
      <c r="F209" s="14" t="s">
        <v>1715</v>
      </c>
      <c r="G209" s="14" t="s">
        <v>1716</v>
      </c>
      <c r="H209" s="14" t="s">
        <v>624</v>
      </c>
      <c r="I209" s="14">
        <v>0</v>
      </c>
      <c r="J209" s="14">
        <v>0</v>
      </c>
      <c r="K209" s="14">
        <v>0</v>
      </c>
    </row>
    <row r="210" spans="1:11">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1914</v>
      </c>
    </row>
    <row r="3" spans="2:10" ht="17.399999999999999">
      <c r="B3" s="17" t="s">
        <v>1915</v>
      </c>
      <c r="D3" t="s">
        <v>1238</v>
      </c>
    </row>
    <row r="4" spans="2:10" ht="17.399999999999999">
      <c r="B4" s="53" t="s">
        <v>1916</v>
      </c>
      <c r="C4" s="53" t="s">
        <v>1917</v>
      </c>
      <c r="D4" s="52" t="s">
        <v>1259</v>
      </c>
      <c r="E4" s="52" t="s">
        <v>1260</v>
      </c>
      <c r="F4" s="52" t="s">
        <v>1251</v>
      </c>
      <c r="H4" s="31" t="s">
        <v>1259</v>
      </c>
      <c r="I4" s="31" t="s">
        <v>1260</v>
      </c>
      <c r="J4" s="31" t="s">
        <v>1251</v>
      </c>
    </row>
    <row r="5" spans="2:10" ht="34.799999999999997">
      <c r="B5" s="2" t="s">
        <v>1249</v>
      </c>
      <c r="C5" s="4" t="s">
        <v>1918</v>
      </c>
      <c r="D5">
        <v>8</v>
      </c>
      <c r="E5">
        <v>8</v>
      </c>
      <c r="F5">
        <v>8</v>
      </c>
      <c r="H5" s="31">
        <v>1</v>
      </c>
      <c r="I5" s="31">
        <v>3</v>
      </c>
      <c r="J5" s="31">
        <v>8</v>
      </c>
    </row>
    <row r="6" spans="2:10" ht="34.799999999999997">
      <c r="B6" s="2" t="s">
        <v>1252</v>
      </c>
      <c r="C6" s="4" t="s">
        <v>1919</v>
      </c>
      <c r="D6">
        <v>2</v>
      </c>
      <c r="E6">
        <v>4</v>
      </c>
      <c r="F6">
        <v>8</v>
      </c>
      <c r="H6" s="31">
        <v>1</v>
      </c>
      <c r="I6" s="31">
        <v>3</v>
      </c>
      <c r="J6" s="31">
        <v>4</v>
      </c>
    </row>
    <row r="7" spans="2:10" ht="17.399999999999999">
      <c r="B7" s="2" t="s">
        <v>1253</v>
      </c>
      <c r="C7" s="4" t="s">
        <v>1920</v>
      </c>
      <c r="D7">
        <v>2</v>
      </c>
      <c r="E7">
        <v>4</v>
      </c>
      <c r="F7">
        <v>8</v>
      </c>
      <c r="H7" s="31">
        <v>1</v>
      </c>
      <c r="I7" s="31">
        <v>1</v>
      </c>
      <c r="J7" s="31">
        <v>2</v>
      </c>
    </row>
    <row r="8" spans="2:10" ht="17.399999999999999">
      <c r="B8" s="28" t="s">
        <v>1254</v>
      </c>
      <c r="C8" s="4" t="s">
        <v>1921</v>
      </c>
      <c r="D8">
        <v>2</v>
      </c>
      <c r="E8">
        <v>4</v>
      </c>
      <c r="F8">
        <v>8</v>
      </c>
      <c r="H8" s="31">
        <v>2</v>
      </c>
      <c r="I8" s="31">
        <v>4</v>
      </c>
      <c r="J8" s="31">
        <v>4</v>
      </c>
    </row>
    <row r="9" spans="2:10" ht="17.399999999999999">
      <c r="B9" s="29" t="s">
        <v>1257</v>
      </c>
      <c r="C9" s="4" t="s">
        <v>1922</v>
      </c>
      <c r="D9">
        <v>1</v>
      </c>
      <c r="E9">
        <v>1</v>
      </c>
      <c r="F9">
        <v>1</v>
      </c>
      <c r="H9" s="31"/>
      <c r="I9" s="31"/>
      <c r="J9" s="31"/>
    </row>
    <row r="10" spans="2:10" ht="52.2">
      <c r="B10" s="2" t="s">
        <v>1255</v>
      </c>
      <c r="C10" s="4" t="s">
        <v>1923</v>
      </c>
      <c r="D10">
        <v>0.1</v>
      </c>
      <c r="E10">
        <v>0.1</v>
      </c>
      <c r="F10">
        <v>0.1</v>
      </c>
      <c r="H10" s="31">
        <v>0.1</v>
      </c>
      <c r="I10" s="31">
        <v>0.5</v>
      </c>
      <c r="J10" s="31">
        <v>0.5</v>
      </c>
    </row>
    <row r="11" spans="2:10" ht="17.399999999999999">
      <c r="B11" s="29" t="s">
        <v>1256</v>
      </c>
      <c r="C11" s="4" t="s">
        <v>1924</v>
      </c>
      <c r="D11">
        <v>1</v>
      </c>
      <c r="E11">
        <v>2</v>
      </c>
      <c r="F11">
        <v>2</v>
      </c>
      <c r="H11" s="31"/>
      <c r="I11" s="31"/>
      <c r="J11" s="31"/>
    </row>
    <row r="12" spans="2:10" ht="17.399999999999999">
      <c r="B12" s="29" t="s">
        <v>1299</v>
      </c>
      <c r="C12" s="4" t="s">
        <v>1925</v>
      </c>
      <c r="D12">
        <v>0.5</v>
      </c>
      <c r="E12">
        <v>0.5</v>
      </c>
      <c r="F12">
        <v>0.5</v>
      </c>
      <c r="H12" s="31">
        <v>0.5</v>
      </c>
      <c r="I12" s="31">
        <v>0.5</v>
      </c>
      <c r="J12" s="31">
        <v>0.5</v>
      </c>
    </row>
    <row r="13" spans="2:10" ht="34.799999999999997">
      <c r="B13" s="34" t="s">
        <v>1263</v>
      </c>
      <c r="C13" s="4" t="s">
        <v>1926</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1927</v>
      </c>
      <c r="B17" s="18" t="s">
        <v>615</v>
      </c>
      <c r="C17">
        <v>4</v>
      </c>
      <c r="D17" s="96">
        <v>0.25</v>
      </c>
      <c r="E17" s="96">
        <v>0</v>
      </c>
    </row>
    <row r="18" spans="1:5" ht="17.399999999999999">
      <c r="B18" s="24" t="s">
        <v>28</v>
      </c>
      <c r="C18">
        <v>8</v>
      </c>
      <c r="D18" s="96">
        <v>0</v>
      </c>
      <c r="E18" s="96">
        <v>0</v>
      </c>
    </row>
    <row r="19" spans="1:5" ht="17.399999999999999">
      <c r="B19" s="1" t="s">
        <v>1931</v>
      </c>
      <c r="C19">
        <f t="shared" ref="C19:C24" si="0">_xlfn.NUMBERVALUE(LEFT(B19,1))</f>
        <v>2</v>
      </c>
      <c r="D19" s="96">
        <v>0.5</v>
      </c>
      <c r="E19" s="96">
        <v>0.25</v>
      </c>
    </row>
    <row r="20" spans="1:5" ht="17.399999999999999">
      <c r="B20" s="1" t="s">
        <v>1932</v>
      </c>
      <c r="C20">
        <v>3</v>
      </c>
      <c r="D20" s="96">
        <v>0.5</v>
      </c>
      <c r="E20" s="96">
        <v>0</v>
      </c>
    </row>
    <row r="21" spans="1:5" ht="17.399999999999999">
      <c r="A21" t="s">
        <v>1928</v>
      </c>
      <c r="B21" s="25" t="s">
        <v>616</v>
      </c>
      <c r="C21">
        <v>5</v>
      </c>
      <c r="D21" s="96">
        <v>0.25</v>
      </c>
      <c r="E21" s="96">
        <v>0.25</v>
      </c>
    </row>
    <row r="22" spans="1:5" ht="17.399999999999999">
      <c r="A22" t="s">
        <v>1929</v>
      </c>
      <c r="B22" s="19" t="s">
        <v>617</v>
      </c>
      <c r="C22">
        <v>6</v>
      </c>
      <c r="D22" s="96">
        <v>0.25</v>
      </c>
      <c r="E22" s="96">
        <v>0</v>
      </c>
    </row>
    <row r="23" spans="1:5" ht="17.399999999999999">
      <c r="A23" t="s">
        <v>1929</v>
      </c>
      <c r="B23" s="19" t="s">
        <v>619</v>
      </c>
      <c r="C23">
        <v>7</v>
      </c>
      <c r="D23" s="96">
        <v>0.25</v>
      </c>
      <c r="E23" s="96">
        <v>0</v>
      </c>
    </row>
    <row r="24" spans="1:5" ht="17.399999999999999">
      <c r="A24" t="s">
        <v>1930</v>
      </c>
      <c r="B24" s="1" t="s">
        <v>613</v>
      </c>
      <c r="C24">
        <f t="shared" si="0"/>
        <v>0</v>
      </c>
      <c r="D24" s="96">
        <v>0</v>
      </c>
      <c r="E24" s="96">
        <v>0</v>
      </c>
    </row>
  </sheetData>
  <conditionalFormatting sqref="B16:B24">
    <cfRule type="cellIs" dxfId="1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5"/>
      <c r="C8" t="s">
        <v>1970</v>
      </c>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row>
    <row r="9" spans="1:55" ht="17.399999999999999">
      <c r="B9" s="242"/>
      <c r="C9" t="s">
        <v>1971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3" t="s">
        <v>8</v>
      </c>
      <c r="C11" s="244" t="s">
        <v>11</v>
      </c>
      <c r="D11" s="244" t="s">
        <v>1972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1973</v>
      </c>
      <c r="C12" s="135" t="s">
        <v>37</v>
      </c>
      <c r="D12" s="245">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1"/>
      <c r="AF12" s="79"/>
      <c r="AG12" s="79"/>
      <c r="AH12" s="79"/>
      <c r="AI12" s="79"/>
      <c r="AJ12" s="79"/>
      <c r="AK12" s="246"/>
      <c r="AL12" s="79"/>
      <c r="AM12" s="79"/>
      <c r="AN12" s="79"/>
      <c r="AO12" s="79"/>
      <c r="AP12" s="79"/>
      <c r="AQ12" s="79"/>
      <c r="AR12" s="79"/>
      <c r="AS12" s="79"/>
      <c r="AT12" s="79"/>
      <c r="AU12" s="79"/>
      <c r="AV12" s="79"/>
      <c r="AW12" s="92"/>
      <c r="AX12" s="92"/>
      <c r="AY12" s="92"/>
      <c r="AZ12" s="92"/>
      <c r="BA12" s="92"/>
      <c r="BB12" s="92"/>
    </row>
    <row r="13" spans="1:55" ht="16.2">
      <c r="A13" s="30"/>
      <c r="B13" s="138" t="s">
        <v>1974</v>
      </c>
      <c r="C13" s="135" t="s">
        <v>123</v>
      </c>
      <c r="D13" s="245">
        <v>22</v>
      </c>
      <c r="E13" s="79"/>
      <c r="F13" s="79"/>
      <c r="G13" s="79"/>
      <c r="H13" s="231"/>
      <c r="I13" s="79"/>
      <c r="J13" s="79"/>
      <c r="K13" s="79"/>
      <c r="L13" s="92"/>
      <c r="M13" s="79"/>
      <c r="N13" s="79"/>
      <c r="O13" s="79"/>
      <c r="P13" s="79"/>
      <c r="Q13" s="79"/>
      <c r="R13" s="79"/>
      <c r="S13" s="79"/>
      <c r="T13" s="79"/>
      <c r="U13" s="79"/>
      <c r="V13" s="246"/>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1975</v>
      </c>
      <c r="C14" s="135" t="s">
        <v>182</v>
      </c>
      <c r="D14" s="245">
        <v>16</v>
      </c>
      <c r="E14" s="79"/>
      <c r="F14" s="79"/>
      <c r="G14" s="79"/>
      <c r="H14" s="79"/>
      <c r="I14" s="79"/>
      <c r="J14" s="79"/>
      <c r="K14" s="79"/>
      <c r="L14" s="92"/>
      <c r="M14" s="79"/>
      <c r="N14" s="79"/>
      <c r="O14" s="79"/>
      <c r="P14" s="231"/>
      <c r="Q14" s="79"/>
      <c r="R14" s="79"/>
      <c r="S14" s="79"/>
      <c r="T14" s="79"/>
      <c r="U14" s="79"/>
      <c r="V14" s="246"/>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7" t="s">
        <v>311</v>
      </c>
      <c r="C15" s="135" t="s">
        <v>312</v>
      </c>
      <c r="D15" s="245">
        <v>12</v>
      </c>
      <c r="E15" s="79"/>
      <c r="F15" s="79"/>
      <c r="G15" s="79"/>
      <c r="H15" s="79"/>
      <c r="I15" s="79"/>
      <c r="J15" s="79"/>
      <c r="K15" s="79"/>
      <c r="L15" s="92"/>
      <c r="M15" s="231"/>
      <c r="N15" s="79"/>
      <c r="O15" s="79"/>
      <c r="P15" s="79"/>
      <c r="Q15" s="79"/>
      <c r="R15" s="79"/>
      <c r="S15" s="79"/>
      <c r="T15" s="79"/>
      <c r="U15" s="79"/>
      <c r="V15" s="246"/>
      <c r="W15" s="79"/>
      <c r="X15" s="79"/>
      <c r="Y15" s="79"/>
      <c r="Z15" s="79"/>
      <c r="AA15" s="79"/>
      <c r="AB15" s="231"/>
      <c r="AC15" s="79"/>
      <c r="AD15" s="79"/>
      <c r="AE15" s="79"/>
      <c r="AF15" s="79"/>
      <c r="AG15" s="79"/>
      <c r="AH15" s="79"/>
      <c r="AI15" s="79"/>
      <c r="AJ15" s="79"/>
      <c r="AK15" s="246"/>
      <c r="AL15" s="79"/>
      <c r="AM15" s="79"/>
      <c r="AN15" s="79"/>
      <c r="AO15" s="79"/>
      <c r="AP15" s="79"/>
      <c r="AQ15" s="79"/>
      <c r="AR15" s="79"/>
      <c r="AS15" s="79"/>
      <c r="AT15" s="79"/>
      <c r="AU15" s="79"/>
      <c r="AV15" s="79"/>
      <c r="AW15" s="92"/>
      <c r="AX15" s="92"/>
      <c r="AY15" s="92"/>
      <c r="AZ15" s="92"/>
      <c r="BA15" s="92"/>
      <c r="BB15" s="92"/>
    </row>
    <row r="16" spans="1:55" ht="16.2" outlineLevel="1">
      <c r="A16" s="30"/>
      <c r="B16" s="248" t="s">
        <v>311</v>
      </c>
      <c r="C16" s="249" t="s">
        <v>1976</v>
      </c>
      <c r="D16" s="245">
        <v>8</v>
      </c>
      <c r="E16" s="79"/>
      <c r="F16" s="79"/>
      <c r="G16" s="79"/>
      <c r="H16" s="79"/>
      <c r="I16" s="79"/>
      <c r="J16" s="79"/>
      <c r="K16" s="79"/>
      <c r="L16" s="92"/>
      <c r="M16" s="231"/>
      <c r="N16" s="79"/>
      <c r="O16" s="79"/>
      <c r="P16" s="79"/>
      <c r="Q16" s="79"/>
      <c r="R16" s="79"/>
      <c r="S16" s="79"/>
      <c r="T16" s="79"/>
      <c r="U16" s="79"/>
      <c r="V16" s="246"/>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8" t="s">
        <v>311</v>
      </c>
      <c r="C17" s="249" t="s">
        <v>1977</v>
      </c>
      <c r="D17" s="245">
        <v>4</v>
      </c>
      <c r="E17" s="79"/>
      <c r="F17" s="79"/>
      <c r="G17" s="79"/>
      <c r="H17" s="79"/>
      <c r="I17" s="79"/>
      <c r="J17" s="79"/>
      <c r="K17" s="79"/>
      <c r="L17" s="92"/>
      <c r="M17" s="79"/>
      <c r="N17" s="79"/>
      <c r="O17" s="79"/>
      <c r="P17" s="79"/>
      <c r="Q17" s="79"/>
      <c r="R17" s="79"/>
      <c r="S17" s="79"/>
      <c r="T17" s="79"/>
      <c r="U17" s="79"/>
      <c r="V17" s="79"/>
      <c r="W17" s="79"/>
      <c r="X17" s="79"/>
      <c r="Y17" s="79"/>
      <c r="Z17" s="79"/>
      <c r="AA17" s="79"/>
      <c r="AB17" s="231"/>
      <c r="AC17" s="79"/>
      <c r="AD17" s="79"/>
      <c r="AE17" s="79"/>
      <c r="AF17" s="79"/>
      <c r="AG17" s="79"/>
      <c r="AH17" s="79"/>
      <c r="AI17" s="79"/>
      <c r="AJ17" s="79"/>
      <c r="AK17" s="246"/>
      <c r="AL17" s="79"/>
      <c r="AM17" s="79"/>
      <c r="AN17" s="79"/>
      <c r="AO17" s="79"/>
      <c r="AP17" s="79"/>
      <c r="AQ17" s="79"/>
      <c r="AR17" s="79"/>
      <c r="AS17" s="79"/>
      <c r="AT17" s="79"/>
      <c r="AU17" s="79"/>
      <c r="AV17" s="79"/>
      <c r="AW17" s="92"/>
      <c r="AX17" s="92"/>
      <c r="AY17" s="92"/>
      <c r="AZ17" s="92"/>
      <c r="BA17" s="92"/>
      <c r="BB17" s="92"/>
    </row>
    <row r="18" spans="1:54" ht="16.2">
      <c r="A18" s="30"/>
      <c r="B18" s="138" t="s">
        <v>1978</v>
      </c>
      <c r="C18" s="135" t="s">
        <v>326</v>
      </c>
      <c r="D18" s="245">
        <v>30</v>
      </c>
      <c r="E18" s="79"/>
      <c r="F18" s="79"/>
      <c r="G18" s="79"/>
      <c r="H18" s="79"/>
      <c r="I18" s="79"/>
      <c r="J18" s="79"/>
      <c r="K18" s="79"/>
      <c r="L18" s="92"/>
      <c r="M18" s="79"/>
      <c r="N18" s="79"/>
      <c r="O18" s="79"/>
      <c r="P18" s="79"/>
      <c r="Q18" s="79"/>
      <c r="R18" s="79"/>
      <c r="S18" s="79"/>
      <c r="T18" s="79"/>
      <c r="U18" s="79"/>
      <c r="V18" s="79"/>
      <c r="W18" s="231"/>
      <c r="X18" s="79"/>
      <c r="Y18" s="79"/>
      <c r="Z18" s="79"/>
      <c r="AA18" s="79"/>
      <c r="AB18" s="231"/>
      <c r="AC18" s="79"/>
      <c r="AD18" s="79"/>
      <c r="AE18" s="231"/>
      <c r="AF18" s="79"/>
      <c r="AG18" s="79"/>
      <c r="AH18" s="79"/>
      <c r="AI18" s="79"/>
      <c r="AJ18" s="79"/>
      <c r="AK18" s="79"/>
      <c r="AL18" s="79"/>
      <c r="AM18" s="79"/>
      <c r="AN18" s="79"/>
      <c r="AO18" s="246"/>
      <c r="AP18" s="79"/>
      <c r="AQ18" s="79"/>
      <c r="AR18" s="79"/>
      <c r="AS18" s="79"/>
      <c r="AT18" s="79"/>
      <c r="AU18" s="246"/>
      <c r="AV18" s="79"/>
      <c r="AW18" s="92"/>
      <c r="AX18" s="92"/>
      <c r="AY18" s="92"/>
      <c r="AZ18" s="92"/>
      <c r="BA18" s="92"/>
      <c r="BB18" s="92"/>
    </row>
    <row r="19" spans="1:54" ht="16.2" outlineLevel="1">
      <c r="A19" s="30"/>
      <c r="B19" s="250" t="s">
        <v>1978</v>
      </c>
      <c r="C19" s="249" t="s">
        <v>1976</v>
      </c>
      <c r="D19" s="245">
        <v>20</v>
      </c>
      <c r="E19" s="79"/>
      <c r="F19" s="79"/>
      <c r="G19" s="79"/>
      <c r="H19" s="79"/>
      <c r="I19" s="79"/>
      <c r="J19" s="79"/>
      <c r="K19" s="79"/>
      <c r="L19" s="92"/>
      <c r="M19" s="79"/>
      <c r="N19" s="79"/>
      <c r="O19" s="79"/>
      <c r="P19" s="79"/>
      <c r="Q19" s="79"/>
      <c r="R19" s="79"/>
      <c r="S19" s="79"/>
      <c r="T19" s="79"/>
      <c r="U19" s="79"/>
      <c r="V19" s="79"/>
      <c r="W19" s="231"/>
      <c r="X19" s="79"/>
      <c r="Y19" s="79"/>
      <c r="Z19" s="79"/>
      <c r="AA19" s="79"/>
      <c r="AB19" s="79"/>
      <c r="AC19" s="79"/>
      <c r="AD19" s="79"/>
      <c r="AE19" s="79"/>
      <c r="AF19" s="79"/>
      <c r="AG19" s="79"/>
      <c r="AH19" s="79"/>
      <c r="AI19" s="79"/>
      <c r="AJ19" s="79"/>
      <c r="AK19" s="79"/>
      <c r="AL19" s="79"/>
      <c r="AM19" s="79"/>
      <c r="AN19" s="79"/>
      <c r="AO19" s="246"/>
      <c r="AP19" s="79"/>
      <c r="AQ19" s="79"/>
      <c r="AR19" s="79"/>
      <c r="AS19" s="79"/>
      <c r="AT19" s="79"/>
      <c r="AU19" s="79"/>
      <c r="AV19" s="79"/>
      <c r="AW19" s="92"/>
      <c r="AX19" s="92"/>
      <c r="AY19" s="92"/>
      <c r="AZ19" s="92"/>
      <c r="BA19" s="92"/>
      <c r="BB19" s="92"/>
    </row>
    <row r="20" spans="1:54" ht="16.2" outlineLevel="1">
      <c r="A20" s="30"/>
      <c r="B20" s="250" t="s">
        <v>1978</v>
      </c>
      <c r="C20" s="249" t="s">
        <v>1977</v>
      </c>
      <c r="D20" s="245">
        <v>6</v>
      </c>
      <c r="E20" s="79"/>
      <c r="F20" s="79"/>
      <c r="G20" s="79"/>
      <c r="H20" s="79"/>
      <c r="I20" s="79"/>
      <c r="J20" s="79"/>
      <c r="K20" s="79"/>
      <c r="L20" s="92"/>
      <c r="M20" s="79"/>
      <c r="N20" s="79"/>
      <c r="O20" s="79"/>
      <c r="P20" s="79"/>
      <c r="Q20" s="79"/>
      <c r="R20" s="79"/>
      <c r="S20" s="79"/>
      <c r="T20" s="79"/>
      <c r="U20" s="79"/>
      <c r="V20" s="79"/>
      <c r="W20" s="79"/>
      <c r="X20" s="79"/>
      <c r="Y20" s="79"/>
      <c r="Z20" s="79"/>
      <c r="AA20" s="79"/>
      <c r="AB20" s="231"/>
      <c r="AC20" s="79"/>
      <c r="AD20" s="79"/>
      <c r="AE20" s="79"/>
      <c r="AF20" s="79"/>
      <c r="AG20" s="79"/>
      <c r="AH20" s="79"/>
      <c r="AI20" s="79"/>
      <c r="AJ20" s="79"/>
      <c r="AK20" s="79"/>
      <c r="AL20" s="79"/>
      <c r="AM20" s="79"/>
      <c r="AN20" s="79"/>
      <c r="AO20" s="79"/>
      <c r="AP20" s="79"/>
      <c r="AQ20" s="79"/>
      <c r="AR20" s="79"/>
      <c r="AS20" s="79"/>
      <c r="AT20" s="79"/>
      <c r="AU20" s="246"/>
      <c r="AV20" s="79"/>
      <c r="AW20" s="92"/>
      <c r="AX20" s="92"/>
      <c r="AY20" s="92"/>
      <c r="AZ20" s="92"/>
      <c r="BA20" s="92"/>
      <c r="BB20" s="92"/>
    </row>
    <row r="21" spans="1:54" ht="16.2" outlineLevel="1">
      <c r="A21" s="30"/>
      <c r="B21" s="250" t="s">
        <v>1978</v>
      </c>
      <c r="C21" s="249" t="s">
        <v>1979</v>
      </c>
      <c r="D21" s="245">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1"/>
      <c r="AF21" s="79"/>
      <c r="AG21" s="79"/>
      <c r="AH21" s="79"/>
      <c r="AI21" s="79"/>
      <c r="AJ21" s="79"/>
      <c r="AK21" s="79"/>
      <c r="AL21" s="79"/>
      <c r="AM21" s="79"/>
      <c r="AN21" s="79"/>
      <c r="AO21" s="246"/>
      <c r="AP21" s="79"/>
      <c r="AQ21" s="79"/>
      <c r="AR21" s="79"/>
      <c r="AS21" s="79"/>
      <c r="AT21" s="79"/>
      <c r="AU21" s="79"/>
      <c r="AV21" s="79"/>
      <c r="AW21" s="92"/>
      <c r="AX21" s="92"/>
      <c r="AY21" s="92"/>
      <c r="AZ21" s="92"/>
      <c r="BA21" s="92"/>
      <c r="BB21" s="92"/>
    </row>
    <row r="22" spans="1:54" ht="16.2">
      <c r="A22" s="30"/>
      <c r="B22" s="138" t="s">
        <v>1978</v>
      </c>
      <c r="C22" s="135" t="s">
        <v>332</v>
      </c>
      <c r="D22" s="245">
        <v>7</v>
      </c>
      <c r="E22" s="79"/>
      <c r="F22" s="79"/>
      <c r="G22" s="79"/>
      <c r="H22" s="79"/>
      <c r="I22" s="79"/>
      <c r="J22" s="79"/>
      <c r="K22" s="79"/>
      <c r="L22" s="92"/>
      <c r="M22" s="79"/>
      <c r="N22" s="79"/>
      <c r="O22" s="79"/>
      <c r="P22" s="79"/>
      <c r="Q22" s="79"/>
      <c r="R22" s="231"/>
      <c r="S22" s="79"/>
      <c r="T22" s="79"/>
      <c r="U22" s="79"/>
      <c r="V22" s="79"/>
      <c r="W22" s="79"/>
      <c r="X22" s="79"/>
      <c r="Y22" s="79"/>
      <c r="Z22" s="79"/>
      <c r="AA22" s="246"/>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1980</v>
      </c>
      <c r="C23" s="135" t="s">
        <v>334</v>
      </c>
      <c r="D23" s="245">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1"/>
      <c r="AF23" s="79"/>
      <c r="AG23" s="79"/>
      <c r="AH23" s="79"/>
      <c r="AI23" s="79"/>
      <c r="AJ23" s="79"/>
      <c r="AK23" s="79"/>
      <c r="AL23" s="79"/>
      <c r="AM23" s="79"/>
      <c r="AN23" s="79"/>
      <c r="AO23" s="79"/>
      <c r="AP23" s="79"/>
      <c r="AQ23" s="79"/>
      <c r="AR23" s="79"/>
      <c r="AS23" s="79"/>
      <c r="AT23" s="79"/>
      <c r="AU23" s="246"/>
      <c r="AV23" s="79"/>
      <c r="AW23" s="92"/>
      <c r="AX23" s="92"/>
      <c r="AY23" s="92"/>
      <c r="AZ23" s="92"/>
      <c r="BA23" s="92"/>
      <c r="BB23" s="92"/>
    </row>
    <row r="24" spans="1:54" ht="16.2">
      <c r="A24" s="30"/>
      <c r="B24" s="138" t="s">
        <v>26</v>
      </c>
      <c r="C24" s="137" t="s">
        <v>336</v>
      </c>
      <c r="D24" s="245">
        <v>32</v>
      </c>
      <c r="E24" s="79"/>
      <c r="F24" s="79"/>
      <c r="G24" s="79"/>
      <c r="H24" s="79"/>
      <c r="I24" s="79"/>
      <c r="J24" s="79"/>
      <c r="K24" s="231"/>
      <c r="L24" s="92"/>
      <c r="M24" s="79"/>
      <c r="N24" s="79"/>
      <c r="O24" s="79"/>
      <c r="P24" s="79"/>
      <c r="Q24" s="246"/>
      <c r="R24" s="79"/>
      <c r="S24" s="79"/>
      <c r="T24" s="79"/>
      <c r="U24" s="79"/>
      <c r="V24" s="79"/>
      <c r="W24" s="231"/>
      <c r="X24" s="79"/>
      <c r="Y24" s="79"/>
      <c r="Z24" s="79"/>
      <c r="AA24" s="79"/>
      <c r="AB24" s="231"/>
      <c r="AC24" s="79"/>
      <c r="AD24" s="79"/>
      <c r="AE24" s="246"/>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50" t="s">
        <v>26</v>
      </c>
      <c r="C25" s="249" t="s">
        <v>1976</v>
      </c>
      <c r="D25" s="245">
        <v>1</v>
      </c>
      <c r="E25" s="79"/>
      <c r="F25" s="79"/>
      <c r="G25" s="79"/>
      <c r="H25" s="79"/>
      <c r="I25" s="79"/>
      <c r="J25" s="79"/>
      <c r="K25" s="231"/>
      <c r="L25" s="92"/>
      <c r="M25" s="79"/>
      <c r="N25" s="79"/>
      <c r="O25" s="79"/>
      <c r="P25" s="79"/>
      <c r="Q25" s="246"/>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50" t="s">
        <v>26</v>
      </c>
      <c r="C26" s="249" t="s">
        <v>1977</v>
      </c>
      <c r="D26" s="245">
        <v>15</v>
      </c>
      <c r="E26" s="79"/>
      <c r="F26" s="79"/>
      <c r="G26" s="79"/>
      <c r="H26" s="79"/>
      <c r="I26" s="79"/>
      <c r="J26" s="79"/>
      <c r="K26" s="79"/>
      <c r="L26" s="92"/>
      <c r="M26" s="79"/>
      <c r="N26" s="79"/>
      <c r="O26" s="79"/>
      <c r="P26" s="79"/>
      <c r="Q26" s="79"/>
      <c r="R26" s="79"/>
      <c r="S26" s="79"/>
      <c r="T26" s="79"/>
      <c r="U26" s="79"/>
      <c r="V26" s="79"/>
      <c r="W26" s="231"/>
      <c r="X26" s="79"/>
      <c r="Y26" s="79"/>
      <c r="Z26" s="79"/>
      <c r="AA26" s="79"/>
      <c r="AB26" s="79"/>
      <c r="AC26" s="79"/>
      <c r="AD26" s="79"/>
      <c r="AE26" s="246"/>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50" t="s">
        <v>26</v>
      </c>
      <c r="C27" s="249" t="s">
        <v>1979</v>
      </c>
      <c r="D27" s="245">
        <v>3</v>
      </c>
      <c r="E27" s="79"/>
      <c r="F27" s="79"/>
      <c r="G27" s="79"/>
      <c r="H27" s="79"/>
      <c r="I27" s="79"/>
      <c r="J27" s="79"/>
      <c r="K27" s="79"/>
      <c r="L27" s="92"/>
      <c r="M27" s="79"/>
      <c r="N27" s="79"/>
      <c r="O27" s="79"/>
      <c r="P27" s="79"/>
      <c r="Q27" s="79"/>
      <c r="R27" s="79"/>
      <c r="S27" s="79"/>
      <c r="T27" s="79"/>
      <c r="U27" s="79"/>
      <c r="V27" s="79"/>
      <c r="W27" s="79"/>
      <c r="X27" s="79"/>
      <c r="Y27" s="79"/>
      <c r="Z27" s="79"/>
      <c r="AA27" s="79"/>
      <c r="AB27" s="231"/>
      <c r="AC27" s="79"/>
      <c r="AD27" s="79"/>
      <c r="AE27" s="246"/>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50" t="s">
        <v>26</v>
      </c>
      <c r="C28" s="251" t="s">
        <v>1981</v>
      </c>
      <c r="D28" s="245">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5">
        <v>22</v>
      </c>
      <c r="E29" s="79"/>
      <c r="F29" s="79"/>
      <c r="G29" s="79"/>
      <c r="H29" s="79"/>
      <c r="I29" s="79"/>
      <c r="J29" s="79"/>
      <c r="K29" s="231"/>
      <c r="L29" s="92"/>
      <c r="M29" s="79"/>
      <c r="N29" s="79"/>
      <c r="O29" s="79"/>
      <c r="P29" s="79"/>
      <c r="Q29" s="246"/>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50" t="s">
        <v>26</v>
      </c>
      <c r="C30" s="249" t="s">
        <v>1976</v>
      </c>
      <c r="D30" s="245">
        <v>11</v>
      </c>
      <c r="E30" s="79"/>
      <c r="F30" s="79"/>
      <c r="G30" s="79"/>
      <c r="H30" s="79"/>
      <c r="I30" s="79"/>
      <c r="J30" s="79"/>
      <c r="K30" s="231"/>
      <c r="L30" s="92"/>
      <c r="M30" s="79"/>
      <c r="N30" s="79"/>
      <c r="O30" s="79"/>
      <c r="P30" s="79"/>
      <c r="Q30" s="246"/>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50" t="s">
        <v>26</v>
      </c>
      <c r="C31" s="251" t="s">
        <v>1982</v>
      </c>
      <c r="D31" s="245">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5">
        <v>14</v>
      </c>
      <c r="E32" s="79"/>
      <c r="F32" s="231"/>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50" t="s">
        <v>26</v>
      </c>
      <c r="C33" s="249" t="s">
        <v>1983</v>
      </c>
      <c r="D33" s="245">
        <v>3</v>
      </c>
      <c r="E33" s="79"/>
      <c r="F33" s="79"/>
      <c r="G33" s="79"/>
      <c r="H33" s="79"/>
      <c r="I33" s="79"/>
      <c r="J33" s="79"/>
      <c r="K33" s="79"/>
      <c r="L33" s="92"/>
      <c r="M33" s="79"/>
      <c r="N33" s="79"/>
      <c r="O33" s="79"/>
      <c r="P33" s="79"/>
      <c r="Q33" s="246"/>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50" t="s">
        <v>26</v>
      </c>
      <c r="C34" s="249" t="s">
        <v>1976</v>
      </c>
      <c r="D34" s="245">
        <v>1</v>
      </c>
      <c r="E34" s="79"/>
      <c r="F34" s="231"/>
      <c r="G34" s="79"/>
      <c r="H34" s="79"/>
      <c r="I34" s="79"/>
      <c r="J34" s="79"/>
      <c r="K34" s="246"/>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50" t="s">
        <v>26</v>
      </c>
      <c r="C35" s="251" t="s">
        <v>1984</v>
      </c>
      <c r="D35" s="245">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2" t="s">
        <v>2009</v>
      </c>
      <c r="D36" s="245">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1975</v>
      </c>
      <c r="C37" s="137" t="s">
        <v>1985</v>
      </c>
      <c r="D37" s="245" t="s">
        <v>1986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4"/>
  <sheetViews>
    <sheetView showGridLines="0" zoomScale="80" zoomScaleNormal="80" workbookViewId="0">
      <pane xSplit="7" ySplit="16" topLeftCell="BF161" activePane="bottomRight" state="frozen"/>
      <selection pane="topRight" activeCell="G1" sqref="G1"/>
      <selection pane="bottomLeft" activeCell="A8" sqref="A8"/>
      <selection pane="bottomRight" activeCell="CD236" sqref="CD236"/>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hidden="1" customWidth="1"/>
    <col min="9" max="9" width="27.796875" hidden="1" customWidth="1"/>
    <col min="10" max="10" width="21" customWidth="1"/>
    <col min="11" max="11" width="21" hidden="1" customWidth="1"/>
    <col min="12" max="12" width="21" style="179" hidden="1" customWidth="1"/>
    <col min="13" max="13" width="19" style="179" hidden="1" customWidth="1"/>
    <col min="14" max="16" width="17.8984375" style="278" customWidth="1"/>
    <col min="17" max="17" width="50.59765625" style="278" bestFit="1"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2"/>
      <c r="M2" s="272"/>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3"/>
      <c r="M3" s="273"/>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2"/>
      <c r="M4" s="272"/>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4"/>
      <c r="M5" s="274"/>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2020</v>
      </c>
      <c r="X6">
        <f>X7-X8</f>
        <v>-2</v>
      </c>
      <c r="Y6">
        <f>Y7-Y8</f>
        <v>-2.5</v>
      </c>
      <c r="Z6">
        <f>Z7-Z8</f>
        <v>-2.5</v>
      </c>
      <c r="AA6">
        <f>AA7-AA8</f>
        <v>-2</v>
      </c>
      <c r="AB6">
        <f>AB7-AB8</f>
        <v>-2</v>
      </c>
      <c r="AD6">
        <f t="shared" ref="AD6:BM6" si="0">AD7-AD8</f>
        <v>-1.5</v>
      </c>
      <c r="AE6">
        <f t="shared" si="0"/>
        <v>-2</v>
      </c>
      <c r="AF6">
        <f t="shared" si="0"/>
        <v>1</v>
      </c>
      <c r="AG6">
        <f t="shared" si="0"/>
        <v>0.5</v>
      </c>
      <c r="AH6">
        <f t="shared" si="0"/>
        <v>0</v>
      </c>
      <c r="AI6">
        <f t="shared" si="0"/>
        <v>0</v>
      </c>
      <c r="AJ6">
        <f t="shared" si="0"/>
        <v>0</v>
      </c>
      <c r="AK6">
        <f t="shared" si="0"/>
        <v>0.10000000000000009</v>
      </c>
      <c r="AL6">
        <f t="shared" si="0"/>
        <v>-1</v>
      </c>
      <c r="AM6">
        <f t="shared" si="0"/>
        <v>-1.5</v>
      </c>
      <c r="AN6">
        <f t="shared" si="0"/>
        <v>-9.9999999999999645E-2</v>
      </c>
      <c r="AO6">
        <f t="shared" si="0"/>
        <v>0</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7">
        <f t="shared" ref="X7" si="2">SUM(X18:X234)</f>
        <v>0</v>
      </c>
      <c r="Y7" s="287">
        <f>SUM(Y18:Y234)</f>
        <v>0.5</v>
      </c>
      <c r="Z7" s="287">
        <f t="shared" ref="Z7:CH7" si="3">SUM(Z18:Z234)</f>
        <v>0.5</v>
      </c>
      <c r="AA7" s="287">
        <f t="shared" si="3"/>
        <v>1</v>
      </c>
      <c r="AB7" s="287">
        <f t="shared" si="3"/>
        <v>0</v>
      </c>
      <c r="AC7" s="287">
        <f t="shared" si="3"/>
        <v>0</v>
      </c>
      <c r="AD7" s="287">
        <f t="shared" si="3"/>
        <v>0.5</v>
      </c>
      <c r="AE7" s="287">
        <f t="shared" si="3"/>
        <v>0</v>
      </c>
      <c r="AF7" s="287">
        <f t="shared" si="3"/>
        <v>4</v>
      </c>
      <c r="AG7" s="287">
        <f t="shared" si="3"/>
        <v>3.5</v>
      </c>
      <c r="AH7" s="287">
        <f t="shared" si="3"/>
        <v>3</v>
      </c>
      <c r="AI7" s="287">
        <f t="shared" si="3"/>
        <v>3</v>
      </c>
      <c r="AJ7" s="287">
        <f t="shared" si="3"/>
        <v>3</v>
      </c>
      <c r="AK7" s="287">
        <f t="shared" si="3"/>
        <v>3.1</v>
      </c>
      <c r="AL7" s="287">
        <f t="shared" si="3"/>
        <v>2</v>
      </c>
      <c r="AM7" s="287">
        <f t="shared" si="3"/>
        <v>1.5</v>
      </c>
      <c r="AN7" s="287">
        <f t="shared" si="3"/>
        <v>2.9000000000000004</v>
      </c>
      <c r="AO7" s="287">
        <f t="shared" si="3"/>
        <v>3</v>
      </c>
      <c r="AP7" s="287">
        <f t="shared" si="3"/>
        <v>3</v>
      </c>
      <c r="AQ7" s="287">
        <f t="shared" si="3"/>
        <v>3</v>
      </c>
      <c r="AR7" s="287">
        <f t="shared" si="3"/>
        <v>3</v>
      </c>
      <c r="AS7" s="287">
        <f t="shared" si="3"/>
        <v>2.5</v>
      </c>
      <c r="AT7" s="287">
        <f t="shared" si="3"/>
        <v>3</v>
      </c>
      <c r="AU7" s="287">
        <f t="shared" si="3"/>
        <v>3</v>
      </c>
      <c r="AV7" s="287">
        <f t="shared" si="3"/>
        <v>3</v>
      </c>
      <c r="AW7" s="287">
        <f t="shared" si="3"/>
        <v>3</v>
      </c>
      <c r="AX7" s="287">
        <f t="shared" si="3"/>
        <v>3</v>
      </c>
      <c r="AY7" s="287">
        <f t="shared" si="3"/>
        <v>3.2</v>
      </c>
      <c r="AZ7" s="287">
        <f t="shared" si="3"/>
        <v>3</v>
      </c>
      <c r="BA7" s="287">
        <f t="shared" si="3"/>
        <v>3</v>
      </c>
      <c r="BB7" s="287">
        <f t="shared" si="3"/>
        <v>3</v>
      </c>
      <c r="BC7" s="287">
        <f t="shared" si="3"/>
        <v>3</v>
      </c>
      <c r="BD7" s="287">
        <f t="shared" si="3"/>
        <v>3</v>
      </c>
      <c r="BE7" s="287">
        <f t="shared" si="3"/>
        <v>3</v>
      </c>
      <c r="BF7" s="287">
        <f t="shared" si="3"/>
        <v>3</v>
      </c>
      <c r="BG7" s="287">
        <f t="shared" si="3"/>
        <v>3</v>
      </c>
      <c r="BH7" s="287">
        <f t="shared" si="3"/>
        <v>3</v>
      </c>
      <c r="BI7" s="287">
        <f t="shared" si="3"/>
        <v>3</v>
      </c>
      <c r="BJ7" s="287">
        <f t="shared" si="3"/>
        <v>3</v>
      </c>
      <c r="BK7" s="287">
        <f t="shared" si="3"/>
        <v>3</v>
      </c>
      <c r="BL7" s="287">
        <f t="shared" si="3"/>
        <v>3</v>
      </c>
      <c r="BM7" s="287">
        <f t="shared" si="3"/>
        <v>3.5</v>
      </c>
      <c r="BN7" s="287">
        <f t="shared" si="3"/>
        <v>0</v>
      </c>
      <c r="BO7" s="287">
        <f t="shared" si="3"/>
        <v>0</v>
      </c>
      <c r="BP7" s="287">
        <f t="shared" si="3"/>
        <v>0</v>
      </c>
      <c r="BQ7" s="287">
        <f t="shared" si="3"/>
        <v>0</v>
      </c>
      <c r="BR7" s="287">
        <f t="shared" si="3"/>
        <v>0</v>
      </c>
      <c r="BS7" s="287">
        <f t="shared" si="3"/>
        <v>0</v>
      </c>
      <c r="BT7" s="287">
        <f t="shared" si="3"/>
        <v>0</v>
      </c>
      <c r="BU7" s="287">
        <f t="shared" si="3"/>
        <v>3</v>
      </c>
      <c r="BV7" s="287">
        <f t="shared" si="3"/>
        <v>3</v>
      </c>
      <c r="BW7" s="287">
        <f t="shared" si="3"/>
        <v>3</v>
      </c>
      <c r="BX7" s="287">
        <f t="shared" si="3"/>
        <v>3</v>
      </c>
      <c r="BY7" s="287">
        <f t="shared" si="3"/>
        <v>3</v>
      </c>
      <c r="BZ7" s="287">
        <f t="shared" si="3"/>
        <v>3</v>
      </c>
      <c r="CA7" s="287">
        <f t="shared" si="3"/>
        <v>3</v>
      </c>
      <c r="CB7" s="287">
        <f t="shared" si="3"/>
        <v>3</v>
      </c>
      <c r="CC7" s="287">
        <f t="shared" si="3"/>
        <v>3</v>
      </c>
      <c r="CD7" s="287">
        <f t="shared" si="3"/>
        <v>3</v>
      </c>
      <c r="CE7" s="287">
        <f t="shared" si="3"/>
        <v>3</v>
      </c>
      <c r="CF7" s="287">
        <f t="shared" si="3"/>
        <v>3</v>
      </c>
      <c r="CG7" s="287">
        <f t="shared" si="3"/>
        <v>3</v>
      </c>
      <c r="CH7" s="287">
        <f t="shared" si="3"/>
        <v>1</v>
      </c>
    </row>
    <row r="8" spans="1:86" hidden="1">
      <c r="N8"/>
      <c r="O8"/>
      <c r="P8"/>
      <c r="Q8"/>
      <c r="X8" s="287">
        <v>2</v>
      </c>
      <c r="Y8" s="287">
        <v>3</v>
      </c>
      <c r="Z8" s="287">
        <v>3</v>
      </c>
      <c r="AA8" s="287">
        <v>3</v>
      </c>
      <c r="AB8" s="287">
        <v>2</v>
      </c>
      <c r="AC8" s="287"/>
      <c r="AD8" s="287">
        <v>2</v>
      </c>
      <c r="AE8" s="287">
        <v>2</v>
      </c>
      <c r="AF8" s="287">
        <v>3</v>
      </c>
      <c r="AG8" s="287">
        <v>3</v>
      </c>
      <c r="AH8" s="287">
        <v>3</v>
      </c>
      <c r="AI8" s="287">
        <v>3</v>
      </c>
      <c r="AJ8" s="287">
        <v>3</v>
      </c>
      <c r="AK8" s="287">
        <v>3</v>
      </c>
      <c r="AL8" s="287">
        <v>3</v>
      </c>
      <c r="AM8" s="287">
        <v>3</v>
      </c>
      <c r="AN8" s="287">
        <v>3</v>
      </c>
      <c r="AO8" s="287">
        <v>3</v>
      </c>
      <c r="AP8" s="287">
        <v>3</v>
      </c>
      <c r="AQ8" s="287">
        <v>3</v>
      </c>
      <c r="AR8" s="287">
        <v>3</v>
      </c>
      <c r="AS8" s="287">
        <v>3</v>
      </c>
      <c r="AT8" s="287">
        <v>3</v>
      </c>
      <c r="AU8" s="287">
        <v>3</v>
      </c>
      <c r="AV8" s="287">
        <v>3</v>
      </c>
      <c r="AW8" s="287">
        <v>3</v>
      </c>
      <c r="AX8" s="287">
        <v>3</v>
      </c>
      <c r="AY8" s="287">
        <v>3</v>
      </c>
      <c r="AZ8" s="287">
        <v>3</v>
      </c>
      <c r="BA8" s="287">
        <v>3</v>
      </c>
      <c r="BB8" s="287">
        <v>3</v>
      </c>
      <c r="BC8" s="287">
        <v>3</v>
      </c>
      <c r="BD8" s="287">
        <v>3</v>
      </c>
      <c r="BE8" s="287">
        <v>3</v>
      </c>
      <c r="BF8" s="287">
        <v>3</v>
      </c>
      <c r="BG8" s="287">
        <v>3</v>
      </c>
      <c r="BH8" s="287">
        <v>3</v>
      </c>
      <c r="BI8" s="287">
        <v>3</v>
      </c>
      <c r="BJ8" s="287">
        <v>3</v>
      </c>
      <c r="BK8" s="287">
        <v>3</v>
      </c>
      <c r="BL8" s="287">
        <v>3</v>
      </c>
      <c r="BM8" s="287">
        <v>3</v>
      </c>
      <c r="BN8" s="287">
        <v>3</v>
      </c>
      <c r="BO8" s="287">
        <v>3</v>
      </c>
      <c r="BP8" s="287">
        <v>3</v>
      </c>
      <c r="BQ8" s="287">
        <v>3</v>
      </c>
      <c r="BR8" s="287">
        <v>3</v>
      </c>
      <c r="BS8" s="287">
        <v>3</v>
      </c>
      <c r="BT8" s="287">
        <v>3</v>
      </c>
      <c r="BU8" s="287">
        <v>3</v>
      </c>
      <c r="BV8" s="287">
        <v>3</v>
      </c>
      <c r="BW8" s="287">
        <v>3</v>
      </c>
      <c r="BX8" s="287">
        <v>3</v>
      </c>
      <c r="BY8" s="287">
        <v>3</v>
      </c>
      <c r="BZ8" s="287">
        <v>3</v>
      </c>
      <c r="CA8" s="287">
        <v>3</v>
      </c>
      <c r="CB8" s="287">
        <v>3</v>
      </c>
      <c r="CC8" s="287">
        <v>3</v>
      </c>
      <c r="CD8" s="287">
        <v>3</v>
      </c>
      <c r="CE8" s="287">
        <v>3</v>
      </c>
      <c r="CF8" s="287">
        <v>3</v>
      </c>
      <c r="CG8" s="287">
        <v>3</v>
      </c>
      <c r="CH8" s="287">
        <v>3</v>
      </c>
    </row>
    <row r="9" spans="1:86" hidden="1">
      <c r="N9"/>
      <c r="O9"/>
      <c r="P9"/>
      <c r="Q9"/>
    </row>
    <row r="10" spans="1:86">
      <c r="N10"/>
      <c r="O10"/>
      <c r="P10"/>
      <c r="Q10"/>
    </row>
    <row r="11" spans="1:86">
      <c r="B11" s="223"/>
      <c r="C11" t="s">
        <v>573</v>
      </c>
      <c r="N11"/>
      <c r="O11"/>
      <c r="P11"/>
      <c r="Q11"/>
    </row>
    <row r="12" spans="1:86">
      <c r="B12" s="225"/>
      <c r="C12" t="s">
        <v>1952</v>
      </c>
      <c r="J12" s="291"/>
      <c r="N12"/>
      <c r="O12"/>
      <c r="P12"/>
      <c r="Q12"/>
      <c r="R12" s="227"/>
    </row>
    <row r="13" spans="1:86">
      <c r="B13" s="228"/>
      <c r="C13" t="s">
        <v>1953</v>
      </c>
      <c r="N13"/>
      <c r="O13"/>
      <c r="P13"/>
      <c r="Q13"/>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row>
    <row r="14" spans="1:86" ht="17.399999999999999">
      <c r="B14" s="226"/>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8" customFormat="1" ht="17.399999999999999">
      <c r="B16" s="243" t="s">
        <v>8</v>
      </c>
      <c r="C16" s="244" t="s">
        <v>9</v>
      </c>
      <c r="D16" s="244" t="s">
        <v>10</v>
      </c>
      <c r="E16" s="244" t="s">
        <v>11</v>
      </c>
      <c r="F16" s="244" t="s">
        <v>1988</v>
      </c>
      <c r="G16" s="244" t="s">
        <v>12</v>
      </c>
      <c r="H16" s="244" t="s">
        <v>645</v>
      </c>
      <c r="I16" s="275" t="s">
        <v>1954</v>
      </c>
      <c r="J16" s="275" t="s">
        <v>1955</v>
      </c>
      <c r="K16" s="270" t="s">
        <v>1956</v>
      </c>
      <c r="L16" s="275" t="s">
        <v>2018</v>
      </c>
      <c r="M16" s="275" t="s">
        <v>2019</v>
      </c>
      <c r="N16" s="244" t="s">
        <v>2016</v>
      </c>
      <c r="O16" s="244" t="s">
        <v>2017</v>
      </c>
      <c r="P16" s="244" t="s">
        <v>2021</v>
      </c>
      <c r="Q16" s="244" t="s">
        <v>22</v>
      </c>
      <c r="R16" s="269" t="s">
        <v>1242</v>
      </c>
      <c r="S16" s="269" t="s">
        <v>1957</v>
      </c>
      <c r="T16" s="269" t="s">
        <v>1958</v>
      </c>
      <c r="U16" s="271" t="s">
        <v>1959</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60" t="s">
        <v>37</v>
      </c>
      <c r="F17" s="260" t="s">
        <v>1989</v>
      </c>
      <c r="G17" s="261">
        <f>COUNTA(G18:G29)</f>
        <v>12</v>
      </c>
      <c r="H17" s="136"/>
      <c r="I17" s="229" t="s">
        <v>38</v>
      </c>
      <c r="J17" s="258">
        <f>MIN(J18:J29)</f>
        <v>45624</v>
      </c>
      <c r="K17" s="259"/>
      <c r="L17" s="281">
        <f>MIN(L18:L29)</f>
        <v>45628</v>
      </c>
      <c r="M17" s="281">
        <f>MAX(M18:M29)</f>
        <v>45629</v>
      </c>
      <c r="N17" s="282">
        <f>SUMPRODUCT(N18:N29,T18:T29)/SUM(T18:T29)</f>
        <v>0</v>
      </c>
      <c r="O17" s="282">
        <f ca="1">SUMPRODUCT(O18:O29,T18:T29)/SUM(T18:T29)</f>
        <v>0</v>
      </c>
      <c r="P17" s="276">
        <f ca="1">N17-O17</f>
        <v>0</v>
      </c>
      <c r="Q17" s="288" t="s">
        <v>38</v>
      </c>
      <c r="R17" s="230"/>
      <c r="S17" s="224"/>
      <c r="T17" s="224"/>
      <c r="U17" s="224"/>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1"/>
      <c r="AW17" s="79"/>
      <c r="AX17" s="79"/>
      <c r="AY17" s="79"/>
      <c r="AZ17" s="79"/>
      <c r="BA17" s="79"/>
      <c r="BB17" s="266"/>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outlineLevel="1">
      <c r="A18" s="30" t="str">
        <f t="shared" ref="A18:A86" si="7">E18&amp;G18</f>
        <v>ENERGY_CERTIFICATE_EST_INPUTPROPERTY_BANK_ID</v>
      </c>
      <c r="B18" s="142" t="s">
        <v>26</v>
      </c>
      <c r="C18" s="138" t="s">
        <v>34</v>
      </c>
      <c r="D18" s="253" t="s">
        <v>40</v>
      </c>
      <c r="E18" s="254" t="s">
        <v>37</v>
      </c>
      <c r="F18" s="254"/>
      <c r="G18" s="253" t="s">
        <v>41</v>
      </c>
      <c r="H18" s="255" t="str">
        <f>VLOOKUP(A18,'2. Status Detalhe Campos'!$A$7:$G$574,7,0)</f>
        <v>6. Em implementação (re-especificação)</v>
      </c>
      <c r="I18" s="229" t="s">
        <v>38</v>
      </c>
      <c r="J18" s="153">
        <v>45624</v>
      </c>
      <c r="K18" s="229"/>
      <c r="L18" s="280">
        <f t="array" ref="L18">MIN(IF(V18:CH18&gt;0,$V$16:$CH$16))</f>
        <v>45628</v>
      </c>
      <c r="M18" s="279">
        <f t="array" ref="M18">MAX(IF(V18:CH18&gt;0,$V$16:$CH$16))</f>
        <v>45628</v>
      </c>
      <c r="N18" s="277">
        <f>VLOOKUP(H18,Auxiliar!$B$16:$E$24,4,0)</f>
        <v>0</v>
      </c>
      <c r="O18" s="277">
        <f ca="1">IF(TODAY()&lt;=L18,0,MIN((TODAY()-L18)/(M18-L18+1),100%))</f>
        <v>0</v>
      </c>
      <c r="P18" s="276">
        <f t="shared" ref="P18:P81" ca="1" si="8">N18-O18</f>
        <v>0</v>
      </c>
      <c r="Q18" s="276"/>
      <c r="R18" s="230"/>
      <c r="S18" s="224">
        <v>0.6</v>
      </c>
      <c r="T18" s="224">
        <f t="shared" ref="T18:T83" si="9">ROUND(S18/8,1)</f>
        <v>0.1</v>
      </c>
      <c r="U18" s="224">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1"/>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outlineLevel="1">
      <c r="A19" s="30" t="str">
        <f t="shared" si="7"/>
        <v>ENERGY_CERTIFICATE_EST_INPUTENCRYPTED_KEY</v>
      </c>
      <c r="B19" s="142" t="s">
        <v>26</v>
      </c>
      <c r="C19" s="138" t="s">
        <v>34</v>
      </c>
      <c r="D19" s="253" t="s">
        <v>40</v>
      </c>
      <c r="E19" s="254" t="s">
        <v>37</v>
      </c>
      <c r="F19" s="254"/>
      <c r="G19" s="253" t="s">
        <v>42</v>
      </c>
      <c r="H19" s="255" t="str">
        <f>VLOOKUP(A19,'2. Status Detalhe Campos'!$A$7:$G$574,7,0)</f>
        <v>6. Em implementação (re-especificação)</v>
      </c>
      <c r="I19" s="229" t="s">
        <v>38</v>
      </c>
      <c r="J19" s="153">
        <v>45624</v>
      </c>
      <c r="K19" s="229"/>
      <c r="L19" s="280">
        <f t="array" ref="L19">MIN(IF(V19:CH19&gt;0,$V$16:$CH$16))</f>
        <v>45628</v>
      </c>
      <c r="M19" s="279">
        <f t="array" ref="M19">MAX(IF(V19:CH19&gt;0,$V$16:$CH$16))</f>
        <v>45628</v>
      </c>
      <c r="N19" s="277">
        <f>VLOOKUP(H19,Auxiliar!$B$16:$E$24,4,0)</f>
        <v>0</v>
      </c>
      <c r="O19" s="277">
        <f t="shared" ref="O19:O52" ca="1" si="11">IF(TODAY()&lt;=L19,0,MIN((TODAY()-L19)/(M19-L19+1),100%))</f>
        <v>0</v>
      </c>
      <c r="P19" s="276">
        <f t="shared" ca="1" si="8"/>
        <v>0</v>
      </c>
      <c r="Q19" s="276"/>
      <c r="R19" s="230"/>
      <c r="S19" s="224">
        <v>0.6</v>
      </c>
      <c r="T19" s="224">
        <f t="shared" si="9"/>
        <v>0.1</v>
      </c>
      <c r="U19" s="224">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1"/>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outlineLevel="1">
      <c r="A20" s="30" t="str">
        <f t="shared" si="7"/>
        <v>ENERGY_CERTIFICATE_EST_INPUTPROPERTY_BRANCH_CODE</v>
      </c>
      <c r="B20" s="142" t="s">
        <v>26</v>
      </c>
      <c r="C20" s="138" t="s">
        <v>34</v>
      </c>
      <c r="D20" s="253" t="s">
        <v>40</v>
      </c>
      <c r="E20" s="254" t="s">
        <v>37</v>
      </c>
      <c r="F20" s="254"/>
      <c r="G20" s="253" t="s">
        <v>43</v>
      </c>
      <c r="H20" s="255" t="str">
        <f>VLOOKUP(A20,'2. Status Detalhe Campos'!$A$7:$G$574,7,0)</f>
        <v>6. Em implementação (re-especificação)</v>
      </c>
      <c r="I20" s="229" t="s">
        <v>38</v>
      </c>
      <c r="J20" s="153">
        <v>45624</v>
      </c>
      <c r="K20" s="229"/>
      <c r="L20" s="280">
        <f t="array" ref="L20">MIN(IF(V20:CH20&gt;0,$V$16:$CH$16))</f>
        <v>45628</v>
      </c>
      <c r="M20" s="279">
        <f t="array" ref="M20">MAX(IF(V20:CH20&gt;0,$V$16:$CH$16))</f>
        <v>45628</v>
      </c>
      <c r="N20" s="277">
        <f>VLOOKUP(H20,Auxiliar!$B$16:$E$24,4,0)</f>
        <v>0</v>
      </c>
      <c r="O20" s="277">
        <f t="shared" ca="1" si="11"/>
        <v>0</v>
      </c>
      <c r="P20" s="276">
        <f t="shared" ca="1" si="8"/>
        <v>0</v>
      </c>
      <c r="Q20" s="276"/>
      <c r="R20" s="230"/>
      <c r="S20" s="224">
        <v>0.6</v>
      </c>
      <c r="T20" s="224">
        <f t="shared" si="9"/>
        <v>0.1</v>
      </c>
      <c r="U20" s="224">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1"/>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outlineLevel="1">
      <c r="A21" s="30" t="str">
        <f t="shared" si="7"/>
        <v>ENERGY_CERTIFICATE_EST_INPUTPROPERTY_CONTRACT_ID</v>
      </c>
      <c r="B21" s="142" t="s">
        <v>26</v>
      </c>
      <c r="C21" s="138" t="s">
        <v>34</v>
      </c>
      <c r="D21" s="253" t="s">
        <v>40</v>
      </c>
      <c r="E21" s="254" t="s">
        <v>37</v>
      </c>
      <c r="F21" s="254"/>
      <c r="G21" s="253" t="s">
        <v>44</v>
      </c>
      <c r="H21" s="255" t="str">
        <f>VLOOKUP(A21,'2. Status Detalhe Campos'!$A$7:$G$574,7,0)</f>
        <v>6. Em implementação (re-especificação)</v>
      </c>
      <c r="I21" s="229" t="s">
        <v>38</v>
      </c>
      <c r="J21" s="153">
        <v>45624</v>
      </c>
      <c r="K21" s="229"/>
      <c r="L21" s="280">
        <f t="array" ref="L21">MIN(IF(V21:CH21&gt;0,$V$16:$CH$16))</f>
        <v>45628</v>
      </c>
      <c r="M21" s="279">
        <f t="array" ref="M21">MAX(IF(V21:CH21&gt;0,$V$16:$CH$16))</f>
        <v>45628</v>
      </c>
      <c r="N21" s="277">
        <f>VLOOKUP(H21,Auxiliar!$B$16:$E$24,4,0)</f>
        <v>0</v>
      </c>
      <c r="O21" s="277">
        <f t="shared" ca="1" si="11"/>
        <v>0</v>
      </c>
      <c r="P21" s="276">
        <f t="shared" ca="1" si="8"/>
        <v>0</v>
      </c>
      <c r="Q21" s="276"/>
      <c r="R21" s="230"/>
      <c r="S21" s="224">
        <v>0.6</v>
      </c>
      <c r="T21" s="224">
        <f t="shared" si="9"/>
        <v>0.1</v>
      </c>
      <c r="U21" s="224">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1"/>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outlineLevel="1">
      <c r="A22" s="30" t="str">
        <f t="shared" si="7"/>
        <v>ENERGY_CERTIFICATE_EST_INPUTPROPERTY_REFERENCE_CODE</v>
      </c>
      <c r="B22" s="142" t="s">
        <v>26</v>
      </c>
      <c r="C22" s="138" t="s">
        <v>34</v>
      </c>
      <c r="D22" s="253" t="s">
        <v>40</v>
      </c>
      <c r="E22" s="254" t="s">
        <v>37</v>
      </c>
      <c r="F22" s="254"/>
      <c r="G22" s="253" t="s">
        <v>45</v>
      </c>
      <c r="H22" s="255" t="str">
        <f>VLOOKUP(A22,'2. Status Detalhe Campos'!$A$7:$G$574,7,0)</f>
        <v>6. Em implementação (re-especificação)</v>
      </c>
      <c r="I22" s="229" t="s">
        <v>38</v>
      </c>
      <c r="J22" s="153">
        <v>45624</v>
      </c>
      <c r="K22" s="229"/>
      <c r="L22" s="280">
        <f t="array" ref="L22">MIN(IF(V22:CH22&gt;0,$V$16:$CH$16))</f>
        <v>45628</v>
      </c>
      <c r="M22" s="279">
        <f t="array" ref="M22">MAX(IF(V22:CH22&gt;0,$V$16:$CH$16))</f>
        <v>45628</v>
      </c>
      <c r="N22" s="277">
        <f>VLOOKUP(H22,Auxiliar!$B$16:$E$24,4,0)</f>
        <v>0</v>
      </c>
      <c r="O22" s="277">
        <f t="shared" ca="1" si="11"/>
        <v>0</v>
      </c>
      <c r="P22" s="276">
        <f t="shared" ca="1" si="8"/>
        <v>0</v>
      </c>
      <c r="Q22" s="276"/>
      <c r="R22" s="230"/>
      <c r="S22" s="224">
        <v>0.6</v>
      </c>
      <c r="T22" s="224">
        <f t="shared" si="9"/>
        <v>0.1</v>
      </c>
      <c r="U22" s="224">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1"/>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outlineLevel="1">
      <c r="A23" s="30" t="str">
        <f t="shared" si="7"/>
        <v>ENERGY_CERTIFICATE_EST_INPUTDATA_EXTRACTION_DATE</v>
      </c>
      <c r="B23" s="142" t="s">
        <v>26</v>
      </c>
      <c r="C23" s="138" t="s">
        <v>34</v>
      </c>
      <c r="D23" s="253" t="s">
        <v>40</v>
      </c>
      <c r="E23" s="254" t="s">
        <v>37</v>
      </c>
      <c r="F23" s="254"/>
      <c r="G23" s="253" t="s">
        <v>46</v>
      </c>
      <c r="H23" s="255" t="str">
        <f>VLOOKUP(A23,'2. Status Detalhe Campos'!$A$7:$G$574,7,0)</f>
        <v>6. Em implementação (re-especificação)</v>
      </c>
      <c r="I23" s="229" t="s">
        <v>38</v>
      </c>
      <c r="J23" s="153">
        <v>45624</v>
      </c>
      <c r="K23" s="229"/>
      <c r="L23" s="280">
        <f t="array" ref="L23">MIN(IF(V23:CH23&gt;0,$V$16:$CH$16))</f>
        <v>45628</v>
      </c>
      <c r="M23" s="279">
        <f t="array" ref="M23">MAX(IF(V23:CH23&gt;0,$V$16:$CH$16))</f>
        <v>45628</v>
      </c>
      <c r="N23" s="277">
        <f>VLOOKUP(H23,Auxiliar!$B$16:$E$24,4,0)</f>
        <v>0</v>
      </c>
      <c r="O23" s="277">
        <f t="shared" ca="1" si="11"/>
        <v>0</v>
      </c>
      <c r="P23" s="276">
        <f t="shared" ca="1" si="8"/>
        <v>0</v>
      </c>
      <c r="Q23" s="276"/>
      <c r="R23" s="230"/>
      <c r="S23" s="224">
        <v>0.6</v>
      </c>
      <c r="T23" s="224">
        <f t="shared" si="9"/>
        <v>0.1</v>
      </c>
      <c r="U23" s="224">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1"/>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outlineLevel="1">
      <c r="A24" s="30" t="str">
        <f t="shared" si="7"/>
        <v>ENERGY_CERTIFICATE_EST_INPUTEPC</v>
      </c>
      <c r="B24" s="142" t="s">
        <v>26</v>
      </c>
      <c r="C24" s="138" t="s">
        <v>34</v>
      </c>
      <c r="D24" s="253" t="s">
        <v>40</v>
      </c>
      <c r="E24" s="254" t="s">
        <v>37</v>
      </c>
      <c r="F24" s="254"/>
      <c r="G24" s="253" t="s">
        <v>47</v>
      </c>
      <c r="H24" s="255" t="str">
        <f>VLOOKUP(A24,'2. Status Detalhe Campos'!$A$7:$G$574,7,0)</f>
        <v>6. Em implementação (re-especificação)</v>
      </c>
      <c r="I24" s="229" t="s">
        <v>38</v>
      </c>
      <c r="J24" s="153">
        <v>45624</v>
      </c>
      <c r="K24" s="229"/>
      <c r="L24" s="280">
        <f t="array" ref="L24">MIN(IF(V24:CH24&gt;0,$V$16:$CH$16))</f>
        <v>45628</v>
      </c>
      <c r="M24" s="279">
        <f t="array" ref="M24">MAX(IF(V24:CH24&gt;0,$V$16:$CH$16))</f>
        <v>45628</v>
      </c>
      <c r="N24" s="277">
        <f>VLOOKUP(H24,Auxiliar!$B$16:$E$24,4,0)</f>
        <v>0</v>
      </c>
      <c r="O24" s="277">
        <f t="shared" ca="1" si="11"/>
        <v>0</v>
      </c>
      <c r="P24" s="276">
        <f t="shared" ca="1" si="8"/>
        <v>0</v>
      </c>
      <c r="Q24" s="276"/>
      <c r="R24" s="230"/>
      <c r="S24" s="224">
        <v>0.6</v>
      </c>
      <c r="T24" s="224">
        <f t="shared" si="9"/>
        <v>0.1</v>
      </c>
      <c r="U24" s="224">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1"/>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outlineLevel="1">
      <c r="A25" s="30" t="str">
        <f t="shared" si="7"/>
        <v>ENERGY_CERTIFICATE_EST_INPUTDATA_PROVIDER</v>
      </c>
      <c r="B25" s="142" t="s">
        <v>26</v>
      </c>
      <c r="C25" s="138" t="s">
        <v>34</v>
      </c>
      <c r="D25" s="253" t="s">
        <v>40</v>
      </c>
      <c r="E25" s="254" t="s">
        <v>37</v>
      </c>
      <c r="F25" s="254"/>
      <c r="G25" s="253" t="s">
        <v>48</v>
      </c>
      <c r="H25" s="255" t="str">
        <f>VLOOKUP(A25,'2. Status Detalhe Campos'!$A$7:$G$574,7,0)</f>
        <v>6. Em implementação (re-especificação)</v>
      </c>
      <c r="I25" s="229" t="s">
        <v>38</v>
      </c>
      <c r="J25" s="153">
        <v>45624</v>
      </c>
      <c r="K25" s="229"/>
      <c r="L25" s="280">
        <f t="array" ref="L25">MIN(IF(V25:CH25&gt;0,$V$16:$CH$16))</f>
        <v>45628</v>
      </c>
      <c r="M25" s="279">
        <f t="array" ref="M25">MAX(IF(V25:CH25&gt;0,$V$16:$CH$16))</f>
        <v>45628</v>
      </c>
      <c r="N25" s="277">
        <f>VLOOKUP(H25,Auxiliar!$B$16:$E$24,4,0)</f>
        <v>0</v>
      </c>
      <c r="O25" s="277">
        <f t="shared" ca="1" si="11"/>
        <v>0</v>
      </c>
      <c r="P25" s="276">
        <f t="shared" ca="1" si="8"/>
        <v>0</v>
      </c>
      <c r="Q25" s="276"/>
      <c r="R25" s="230"/>
      <c r="S25" s="224">
        <v>0.6</v>
      </c>
      <c r="T25" s="224">
        <f t="shared" si="9"/>
        <v>0.1</v>
      </c>
      <c r="U25" s="224">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1"/>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outlineLevel="1">
      <c r="A26" s="30" t="str">
        <f t="shared" si="7"/>
        <v>ENERGY_CERTIFICATE_EST_INPUTACTUAL_VALUE_IND</v>
      </c>
      <c r="B26" s="142" t="s">
        <v>26</v>
      </c>
      <c r="C26" s="138" t="s">
        <v>34</v>
      </c>
      <c r="D26" s="253" t="s">
        <v>40</v>
      </c>
      <c r="E26" s="254" t="s">
        <v>37</v>
      </c>
      <c r="F26" s="254"/>
      <c r="G26" s="253" t="s">
        <v>49</v>
      </c>
      <c r="H26" s="255" t="str">
        <f>VLOOKUP(A26,'2. Status Detalhe Campos'!$A$7:$G$574,7,0)</f>
        <v>6. Em implementação (re-especificação)</v>
      </c>
      <c r="I26" s="229" t="s">
        <v>38</v>
      </c>
      <c r="J26" s="153">
        <v>45624</v>
      </c>
      <c r="K26" s="229"/>
      <c r="L26" s="280">
        <f t="array" ref="L26">MIN(IF(V26:CH26&gt;0,$V$16:$CH$16))</f>
        <v>45628</v>
      </c>
      <c r="M26" s="279">
        <f t="array" ref="M26">MAX(IF(V26:CH26&gt;0,$V$16:$CH$16))</f>
        <v>45628</v>
      </c>
      <c r="N26" s="277">
        <f>VLOOKUP(H26,Auxiliar!$B$16:$E$24,4,0)</f>
        <v>0</v>
      </c>
      <c r="O26" s="277">
        <f t="shared" ca="1" si="11"/>
        <v>0</v>
      </c>
      <c r="P26" s="276">
        <f t="shared" ca="1" si="8"/>
        <v>0</v>
      </c>
      <c r="Q26" s="276"/>
      <c r="R26" s="230"/>
      <c r="S26" s="224">
        <v>0.6</v>
      </c>
      <c r="T26" s="224">
        <f t="shared" si="9"/>
        <v>0.1</v>
      </c>
      <c r="U26" s="224">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1"/>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outlineLevel="1">
      <c r="A27" s="30" t="str">
        <f t="shared" si="7"/>
        <v>ENERGY_CERTIFICATE_EST_INPUTQUALITY_SCORE</v>
      </c>
      <c r="B27" s="142" t="s">
        <v>26</v>
      </c>
      <c r="C27" s="138" t="s">
        <v>34</v>
      </c>
      <c r="D27" s="253" t="s">
        <v>40</v>
      </c>
      <c r="E27" s="254" t="s">
        <v>37</v>
      </c>
      <c r="F27" s="254"/>
      <c r="G27" s="253" t="s">
        <v>50</v>
      </c>
      <c r="H27" s="255" t="str">
        <f>VLOOKUP(A27,'2. Status Detalhe Campos'!$A$7:$G$574,7,0)</f>
        <v>6. Em implementação (re-especificação)</v>
      </c>
      <c r="I27" s="229" t="s">
        <v>38</v>
      </c>
      <c r="J27" s="153">
        <v>45624</v>
      </c>
      <c r="K27" s="229"/>
      <c r="L27" s="280">
        <f t="array" ref="L27">MIN(IF(V27:CH27&gt;0,$V$16:$CH$16))</f>
        <v>45628</v>
      </c>
      <c r="M27" s="279">
        <f t="array" ref="M27">MAX(IF(V27:CH27&gt;0,$V$16:$CH$16))</f>
        <v>45628</v>
      </c>
      <c r="N27" s="277">
        <f>VLOOKUP(H27,Auxiliar!$B$16:$E$24,4,0)</f>
        <v>0</v>
      </c>
      <c r="O27" s="277">
        <f t="shared" ca="1" si="11"/>
        <v>0</v>
      </c>
      <c r="P27" s="276">
        <f t="shared" ca="1" si="8"/>
        <v>0</v>
      </c>
      <c r="Q27" s="276"/>
      <c r="R27" s="230"/>
      <c r="S27" s="224">
        <v>0.6</v>
      </c>
      <c r="T27" s="224">
        <f t="shared" si="9"/>
        <v>0.1</v>
      </c>
      <c r="U27" s="224">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1"/>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outlineLevel="1">
      <c r="A28" s="30" t="str">
        <f t="shared" si="7"/>
        <v>ENERGY_CERTIFICATE_EST_INPUTENERGY_CONSUMPTION_VALUE_YEAR</v>
      </c>
      <c r="B28" s="142" t="s">
        <v>26</v>
      </c>
      <c r="C28" s="138" t="s">
        <v>34</v>
      </c>
      <c r="D28" s="253" t="s">
        <v>40</v>
      </c>
      <c r="E28" s="254" t="s">
        <v>37</v>
      </c>
      <c r="F28" s="254"/>
      <c r="G28" s="253" t="s">
        <v>51</v>
      </c>
      <c r="H28" s="255" t="str">
        <f>VLOOKUP(A28,'2. Status Detalhe Campos'!$A$7:$G$574,7,0)</f>
        <v>6. Em implementação (re-especificação)</v>
      </c>
      <c r="I28" s="229" t="s">
        <v>38</v>
      </c>
      <c r="J28" s="153">
        <v>45624</v>
      </c>
      <c r="K28" s="229"/>
      <c r="L28" s="280">
        <f t="array" ref="L28">MIN(IF(V28:CH28&gt;0,$V$16:$CH$16))</f>
        <v>45629</v>
      </c>
      <c r="M28" s="279">
        <f t="array" ref="M28">MAX(IF(V28:CH28&gt;0,$V$16:$CH$16))</f>
        <v>45629</v>
      </c>
      <c r="N28" s="277">
        <f>VLOOKUP(H28,Auxiliar!$B$16:$E$24,4,0)</f>
        <v>0</v>
      </c>
      <c r="O28" s="277">
        <f t="shared" ca="1" si="11"/>
        <v>0</v>
      </c>
      <c r="P28" s="276">
        <f t="shared" ca="1" si="8"/>
        <v>0</v>
      </c>
      <c r="Q28" s="276"/>
      <c r="R28" s="230"/>
      <c r="S28" s="224">
        <v>0.6</v>
      </c>
      <c r="T28" s="224">
        <f t="shared" si="9"/>
        <v>0.1</v>
      </c>
      <c r="U28" s="224">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1"/>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outlineLevel="1">
      <c r="A29" s="30" t="str">
        <f t="shared" si="7"/>
        <v>ENERGY_CERTIFICATE_EST_INPUTCARBON_EMISSION_VALUE_YEAR</v>
      </c>
      <c r="B29" s="142" t="s">
        <v>26</v>
      </c>
      <c r="C29" s="138" t="s">
        <v>34</v>
      </c>
      <c r="D29" s="253" t="s">
        <v>40</v>
      </c>
      <c r="E29" s="254" t="s">
        <v>37</v>
      </c>
      <c r="F29" s="254"/>
      <c r="G29" s="253" t="s">
        <v>52</v>
      </c>
      <c r="H29" s="255" t="str">
        <f>VLOOKUP(A29,'2. Status Detalhe Campos'!$A$7:$G$574,7,0)</f>
        <v>6. Em implementação (re-especificação)</v>
      </c>
      <c r="I29" s="229" t="s">
        <v>38</v>
      </c>
      <c r="J29" s="153">
        <v>45624</v>
      </c>
      <c r="K29" s="229"/>
      <c r="L29" s="280">
        <f t="array" ref="L29">MIN(IF(V29:CH29&gt;0,$V$16:$CH$16))</f>
        <v>45629</v>
      </c>
      <c r="M29" s="279">
        <f t="array" ref="M29">MAX(IF(V29:CH29&gt;0,$V$16:$CH$16))</f>
        <v>45629</v>
      </c>
      <c r="N29" s="277">
        <f>VLOOKUP(H29,Auxiliar!$B$16:$E$24,4,0)</f>
        <v>0</v>
      </c>
      <c r="O29" s="277">
        <f t="shared" ca="1" si="11"/>
        <v>0</v>
      </c>
      <c r="P29" s="276">
        <f t="shared" ca="1" si="8"/>
        <v>0</v>
      </c>
      <c r="Q29" s="276"/>
      <c r="R29" s="230"/>
      <c r="S29" s="224">
        <v>0.6</v>
      </c>
      <c r="T29" s="224">
        <f t="shared" si="9"/>
        <v>0.1</v>
      </c>
      <c r="U29" s="224">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1"/>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60" t="s">
        <v>123</v>
      </c>
      <c r="F30" s="260" t="s">
        <v>1989</v>
      </c>
      <c r="G30" s="261">
        <f>COUNTA(G31:G52)</f>
        <v>22</v>
      </c>
      <c r="H30" s="136"/>
      <c r="I30" s="229" t="s">
        <v>38</v>
      </c>
      <c r="J30" s="258">
        <f>MIN(J31:J52)</f>
        <v>45593</v>
      </c>
      <c r="K30" s="259">
        <f>MIN(K31:K52)</f>
        <v>45593</v>
      </c>
      <c r="L30" s="281">
        <f>MIN(L31:L52)</f>
        <v>45594</v>
      </c>
      <c r="M30" s="281">
        <f>MAX(M31:M52)</f>
        <v>45608</v>
      </c>
      <c r="N30" s="282">
        <f>SUMPRODUCT(N31:N52,T31:T52)/SUM(T31:T52)</f>
        <v>0.25</v>
      </c>
      <c r="O30" s="282">
        <f ca="1">SUMPRODUCT(O31:O52,T31:T52)/SUM(T31:T52)</f>
        <v>0.5</v>
      </c>
      <c r="P30" s="276">
        <f t="shared" ca="1" si="8"/>
        <v>-0.25</v>
      </c>
      <c r="Q30" s="288" t="s">
        <v>2022</v>
      </c>
      <c r="R30" s="230"/>
      <c r="S30" s="224"/>
      <c r="T30" s="224"/>
      <c r="U30" s="224"/>
      <c r="V30" s="79"/>
      <c r="W30" s="79"/>
      <c r="X30" s="79"/>
      <c r="Y30" s="227"/>
      <c r="Z30" s="79"/>
      <c r="AA30" s="79"/>
      <c r="AB30" s="79"/>
      <c r="AC30" s="92"/>
      <c r="AD30" s="79"/>
      <c r="AE30" s="79"/>
      <c r="AF30" s="79"/>
      <c r="AG30" s="79"/>
      <c r="AH30" s="79"/>
      <c r="AI30" s="79"/>
      <c r="AJ30" s="79"/>
      <c r="AK30" s="79"/>
      <c r="AL30" s="79"/>
      <c r="AM30" s="266"/>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3" t="s">
        <v>40</v>
      </c>
      <c r="E31" s="254" t="s">
        <v>123</v>
      </c>
      <c r="F31" s="254"/>
      <c r="G31" s="253" t="s">
        <v>125</v>
      </c>
      <c r="H31" s="255" t="str">
        <f>VLOOKUP(A31,'2. Status Detalhe Campos'!$A$7:$G$574,7,0)</f>
        <v>4. Validação EF</v>
      </c>
      <c r="I31" s="229" t="s">
        <v>38</v>
      </c>
      <c r="J31" s="153">
        <v>45593</v>
      </c>
      <c r="K31" s="153">
        <v>45593</v>
      </c>
      <c r="L31" s="280">
        <f t="array" ref="L31">MIN(IF(V31:CH31&gt;0,$V$16:$CH$16))</f>
        <v>45594</v>
      </c>
      <c r="M31" s="279">
        <f t="array" ref="M31">MAX(IF(V31:CH31&gt;0,$V$16:$CH$16))</f>
        <v>45594</v>
      </c>
      <c r="N31" s="277">
        <f>VLOOKUP(H31,Auxiliar!$B$16:$E$24,4,0)</f>
        <v>0.25</v>
      </c>
      <c r="O31" s="277">
        <f t="shared" ca="1" si="11"/>
        <v>1</v>
      </c>
      <c r="P31" s="276">
        <f t="shared" ca="1" si="8"/>
        <v>-0.75</v>
      </c>
      <c r="Q31" s="276"/>
      <c r="R31" s="232" t="s">
        <v>1960</v>
      </c>
      <c r="S31" s="224">
        <v>4.0999999999999996</v>
      </c>
      <c r="T31" s="224">
        <f t="shared" si="9"/>
        <v>0.5</v>
      </c>
      <c r="U31" s="224">
        <f t="shared" ref="U31:U52" si="12">SUM(V31:CH31)-T31</f>
        <v>0</v>
      </c>
      <c r="V31" s="79"/>
      <c r="W31" s="79"/>
      <c r="X31" s="79"/>
      <c r="Y31" s="227"/>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3" t="s">
        <v>40</v>
      </c>
      <c r="E32" s="254" t="s">
        <v>123</v>
      </c>
      <c r="F32" s="254"/>
      <c r="G32" s="253" t="s">
        <v>126</v>
      </c>
      <c r="H32" s="255" t="str">
        <f>VLOOKUP(A32,'2. Status Detalhe Campos'!$A$7:$G$574,7,0)</f>
        <v>4. Validação EF</v>
      </c>
      <c r="I32" s="229" t="s">
        <v>38</v>
      </c>
      <c r="J32" s="153">
        <v>45593</v>
      </c>
      <c r="K32" s="153">
        <v>45593</v>
      </c>
      <c r="L32" s="280">
        <f t="array" ref="L32">MIN(IF(V32:CH32&gt;0,$V$16:$CH$16))</f>
        <v>45595</v>
      </c>
      <c r="M32" s="279">
        <f t="array" ref="M32">MAX(IF(V32:CH32&gt;0,$V$16:$CH$16))</f>
        <v>45595</v>
      </c>
      <c r="N32" s="277">
        <f>VLOOKUP(H32,Auxiliar!$B$16:$E$24,4,0)</f>
        <v>0.25</v>
      </c>
      <c r="O32" s="277">
        <f t="shared" ca="1" si="11"/>
        <v>1</v>
      </c>
      <c r="P32" s="276">
        <f t="shared" ca="1" si="8"/>
        <v>-0.75</v>
      </c>
      <c r="Q32" s="276"/>
      <c r="R32" s="232" t="s">
        <v>1960</v>
      </c>
      <c r="S32" s="224">
        <v>4.0999999999999996</v>
      </c>
      <c r="T32" s="224">
        <f t="shared" si="9"/>
        <v>0.5</v>
      </c>
      <c r="U32" s="224">
        <f t="shared" si="12"/>
        <v>0</v>
      </c>
      <c r="V32" s="79"/>
      <c r="W32" s="79"/>
      <c r="X32" s="79"/>
      <c r="Y32" s="227"/>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3" t="s">
        <v>40</v>
      </c>
      <c r="E33" s="254" t="s">
        <v>123</v>
      </c>
      <c r="F33" s="254"/>
      <c r="G33" s="253" t="s">
        <v>127</v>
      </c>
      <c r="H33" s="255" t="str">
        <f>VLOOKUP(A33,'2. Status Detalhe Campos'!$A$7:$G$574,7,0)</f>
        <v>4. Validação EF</v>
      </c>
      <c r="I33" s="229" t="s">
        <v>38</v>
      </c>
      <c r="J33" s="153">
        <v>45593</v>
      </c>
      <c r="K33" s="153">
        <v>45593</v>
      </c>
      <c r="L33" s="280">
        <f t="array" ref="L33">MIN(IF(V33:CH33&gt;0,$V$16:$CH$16))</f>
        <v>45595</v>
      </c>
      <c r="M33" s="279">
        <f t="array" ref="M33">MAX(IF(V33:CH33&gt;0,$V$16:$CH$16))</f>
        <v>45595</v>
      </c>
      <c r="N33" s="277">
        <f>VLOOKUP(H33,Auxiliar!$B$16:$E$24,4,0)</f>
        <v>0.25</v>
      </c>
      <c r="O33" s="277">
        <f t="shared" ca="1" si="11"/>
        <v>1</v>
      </c>
      <c r="P33" s="276">
        <f t="shared" ca="1" si="8"/>
        <v>-0.75</v>
      </c>
      <c r="Q33" s="276"/>
      <c r="R33" s="232" t="s">
        <v>1960</v>
      </c>
      <c r="S33" s="224">
        <v>4.0999999999999996</v>
      </c>
      <c r="T33" s="224">
        <f t="shared" si="9"/>
        <v>0.5</v>
      </c>
      <c r="U33" s="224">
        <f t="shared" si="12"/>
        <v>0</v>
      </c>
      <c r="V33" s="79"/>
      <c r="W33" s="79"/>
      <c r="X33" s="79"/>
      <c r="Y33" s="227"/>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3" t="s">
        <v>40</v>
      </c>
      <c r="E34" s="254" t="s">
        <v>123</v>
      </c>
      <c r="F34" s="254"/>
      <c r="G34" s="253" t="s">
        <v>128</v>
      </c>
      <c r="H34" s="255" t="str">
        <f>VLOOKUP(A34,'2. Status Detalhe Campos'!$A$7:$G$574,7,0)</f>
        <v>4. Validação EF</v>
      </c>
      <c r="I34" s="229" t="s">
        <v>38</v>
      </c>
      <c r="J34" s="153">
        <v>45593</v>
      </c>
      <c r="K34" s="153">
        <v>45593</v>
      </c>
      <c r="L34" s="280">
        <f t="array" ref="L34">MIN(IF(V34:CH34&gt;0,$V$16:$CH$16))</f>
        <v>45602</v>
      </c>
      <c r="M34" s="279">
        <f t="array" ref="M34">MAX(IF(V34:CH34&gt;0,$V$16:$CH$16))</f>
        <v>45602</v>
      </c>
      <c r="N34" s="277">
        <f>VLOOKUP(H34,Auxiliar!$B$16:$E$24,4,0)</f>
        <v>0.25</v>
      </c>
      <c r="O34" s="277">
        <f t="shared" ca="1" si="11"/>
        <v>1</v>
      </c>
      <c r="P34" s="276">
        <f t="shared" ca="1" si="8"/>
        <v>-0.75</v>
      </c>
      <c r="Q34" s="276"/>
      <c r="R34" s="232" t="s">
        <v>1960</v>
      </c>
      <c r="S34" s="224">
        <v>4.0999999999999996</v>
      </c>
      <c r="T34" s="224">
        <f t="shared" si="9"/>
        <v>0.5</v>
      </c>
      <c r="U34" s="224">
        <f t="shared" si="12"/>
        <v>0</v>
      </c>
      <c r="V34" s="79"/>
      <c r="W34" s="79"/>
      <c r="X34" s="79"/>
      <c r="Y34" s="227"/>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3" t="s">
        <v>40</v>
      </c>
      <c r="E35" s="254" t="s">
        <v>123</v>
      </c>
      <c r="F35" s="254"/>
      <c r="G35" s="253" t="s">
        <v>129</v>
      </c>
      <c r="H35" s="255" t="str">
        <f>VLOOKUP(A35,'2. Status Detalhe Campos'!$A$7:$G$574,7,0)</f>
        <v>4. Validação EF</v>
      </c>
      <c r="I35" s="229" t="s">
        <v>38</v>
      </c>
      <c r="J35" s="153">
        <v>45593</v>
      </c>
      <c r="K35" s="153">
        <v>45593</v>
      </c>
      <c r="L35" s="280">
        <f t="array" ref="L35">MIN(IF(V35:CH35&gt;0,$V$16:$CH$16))</f>
        <v>45602</v>
      </c>
      <c r="M35" s="279">
        <f t="array" ref="M35">MAX(IF(V35:CH35&gt;0,$V$16:$CH$16))</f>
        <v>45602</v>
      </c>
      <c r="N35" s="277">
        <f>VLOOKUP(H35,Auxiliar!$B$16:$E$24,4,0)</f>
        <v>0.25</v>
      </c>
      <c r="O35" s="277">
        <f t="shared" ca="1" si="11"/>
        <v>1</v>
      </c>
      <c r="P35" s="276">
        <f t="shared" ca="1" si="8"/>
        <v>-0.75</v>
      </c>
      <c r="Q35" s="276"/>
      <c r="R35" s="232" t="s">
        <v>1960</v>
      </c>
      <c r="S35" s="224">
        <v>4.0999999999999996</v>
      </c>
      <c r="T35" s="224">
        <f t="shared" si="9"/>
        <v>0.5</v>
      </c>
      <c r="U35" s="224">
        <f t="shared" si="12"/>
        <v>0</v>
      </c>
      <c r="V35" s="79"/>
      <c r="W35" s="79"/>
      <c r="X35" s="79"/>
      <c r="Y35" s="227"/>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3" t="s">
        <v>40</v>
      </c>
      <c r="E36" s="254" t="s">
        <v>123</v>
      </c>
      <c r="F36" s="254"/>
      <c r="G36" s="253" t="s">
        <v>47</v>
      </c>
      <c r="H36" s="255" t="str">
        <f>VLOOKUP(A36,'2. Status Detalhe Campos'!$A$7:$G$574,7,0)</f>
        <v>4. Validação EF</v>
      </c>
      <c r="I36" s="229" t="s">
        <v>38</v>
      </c>
      <c r="J36" s="153">
        <v>45593</v>
      </c>
      <c r="K36" s="153">
        <v>45593</v>
      </c>
      <c r="L36" s="280">
        <f t="array" ref="L36">MIN(IF(V36:CH36&gt;0,$V$16:$CH$16))</f>
        <v>45602</v>
      </c>
      <c r="M36" s="279">
        <f t="array" ref="M36">MAX(IF(V36:CH36&gt;0,$V$16:$CH$16))</f>
        <v>45602</v>
      </c>
      <c r="N36" s="277">
        <f>VLOOKUP(H36,Auxiliar!$B$16:$E$24,4,0)</f>
        <v>0.25</v>
      </c>
      <c r="O36" s="277">
        <f t="shared" ca="1" si="11"/>
        <v>1</v>
      </c>
      <c r="P36" s="276">
        <f t="shared" ca="1" si="8"/>
        <v>-0.75</v>
      </c>
      <c r="Q36" s="276"/>
      <c r="R36" s="232" t="s">
        <v>1960</v>
      </c>
      <c r="S36" s="224">
        <v>4.0999999999999996</v>
      </c>
      <c r="T36" s="224">
        <f t="shared" si="9"/>
        <v>0.5</v>
      </c>
      <c r="U36" s="224">
        <f t="shared" si="12"/>
        <v>0</v>
      </c>
      <c r="V36" s="79"/>
      <c r="W36" s="79"/>
      <c r="X36" s="79"/>
      <c r="Y36" s="227"/>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3" t="s">
        <v>40</v>
      </c>
      <c r="E37" s="254" t="s">
        <v>123</v>
      </c>
      <c r="F37" s="254"/>
      <c r="G37" s="253" t="s">
        <v>132</v>
      </c>
      <c r="H37" s="255" t="str">
        <f>VLOOKUP(A37,'2. Status Detalhe Campos'!$A$7:$G$574,7,0)</f>
        <v>4. Validação EF</v>
      </c>
      <c r="I37" s="229" t="s">
        <v>38</v>
      </c>
      <c r="J37" s="153">
        <v>45593</v>
      </c>
      <c r="K37" s="153">
        <v>45593</v>
      </c>
      <c r="L37" s="280">
        <f t="array" ref="L37">MIN(IF(V37:CH37&gt;0,$V$16:$CH$16))</f>
        <v>45602</v>
      </c>
      <c r="M37" s="279">
        <f t="array" ref="M37">MAX(IF(V37:CH37&gt;0,$V$16:$CH$16))</f>
        <v>45602</v>
      </c>
      <c r="N37" s="277">
        <f>VLOOKUP(H37,Auxiliar!$B$16:$E$24,4,0)</f>
        <v>0.25</v>
      </c>
      <c r="O37" s="277">
        <f t="shared" ca="1" si="11"/>
        <v>1</v>
      </c>
      <c r="P37" s="276">
        <f t="shared" ca="1" si="8"/>
        <v>-0.75</v>
      </c>
      <c r="Q37" s="276"/>
      <c r="R37" s="232" t="s">
        <v>1960</v>
      </c>
      <c r="S37" s="224">
        <v>4.0999999999999996</v>
      </c>
      <c r="T37" s="224">
        <f t="shared" si="9"/>
        <v>0.5</v>
      </c>
      <c r="U37" s="224">
        <f t="shared" si="12"/>
        <v>0</v>
      </c>
      <c r="V37" s="79"/>
      <c r="W37" s="79"/>
      <c r="X37" s="79"/>
      <c r="Y37" s="227"/>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3" t="s">
        <v>40</v>
      </c>
      <c r="E38" s="254" t="s">
        <v>123</v>
      </c>
      <c r="F38" s="254"/>
      <c r="G38" s="253" t="s">
        <v>134</v>
      </c>
      <c r="H38" s="255" t="str">
        <f>VLOOKUP(A38,'2. Status Detalhe Campos'!$A$7:$G$574,7,0)</f>
        <v>4. Validação EF</v>
      </c>
      <c r="I38" s="229" t="s">
        <v>38</v>
      </c>
      <c r="J38" s="153">
        <v>45593</v>
      </c>
      <c r="K38" s="153">
        <v>45593</v>
      </c>
      <c r="L38" s="280">
        <f t="array" ref="L38">MIN(IF(V38:CH38&gt;0,$V$16:$CH$16))</f>
        <v>45603</v>
      </c>
      <c r="M38" s="279">
        <f t="array" ref="M38">MAX(IF(V38:CH38&gt;0,$V$16:$CH$16))</f>
        <v>45603</v>
      </c>
      <c r="N38" s="277">
        <f>VLOOKUP(H38,Auxiliar!$B$16:$E$24,4,0)</f>
        <v>0.25</v>
      </c>
      <c r="O38" s="277">
        <f t="shared" ca="1" si="11"/>
        <v>1</v>
      </c>
      <c r="P38" s="276">
        <f t="shared" ca="1" si="8"/>
        <v>-0.75</v>
      </c>
      <c r="Q38" s="276"/>
      <c r="R38" s="232" t="s">
        <v>1960</v>
      </c>
      <c r="S38" s="224">
        <v>4.0999999999999996</v>
      </c>
      <c r="T38" s="224">
        <f t="shared" si="9"/>
        <v>0.5</v>
      </c>
      <c r="U38" s="224">
        <f t="shared" si="12"/>
        <v>0</v>
      </c>
      <c r="V38" s="79"/>
      <c r="W38" s="79"/>
      <c r="X38" s="79"/>
      <c r="Y38" s="227"/>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3" t="s">
        <v>40</v>
      </c>
      <c r="E39" s="254" t="s">
        <v>123</v>
      </c>
      <c r="F39" s="254"/>
      <c r="G39" s="253" t="s">
        <v>49</v>
      </c>
      <c r="H39" s="255" t="str">
        <f>VLOOKUP(A39,'2. Status Detalhe Campos'!$A$7:$G$574,7,0)</f>
        <v>4. Validação EF</v>
      </c>
      <c r="I39" s="229" t="s">
        <v>38</v>
      </c>
      <c r="J39" s="153">
        <v>45593</v>
      </c>
      <c r="K39" s="153">
        <v>45593</v>
      </c>
      <c r="L39" s="280">
        <f t="array" ref="L39">MIN(IF(V39:CH39&gt;0,$V$16:$CH$16))</f>
        <v>45603</v>
      </c>
      <c r="M39" s="279">
        <f t="array" ref="M39">MAX(IF(V39:CH39&gt;0,$V$16:$CH$16))</f>
        <v>45603</v>
      </c>
      <c r="N39" s="277">
        <f>VLOOKUP(H39,Auxiliar!$B$16:$E$24,4,0)</f>
        <v>0.25</v>
      </c>
      <c r="O39" s="277">
        <f t="shared" ca="1" si="11"/>
        <v>1</v>
      </c>
      <c r="P39" s="276">
        <f t="shared" ca="1" si="8"/>
        <v>-0.75</v>
      </c>
      <c r="Q39" s="276"/>
      <c r="R39" s="232" t="s">
        <v>1960</v>
      </c>
      <c r="S39" s="224">
        <v>4.0999999999999996</v>
      </c>
      <c r="T39" s="224">
        <f t="shared" si="9"/>
        <v>0.5</v>
      </c>
      <c r="U39" s="224">
        <f t="shared" si="12"/>
        <v>0</v>
      </c>
      <c r="V39" s="79"/>
      <c r="W39" s="79"/>
      <c r="X39" s="79"/>
      <c r="Y39" s="227"/>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3" t="s">
        <v>40</v>
      </c>
      <c r="E40" s="254" t="s">
        <v>123</v>
      </c>
      <c r="F40" s="254"/>
      <c r="G40" s="253" t="s">
        <v>87</v>
      </c>
      <c r="H40" s="255" t="str">
        <f>VLOOKUP(A40,'2. Status Detalhe Campos'!$A$7:$G$574,7,0)</f>
        <v>4. Validação EF</v>
      </c>
      <c r="I40" s="229" t="s">
        <v>38</v>
      </c>
      <c r="J40" s="153">
        <v>45593</v>
      </c>
      <c r="K40" s="153">
        <v>45601</v>
      </c>
      <c r="L40" s="280">
        <f t="array" ref="L40">MIN(IF(V40:CH40&gt;0,$V$16:$CH$16))</f>
        <v>45603</v>
      </c>
      <c r="M40" s="279">
        <f t="array" ref="M40">MAX(IF(V40:CH40&gt;0,$V$16:$CH$16))</f>
        <v>45603</v>
      </c>
      <c r="N40" s="277">
        <f>VLOOKUP(H40,Auxiliar!$B$16:$E$24,4,0)</f>
        <v>0.25</v>
      </c>
      <c r="O40" s="277">
        <f t="shared" ca="1" si="11"/>
        <v>1</v>
      </c>
      <c r="P40" s="276">
        <f t="shared" ca="1" si="8"/>
        <v>-0.75</v>
      </c>
      <c r="Q40" s="276"/>
      <c r="R40" s="232" t="s">
        <v>1960</v>
      </c>
      <c r="S40" s="224">
        <v>4.0999999999999996</v>
      </c>
      <c r="T40" s="224">
        <f t="shared" si="9"/>
        <v>0.5</v>
      </c>
      <c r="U40" s="224">
        <f t="shared" si="12"/>
        <v>0</v>
      </c>
      <c r="V40" s="79"/>
      <c r="W40" s="79"/>
      <c r="X40" s="79"/>
      <c r="Y40" s="231"/>
      <c r="Z40" s="79"/>
      <c r="AA40" s="79"/>
      <c r="AB40" s="79"/>
      <c r="AC40" s="92"/>
      <c r="AD40" s="79"/>
      <c r="AE40" s="227"/>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3" t="s">
        <v>40</v>
      </c>
      <c r="E41" s="254" t="s">
        <v>123</v>
      </c>
      <c r="F41" s="254"/>
      <c r="G41" s="253" t="s">
        <v>136</v>
      </c>
      <c r="H41" s="255" t="str">
        <f>VLOOKUP(A41,'2. Status Detalhe Campos'!$A$7:$G$574,7,0)</f>
        <v>4. Validação EF</v>
      </c>
      <c r="I41" s="229" t="s">
        <v>38</v>
      </c>
      <c r="J41" s="153">
        <v>45593</v>
      </c>
      <c r="K41" s="153">
        <v>45593</v>
      </c>
      <c r="L41" s="280">
        <f t="array" ref="L41">MIN(IF(V41:CH41&gt;0,$V$16:$CH$16))</f>
        <v>45603</v>
      </c>
      <c r="M41" s="279">
        <f t="array" ref="M41">MAX(IF(V41:CH41&gt;0,$V$16:$CH$16))</f>
        <v>45603</v>
      </c>
      <c r="N41" s="277">
        <f>VLOOKUP(H41,Auxiliar!$B$16:$E$24,4,0)</f>
        <v>0.25</v>
      </c>
      <c r="O41" s="277">
        <f t="shared" ca="1" si="11"/>
        <v>1</v>
      </c>
      <c r="P41" s="276">
        <f t="shared" ca="1" si="8"/>
        <v>-0.75</v>
      </c>
      <c r="Q41" s="276"/>
      <c r="R41" s="232" t="s">
        <v>1960</v>
      </c>
      <c r="S41" s="224">
        <v>4.0999999999999996</v>
      </c>
      <c r="T41" s="224">
        <f t="shared" si="9"/>
        <v>0.5</v>
      </c>
      <c r="U41" s="224">
        <f t="shared" si="12"/>
        <v>0</v>
      </c>
      <c r="V41" s="79"/>
      <c r="W41" s="79"/>
      <c r="X41" s="79"/>
      <c r="Y41" s="227"/>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3" t="s">
        <v>40</v>
      </c>
      <c r="E42" s="254" t="s">
        <v>123</v>
      </c>
      <c r="F42" s="254"/>
      <c r="G42" s="253" t="s">
        <v>51</v>
      </c>
      <c r="H42" s="255" t="str">
        <f>VLOOKUP(A42,'2. Status Detalhe Campos'!$A$7:$G$574,7,0)</f>
        <v>4. Validação EF</v>
      </c>
      <c r="I42" s="229" t="s">
        <v>38</v>
      </c>
      <c r="J42" s="153">
        <v>45593</v>
      </c>
      <c r="K42" s="153">
        <v>45593</v>
      </c>
      <c r="L42" s="280">
        <f t="array" ref="L42">MIN(IF(V42:CH42&gt;0,$V$16:$CH$16))</f>
        <v>45604</v>
      </c>
      <c r="M42" s="279">
        <f t="array" ref="M42">MAX(IF(V42:CH42&gt;0,$V$16:$CH$16))</f>
        <v>45604</v>
      </c>
      <c r="N42" s="277">
        <f>VLOOKUP(H42,Auxiliar!$B$16:$E$24,4,0)</f>
        <v>0.25</v>
      </c>
      <c r="O42" s="277">
        <f t="shared" ca="1" si="11"/>
        <v>0</v>
      </c>
      <c r="P42" s="276">
        <f t="shared" ca="1" si="8"/>
        <v>0.25</v>
      </c>
      <c r="Q42" s="276"/>
      <c r="R42" s="232" t="s">
        <v>1960</v>
      </c>
      <c r="S42" s="224">
        <v>4.0999999999999996</v>
      </c>
      <c r="T42" s="224">
        <f t="shared" si="9"/>
        <v>0.5</v>
      </c>
      <c r="U42" s="224">
        <f t="shared" si="12"/>
        <v>0</v>
      </c>
      <c r="V42" s="79"/>
      <c r="W42" s="79"/>
      <c r="X42" s="79"/>
      <c r="Y42" s="227"/>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3" t="s">
        <v>40</v>
      </c>
      <c r="E43" s="254" t="s">
        <v>123</v>
      </c>
      <c r="F43" s="254"/>
      <c r="G43" s="253" t="s">
        <v>52</v>
      </c>
      <c r="H43" s="255" t="str">
        <f>VLOOKUP(A43,'2. Status Detalhe Campos'!$A$7:$G$574,7,0)</f>
        <v>4. Validação EF</v>
      </c>
      <c r="I43" s="229" t="s">
        <v>38</v>
      </c>
      <c r="J43" s="153">
        <v>45593</v>
      </c>
      <c r="K43" s="153">
        <v>45593</v>
      </c>
      <c r="L43" s="280">
        <f t="array" ref="L43">MIN(IF(V43:CH43&gt;0,$V$16:$CH$16))</f>
        <v>45604</v>
      </c>
      <c r="M43" s="279">
        <f t="array" ref="M43">MAX(IF(V43:CH43&gt;0,$V$16:$CH$16))</f>
        <v>45604</v>
      </c>
      <c r="N43" s="277">
        <f>VLOOKUP(H43,Auxiliar!$B$16:$E$24,4,0)</f>
        <v>0.25</v>
      </c>
      <c r="O43" s="277">
        <f t="shared" ca="1" si="11"/>
        <v>0</v>
      </c>
      <c r="P43" s="276">
        <f t="shared" ca="1" si="8"/>
        <v>0.25</v>
      </c>
      <c r="Q43" s="276"/>
      <c r="R43" s="232" t="s">
        <v>1960</v>
      </c>
      <c r="S43" s="224">
        <v>4.0999999999999996</v>
      </c>
      <c r="T43" s="224">
        <f t="shared" si="9"/>
        <v>0.5</v>
      </c>
      <c r="U43" s="224">
        <f t="shared" si="12"/>
        <v>0</v>
      </c>
      <c r="V43" s="79"/>
      <c r="W43" s="79"/>
      <c r="X43" s="79"/>
      <c r="Y43" s="227"/>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3" t="s">
        <v>40</v>
      </c>
      <c r="E44" s="254" t="s">
        <v>123</v>
      </c>
      <c r="F44" s="254"/>
      <c r="G44" s="253" t="s">
        <v>160</v>
      </c>
      <c r="H44" s="255" t="str">
        <f>VLOOKUP(A44,'2. Status Detalhe Campos'!$A$7:$G$574,7,0)</f>
        <v>4. Validação EF</v>
      </c>
      <c r="I44" s="229" t="s">
        <v>38</v>
      </c>
      <c r="J44" s="153">
        <v>45593</v>
      </c>
      <c r="K44" s="153">
        <v>45593</v>
      </c>
      <c r="L44" s="280">
        <f t="array" ref="L44">MIN(IF(V44:CH44&gt;0,$V$16:$CH$16))</f>
        <v>45604</v>
      </c>
      <c r="M44" s="279">
        <f t="array" ref="M44">MAX(IF(V44:CH44&gt;0,$V$16:$CH$16))</f>
        <v>45604</v>
      </c>
      <c r="N44" s="277">
        <f>VLOOKUP(H44,Auxiliar!$B$16:$E$24,4,0)</f>
        <v>0.25</v>
      </c>
      <c r="O44" s="277">
        <f t="shared" ca="1" si="11"/>
        <v>0</v>
      </c>
      <c r="P44" s="276">
        <f t="shared" ca="1" si="8"/>
        <v>0.25</v>
      </c>
      <c r="Q44" s="276"/>
      <c r="R44" s="232" t="s">
        <v>1960</v>
      </c>
      <c r="S44" s="224">
        <v>4.0999999999999996</v>
      </c>
      <c r="T44" s="224">
        <f t="shared" si="9"/>
        <v>0.5</v>
      </c>
      <c r="U44" s="224">
        <f t="shared" si="12"/>
        <v>0</v>
      </c>
      <c r="V44" s="79"/>
      <c r="W44" s="79"/>
      <c r="X44" s="79"/>
      <c r="Y44" s="227"/>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3" t="s">
        <v>40</v>
      </c>
      <c r="E45" s="254" t="s">
        <v>123</v>
      </c>
      <c r="F45" s="254"/>
      <c r="G45" s="253" t="s">
        <v>164</v>
      </c>
      <c r="H45" s="255" t="str">
        <f>VLOOKUP(A45,'2. Status Detalhe Campos'!$A$7:$G$574,7,0)</f>
        <v>4. Validação EF</v>
      </c>
      <c r="I45" s="229" t="s">
        <v>38</v>
      </c>
      <c r="J45" s="153">
        <v>45593</v>
      </c>
      <c r="K45" s="153">
        <v>45593</v>
      </c>
      <c r="L45" s="280">
        <f t="array" ref="L45">MIN(IF(V45:CH45&gt;0,$V$16:$CH$16))</f>
        <v>45604</v>
      </c>
      <c r="M45" s="279">
        <f t="array" ref="M45">MAX(IF(V45:CH45&gt;0,$V$16:$CH$16))</f>
        <v>45604</v>
      </c>
      <c r="N45" s="277">
        <f>VLOOKUP(H45,Auxiliar!$B$16:$E$24,4,0)</f>
        <v>0.25</v>
      </c>
      <c r="O45" s="277">
        <f t="shared" ca="1" si="11"/>
        <v>0</v>
      </c>
      <c r="P45" s="276">
        <f t="shared" ca="1" si="8"/>
        <v>0.25</v>
      </c>
      <c r="Q45" s="276"/>
      <c r="R45" s="232" t="s">
        <v>1960</v>
      </c>
      <c r="S45" s="224">
        <v>4.0999999999999996</v>
      </c>
      <c r="T45" s="224">
        <f t="shared" si="9"/>
        <v>0.5</v>
      </c>
      <c r="U45" s="224">
        <f t="shared" si="12"/>
        <v>0</v>
      </c>
      <c r="V45" s="79"/>
      <c r="W45" s="79"/>
      <c r="X45" s="79"/>
      <c r="Y45" s="227"/>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3" t="s">
        <v>40</v>
      </c>
      <c r="E46" s="254" t="s">
        <v>123</v>
      </c>
      <c r="F46" s="254"/>
      <c r="G46" s="253" t="s">
        <v>97</v>
      </c>
      <c r="H46" s="255" t="str">
        <f>VLOOKUP(A46,'2. Status Detalhe Campos'!$A$7:$G$574,7,0)</f>
        <v>4. Validação EF</v>
      </c>
      <c r="I46" s="229" t="s">
        <v>38</v>
      </c>
      <c r="J46" s="153">
        <v>45593</v>
      </c>
      <c r="K46" s="153">
        <v>45593</v>
      </c>
      <c r="L46" s="280">
        <f t="array" ref="L46">MIN(IF(V46:CH46&gt;0,$V$16:$CH$16))</f>
        <v>45607</v>
      </c>
      <c r="M46" s="279">
        <f t="array" ref="M46">MAX(IF(V46:CH46&gt;0,$V$16:$CH$16))</f>
        <v>45607</v>
      </c>
      <c r="N46" s="277">
        <f>VLOOKUP(H46,Auxiliar!$B$16:$E$24,4,0)</f>
        <v>0.25</v>
      </c>
      <c r="O46" s="277">
        <f t="shared" ca="1" si="11"/>
        <v>0</v>
      </c>
      <c r="P46" s="276">
        <f t="shared" ca="1" si="8"/>
        <v>0.25</v>
      </c>
      <c r="Q46" s="276"/>
      <c r="R46" s="232" t="s">
        <v>1960</v>
      </c>
      <c r="S46" s="224">
        <v>4.0999999999999996</v>
      </c>
      <c r="T46" s="224">
        <f t="shared" si="9"/>
        <v>0.5</v>
      </c>
      <c r="U46" s="224">
        <f t="shared" si="12"/>
        <v>0</v>
      </c>
      <c r="V46" s="79"/>
      <c r="W46" s="79"/>
      <c r="X46" s="79"/>
      <c r="Y46" s="227"/>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3" t="s">
        <v>40</v>
      </c>
      <c r="E47" s="254" t="s">
        <v>123</v>
      </c>
      <c r="F47" s="254"/>
      <c r="G47" s="253" t="s">
        <v>98</v>
      </c>
      <c r="H47" s="255" t="str">
        <f>VLOOKUP(A47,'2. Status Detalhe Campos'!$A$7:$G$574,7,0)</f>
        <v>4. Validação EF</v>
      </c>
      <c r="I47" s="229" t="s">
        <v>38</v>
      </c>
      <c r="J47" s="153">
        <v>45593</v>
      </c>
      <c r="K47" s="153">
        <v>45593</v>
      </c>
      <c r="L47" s="280">
        <f t="array" ref="L47">MIN(IF(V47:CH47&gt;0,$V$16:$CH$16))</f>
        <v>45607</v>
      </c>
      <c r="M47" s="279">
        <f t="array" ref="M47">MAX(IF(V47:CH47&gt;0,$V$16:$CH$16))</f>
        <v>45607</v>
      </c>
      <c r="N47" s="277">
        <f>VLOOKUP(H47,Auxiliar!$B$16:$E$24,4,0)</f>
        <v>0.25</v>
      </c>
      <c r="O47" s="277">
        <f t="shared" ca="1" si="11"/>
        <v>0</v>
      </c>
      <c r="P47" s="276">
        <f t="shared" ca="1" si="8"/>
        <v>0.25</v>
      </c>
      <c r="Q47" s="276"/>
      <c r="R47" s="232" t="s">
        <v>1960</v>
      </c>
      <c r="S47" s="224">
        <v>4.0999999999999996</v>
      </c>
      <c r="T47" s="224">
        <f t="shared" si="9"/>
        <v>0.5</v>
      </c>
      <c r="U47" s="224">
        <f t="shared" si="12"/>
        <v>0</v>
      </c>
      <c r="V47" s="79"/>
      <c r="W47" s="79"/>
      <c r="X47" s="79"/>
      <c r="Y47" s="227"/>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3" t="s">
        <v>40</v>
      </c>
      <c r="E48" s="254" t="s">
        <v>123</v>
      </c>
      <c r="F48" s="254"/>
      <c r="G48" s="253" t="s">
        <v>101</v>
      </c>
      <c r="H48" s="255" t="str">
        <f>VLOOKUP(A48,'2. Status Detalhe Campos'!$A$7:$G$574,7,0)</f>
        <v>4. Validação EF</v>
      </c>
      <c r="I48" s="229" t="s">
        <v>38</v>
      </c>
      <c r="J48" s="153">
        <v>45593</v>
      </c>
      <c r="K48" s="153">
        <v>45593</v>
      </c>
      <c r="L48" s="280">
        <f t="array" ref="L48">MIN(IF(V48:CH48&gt;0,$V$16:$CH$16))</f>
        <v>45607</v>
      </c>
      <c r="M48" s="279">
        <f t="array" ref="M48">MAX(IF(V48:CH48&gt;0,$V$16:$CH$16))</f>
        <v>45607</v>
      </c>
      <c r="N48" s="277">
        <f>VLOOKUP(H48,Auxiliar!$B$16:$E$24,4,0)</f>
        <v>0.25</v>
      </c>
      <c r="O48" s="277">
        <f t="shared" ca="1" si="11"/>
        <v>0</v>
      </c>
      <c r="P48" s="276">
        <f t="shared" ca="1" si="8"/>
        <v>0.25</v>
      </c>
      <c r="Q48" s="276"/>
      <c r="R48" s="232" t="s">
        <v>1960</v>
      </c>
      <c r="S48" s="224">
        <v>4.0999999999999996</v>
      </c>
      <c r="T48" s="224">
        <f t="shared" si="9"/>
        <v>0.5</v>
      </c>
      <c r="U48" s="224">
        <f t="shared" si="12"/>
        <v>0</v>
      </c>
      <c r="V48" s="79"/>
      <c r="W48" s="79"/>
      <c r="X48" s="79"/>
      <c r="Y48" s="227"/>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3" t="s">
        <v>40</v>
      </c>
      <c r="E49" s="254" t="s">
        <v>123</v>
      </c>
      <c r="F49" s="254"/>
      <c r="G49" s="253" t="s">
        <v>102</v>
      </c>
      <c r="H49" s="255" t="str">
        <f>VLOOKUP(A49,'2. Status Detalhe Campos'!$A$7:$G$574,7,0)</f>
        <v>4. Validação EF</v>
      </c>
      <c r="I49" s="229" t="s">
        <v>38</v>
      </c>
      <c r="J49" s="153">
        <v>45593</v>
      </c>
      <c r="K49" s="153">
        <v>45593</v>
      </c>
      <c r="L49" s="280">
        <f t="array" ref="L49">MIN(IF(V49:CH49&gt;0,$V$16:$CH$16))</f>
        <v>45607</v>
      </c>
      <c r="M49" s="279">
        <f t="array" ref="M49">MAX(IF(V49:CH49&gt;0,$V$16:$CH$16))</f>
        <v>45607</v>
      </c>
      <c r="N49" s="277">
        <f>VLOOKUP(H49,Auxiliar!$B$16:$E$24,4,0)</f>
        <v>0.25</v>
      </c>
      <c r="O49" s="277">
        <f t="shared" ca="1" si="11"/>
        <v>0</v>
      </c>
      <c r="P49" s="276">
        <f t="shared" ca="1" si="8"/>
        <v>0.25</v>
      </c>
      <c r="Q49" s="276"/>
      <c r="R49" s="232" t="s">
        <v>1960</v>
      </c>
      <c r="S49" s="224">
        <v>4.0999999999999996</v>
      </c>
      <c r="T49" s="224">
        <f t="shared" si="9"/>
        <v>0.5</v>
      </c>
      <c r="U49" s="224">
        <f t="shared" si="12"/>
        <v>0</v>
      </c>
      <c r="V49" s="79"/>
      <c r="W49" s="79"/>
      <c r="X49" s="79"/>
      <c r="Y49" s="227"/>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3" t="s">
        <v>40</v>
      </c>
      <c r="E50" s="254" t="s">
        <v>123</v>
      </c>
      <c r="F50" s="254"/>
      <c r="G50" s="253" t="s">
        <v>104</v>
      </c>
      <c r="H50" s="255" t="str">
        <f>VLOOKUP(A50,'2. Status Detalhe Campos'!$A$7:$G$574,7,0)</f>
        <v>4. Validação EF</v>
      </c>
      <c r="I50" s="229" t="s">
        <v>38</v>
      </c>
      <c r="J50" s="153">
        <v>45593</v>
      </c>
      <c r="K50" s="153">
        <v>45593</v>
      </c>
      <c r="L50" s="280">
        <f t="array" ref="L50">MIN(IF(V50:CH50&gt;0,$V$16:$CH$16))</f>
        <v>45608</v>
      </c>
      <c r="M50" s="279">
        <f t="array" ref="M50">MAX(IF(V50:CH50&gt;0,$V$16:$CH$16))</f>
        <v>45608</v>
      </c>
      <c r="N50" s="277">
        <f>VLOOKUP(H50,Auxiliar!$B$16:$E$24,4,0)</f>
        <v>0.25</v>
      </c>
      <c r="O50" s="277">
        <f t="shared" ca="1" si="11"/>
        <v>0</v>
      </c>
      <c r="P50" s="276">
        <f t="shared" ca="1" si="8"/>
        <v>0.25</v>
      </c>
      <c r="Q50" s="276"/>
      <c r="R50" s="232" t="s">
        <v>1960</v>
      </c>
      <c r="S50" s="224">
        <v>4.0999999999999996</v>
      </c>
      <c r="T50" s="224">
        <f t="shared" si="9"/>
        <v>0.5</v>
      </c>
      <c r="U50" s="224">
        <f t="shared" si="12"/>
        <v>0</v>
      </c>
      <c r="V50" s="79"/>
      <c r="W50" s="79"/>
      <c r="X50" s="79"/>
      <c r="Y50" s="227"/>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3" t="s">
        <v>40</v>
      </c>
      <c r="E51" s="254" t="s">
        <v>123</v>
      </c>
      <c r="F51" s="254"/>
      <c r="G51" s="253" t="s">
        <v>111</v>
      </c>
      <c r="H51" s="255" t="str">
        <f>VLOOKUP(A51,'2. Status Detalhe Campos'!$A$7:$G$574,7,0)</f>
        <v>4. Validação EF</v>
      </c>
      <c r="I51" s="229" t="s">
        <v>38</v>
      </c>
      <c r="J51" s="153">
        <v>45593</v>
      </c>
      <c r="K51" s="153">
        <v>45593</v>
      </c>
      <c r="L51" s="280">
        <f t="array" ref="L51">MIN(IF(V51:CH51&gt;0,$V$16:$CH$16))</f>
        <v>45608</v>
      </c>
      <c r="M51" s="279">
        <f t="array" ref="M51">MAX(IF(V51:CH51&gt;0,$V$16:$CH$16))</f>
        <v>45608</v>
      </c>
      <c r="N51" s="277">
        <f>VLOOKUP(H51,Auxiliar!$B$16:$E$24,4,0)</f>
        <v>0.25</v>
      </c>
      <c r="O51" s="277">
        <f t="shared" ca="1" si="11"/>
        <v>0</v>
      </c>
      <c r="P51" s="276">
        <f t="shared" ca="1" si="8"/>
        <v>0.25</v>
      </c>
      <c r="Q51" s="276"/>
      <c r="R51" s="232" t="s">
        <v>1960</v>
      </c>
      <c r="S51" s="224">
        <v>4.0999999999999996</v>
      </c>
      <c r="T51" s="224">
        <f t="shared" si="9"/>
        <v>0.5</v>
      </c>
      <c r="U51" s="224">
        <f t="shared" si="12"/>
        <v>0</v>
      </c>
      <c r="V51" s="79"/>
      <c r="W51" s="79"/>
      <c r="X51" s="79"/>
      <c r="Y51" s="227"/>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3" t="s">
        <v>40</v>
      </c>
      <c r="E52" s="254" t="s">
        <v>123</v>
      </c>
      <c r="F52" s="254"/>
      <c r="G52" s="253" t="s">
        <v>112</v>
      </c>
      <c r="H52" s="255" t="str">
        <f>VLOOKUP(A52,'2. Status Detalhe Campos'!$A$7:$G$574,7,0)</f>
        <v>4. Validação EF</v>
      </c>
      <c r="I52" s="229" t="s">
        <v>38</v>
      </c>
      <c r="J52" s="153">
        <v>45593</v>
      </c>
      <c r="K52" s="153">
        <v>45593</v>
      </c>
      <c r="L52" s="280">
        <f t="array" ref="L52">MIN(IF(V52:CH52&gt;0,$V$16:$CH$16))</f>
        <v>45608</v>
      </c>
      <c r="M52" s="279">
        <f t="array" ref="M52">MAX(IF(V52:CH52&gt;0,$V$16:$CH$16))</f>
        <v>45608</v>
      </c>
      <c r="N52" s="277">
        <f>VLOOKUP(H52,Auxiliar!$B$16:$E$24,4,0)</f>
        <v>0.25</v>
      </c>
      <c r="O52" s="277">
        <f t="shared" ca="1" si="11"/>
        <v>0</v>
      </c>
      <c r="P52" s="276">
        <f t="shared" ca="1" si="8"/>
        <v>0.25</v>
      </c>
      <c r="Q52" s="276"/>
      <c r="R52" s="232" t="s">
        <v>1960</v>
      </c>
      <c r="S52" s="224">
        <v>4.0999999999999996</v>
      </c>
      <c r="T52" s="224">
        <f t="shared" si="9"/>
        <v>0.5</v>
      </c>
      <c r="U52" s="224">
        <f t="shared" si="12"/>
        <v>0</v>
      </c>
      <c r="V52" s="79"/>
      <c r="W52" s="79"/>
      <c r="X52" s="79"/>
      <c r="Y52" s="227"/>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60" t="s">
        <v>182</v>
      </c>
      <c r="F53" s="260" t="s">
        <v>1989</v>
      </c>
      <c r="G53" s="261">
        <f>COUNTA(G54:G69)</f>
        <v>16</v>
      </c>
      <c r="H53" s="136"/>
      <c r="I53" s="229" t="s">
        <v>38</v>
      </c>
      <c r="J53" s="258">
        <f>MIN(J54:J69)</f>
        <v>45603</v>
      </c>
      <c r="K53" s="258"/>
      <c r="L53" s="258">
        <f>MIN(L54:L69)</f>
        <v>45609</v>
      </c>
      <c r="M53" s="258">
        <f t="shared" ref="M53" si="13">MIN(M54:M69)</f>
        <v>45609</v>
      </c>
      <c r="N53" s="282">
        <f>SUMPRODUCT(N54:N69,T54:T69)/SUM(T54:T69)</f>
        <v>0.25</v>
      </c>
      <c r="O53" s="282">
        <f ca="1">SUMPRODUCT(O54:O69,T54:T69)/SUM(T54:T69)</f>
        <v>0</v>
      </c>
      <c r="P53" s="276">
        <f t="shared" ca="1" si="8"/>
        <v>0.25</v>
      </c>
      <c r="Q53" s="288" t="s">
        <v>38</v>
      </c>
      <c r="R53" s="230"/>
      <c r="S53" s="224"/>
      <c r="T53" s="224"/>
      <c r="U53" s="224"/>
      <c r="V53" s="79"/>
      <c r="W53" s="79"/>
      <c r="X53" s="79"/>
      <c r="Y53" s="79"/>
      <c r="Z53" s="79"/>
      <c r="AA53" s="79"/>
      <c r="AB53" s="79"/>
      <c r="AC53" s="92"/>
      <c r="AD53" s="79"/>
      <c r="AE53" s="79"/>
      <c r="AF53" s="79"/>
      <c r="AG53" s="231"/>
      <c r="AH53" s="79"/>
      <c r="AI53" s="79"/>
      <c r="AJ53" s="79"/>
      <c r="AK53" s="79"/>
      <c r="AL53" s="79"/>
      <c r="AM53" s="266"/>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3" t="s">
        <v>40</v>
      </c>
      <c r="E54" s="254" t="s">
        <v>182</v>
      </c>
      <c r="F54" s="254"/>
      <c r="G54" s="253" t="s">
        <v>191</v>
      </c>
      <c r="H54" s="255" t="str">
        <f>VLOOKUP(A54,'2. Status Detalhe Campos'!$A$7:$G$574,7,0)</f>
        <v>2.1 Em Teste</v>
      </c>
      <c r="I54" s="229" t="s">
        <v>38</v>
      </c>
      <c r="J54" s="153">
        <v>45603</v>
      </c>
      <c r="K54" s="229"/>
      <c r="L54" s="280">
        <f t="array" ref="L54">MIN(IF(V54:CH54&gt;0,$V$16:$CH$16))</f>
        <v>45609</v>
      </c>
      <c r="M54" s="279">
        <f t="array" ref="M54">MAX(IF(V54:CH54&gt;0,$V$16:$CH$16))</f>
        <v>45609</v>
      </c>
      <c r="N54" s="277">
        <f>VLOOKUP(H54,Auxiliar!$B$16:$E$24,4,0)</f>
        <v>0.25</v>
      </c>
      <c r="O54" s="277">
        <f t="shared" ref="O54:O69" ca="1" si="14">IF(TODAY()&lt;=L54,0,MIN((TODAY()-L54)/(M54-L54+1),100%))</f>
        <v>0</v>
      </c>
      <c r="P54" s="276">
        <f t="shared" ca="1" si="8"/>
        <v>0.25</v>
      </c>
      <c r="Q54" s="288" t="s">
        <v>38</v>
      </c>
      <c r="R54" s="230"/>
      <c r="S54" s="224">
        <v>0.6</v>
      </c>
      <c r="T54" s="224">
        <f t="shared" si="9"/>
        <v>0.1</v>
      </c>
      <c r="U54" s="224">
        <f t="shared" ref="U54:U69" si="15">SUM(V54:CH54)-T54</f>
        <v>0</v>
      </c>
      <c r="V54" s="79"/>
      <c r="W54" s="79"/>
      <c r="X54" s="79"/>
      <c r="Y54" s="79"/>
      <c r="Z54" s="79"/>
      <c r="AA54" s="79"/>
      <c r="AB54" s="79"/>
      <c r="AC54" s="92"/>
      <c r="AD54" s="79"/>
      <c r="AE54" s="79"/>
      <c r="AF54" s="79"/>
      <c r="AG54" s="231"/>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3" t="s">
        <v>40</v>
      </c>
      <c r="E55" s="254" t="s">
        <v>182</v>
      </c>
      <c r="F55" s="254"/>
      <c r="G55" s="253" t="s">
        <v>192</v>
      </c>
      <c r="H55" s="255" t="str">
        <f>VLOOKUP(A55,'2. Status Detalhe Campos'!$A$7:$G$574,7,0)</f>
        <v>2.1 Em Teste</v>
      </c>
      <c r="I55" s="229" t="s">
        <v>38</v>
      </c>
      <c r="J55" s="153">
        <v>45603</v>
      </c>
      <c r="K55" s="229"/>
      <c r="L55" s="280">
        <f t="array" ref="L55">MIN(IF(V55:CH55&gt;0,$V$16:$CH$16))</f>
        <v>45609</v>
      </c>
      <c r="M55" s="279">
        <f t="array" ref="M55">MAX(IF(V55:CH55&gt;0,$V$16:$CH$16))</f>
        <v>45609</v>
      </c>
      <c r="N55" s="277">
        <f>VLOOKUP(H55,Auxiliar!$B$16:$E$24,4,0)</f>
        <v>0.25</v>
      </c>
      <c r="O55" s="277">
        <f t="shared" ca="1" si="14"/>
        <v>0</v>
      </c>
      <c r="P55" s="276">
        <f t="shared" ca="1" si="8"/>
        <v>0.25</v>
      </c>
      <c r="Q55" s="288" t="s">
        <v>38</v>
      </c>
      <c r="R55" s="230"/>
      <c r="S55" s="224">
        <v>0.6</v>
      </c>
      <c r="T55" s="224">
        <f t="shared" si="9"/>
        <v>0.1</v>
      </c>
      <c r="U55" s="224">
        <f t="shared" si="15"/>
        <v>0</v>
      </c>
      <c r="V55" s="79"/>
      <c r="W55" s="79"/>
      <c r="X55" s="79"/>
      <c r="Y55" s="79"/>
      <c r="Z55" s="79"/>
      <c r="AA55" s="79"/>
      <c r="AB55" s="79"/>
      <c r="AC55" s="92"/>
      <c r="AD55" s="79"/>
      <c r="AE55" s="79"/>
      <c r="AF55" s="79"/>
      <c r="AG55" s="231"/>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3" t="s">
        <v>40</v>
      </c>
      <c r="E56" s="254" t="s">
        <v>182</v>
      </c>
      <c r="F56" s="254"/>
      <c r="G56" s="253" t="s">
        <v>193</v>
      </c>
      <c r="H56" s="255" t="str">
        <f>VLOOKUP(A56,'2. Status Detalhe Campos'!$A$7:$G$574,7,0)</f>
        <v>2.1 Em Teste</v>
      </c>
      <c r="I56" s="229" t="s">
        <v>38</v>
      </c>
      <c r="J56" s="153">
        <v>45603</v>
      </c>
      <c r="K56" s="229"/>
      <c r="L56" s="280">
        <f t="array" ref="L56">MIN(IF(V56:CH56&gt;0,$V$16:$CH$16))</f>
        <v>45609</v>
      </c>
      <c r="M56" s="279">
        <f t="array" ref="M56">MAX(IF(V56:CH56&gt;0,$V$16:$CH$16))</f>
        <v>45609</v>
      </c>
      <c r="N56" s="277">
        <f>VLOOKUP(H56,Auxiliar!$B$16:$E$24,4,0)</f>
        <v>0.25</v>
      </c>
      <c r="O56" s="277">
        <f t="shared" ca="1" si="14"/>
        <v>0</v>
      </c>
      <c r="P56" s="276">
        <f t="shared" ca="1" si="8"/>
        <v>0.25</v>
      </c>
      <c r="Q56" s="288" t="s">
        <v>38</v>
      </c>
      <c r="R56" s="230"/>
      <c r="S56" s="224">
        <v>0.6</v>
      </c>
      <c r="T56" s="224">
        <f t="shared" si="9"/>
        <v>0.1</v>
      </c>
      <c r="U56" s="224">
        <f t="shared" si="15"/>
        <v>0</v>
      </c>
      <c r="V56" s="79"/>
      <c r="W56" s="79"/>
      <c r="X56" s="79"/>
      <c r="Y56" s="79"/>
      <c r="Z56" s="79"/>
      <c r="AA56" s="79"/>
      <c r="AB56" s="79"/>
      <c r="AC56" s="92"/>
      <c r="AD56" s="79"/>
      <c r="AE56" s="79"/>
      <c r="AF56" s="79"/>
      <c r="AG56" s="231"/>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3" t="s">
        <v>40</v>
      </c>
      <c r="E57" s="254" t="s">
        <v>182</v>
      </c>
      <c r="F57" s="254"/>
      <c r="G57" s="253" t="s">
        <v>194</v>
      </c>
      <c r="H57" s="255" t="str">
        <f>VLOOKUP(A57,'2. Status Detalhe Campos'!$A$7:$G$574,7,0)</f>
        <v>2.1 Em Teste</v>
      </c>
      <c r="I57" s="229" t="s">
        <v>38</v>
      </c>
      <c r="J57" s="153">
        <v>45603</v>
      </c>
      <c r="K57" s="229"/>
      <c r="L57" s="280">
        <f t="array" ref="L57">MIN(IF(V57:CH57&gt;0,$V$16:$CH$16))</f>
        <v>45609</v>
      </c>
      <c r="M57" s="279">
        <f t="array" ref="M57">MAX(IF(V57:CH57&gt;0,$V$16:$CH$16))</f>
        <v>45609</v>
      </c>
      <c r="N57" s="277">
        <f>VLOOKUP(H57,Auxiliar!$B$16:$E$24,4,0)</f>
        <v>0.25</v>
      </c>
      <c r="O57" s="277">
        <f t="shared" ca="1" si="14"/>
        <v>0</v>
      </c>
      <c r="P57" s="276">
        <f t="shared" ca="1" si="8"/>
        <v>0.25</v>
      </c>
      <c r="Q57" s="288" t="s">
        <v>38</v>
      </c>
      <c r="R57" s="230"/>
      <c r="S57" s="224">
        <v>0.6</v>
      </c>
      <c r="T57" s="224">
        <f t="shared" si="9"/>
        <v>0.1</v>
      </c>
      <c r="U57" s="224">
        <f t="shared" si="15"/>
        <v>0</v>
      </c>
      <c r="V57" s="79"/>
      <c r="W57" s="79"/>
      <c r="X57" s="79"/>
      <c r="Y57" s="79"/>
      <c r="Z57" s="79"/>
      <c r="AA57" s="79"/>
      <c r="AB57" s="79"/>
      <c r="AC57" s="92"/>
      <c r="AD57" s="79"/>
      <c r="AE57" s="79"/>
      <c r="AF57" s="79"/>
      <c r="AG57" s="231"/>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3" t="s">
        <v>40</v>
      </c>
      <c r="E58" s="254" t="s">
        <v>182</v>
      </c>
      <c r="F58" s="254"/>
      <c r="G58" s="253" t="s">
        <v>195</v>
      </c>
      <c r="H58" s="255" t="str">
        <f>VLOOKUP(A58,'2. Status Detalhe Campos'!$A$7:$G$574,7,0)</f>
        <v>2.1 Em Teste</v>
      </c>
      <c r="I58" s="229" t="s">
        <v>38</v>
      </c>
      <c r="J58" s="153">
        <v>45603</v>
      </c>
      <c r="K58" s="229"/>
      <c r="L58" s="280">
        <f t="array" ref="L58">MIN(IF(V58:CH58&gt;0,$V$16:$CH$16))</f>
        <v>45609</v>
      </c>
      <c r="M58" s="279">
        <f t="array" ref="M58">MAX(IF(V58:CH58&gt;0,$V$16:$CH$16))</f>
        <v>45609</v>
      </c>
      <c r="N58" s="277">
        <f>VLOOKUP(H58,Auxiliar!$B$16:$E$24,4,0)</f>
        <v>0.25</v>
      </c>
      <c r="O58" s="277">
        <f t="shared" ca="1" si="14"/>
        <v>0</v>
      </c>
      <c r="P58" s="276">
        <f t="shared" ca="1" si="8"/>
        <v>0.25</v>
      </c>
      <c r="Q58" s="288" t="s">
        <v>38</v>
      </c>
      <c r="R58" s="230"/>
      <c r="S58" s="224">
        <v>0.6</v>
      </c>
      <c r="T58" s="224">
        <f t="shared" si="9"/>
        <v>0.1</v>
      </c>
      <c r="U58" s="224">
        <f t="shared" si="15"/>
        <v>0</v>
      </c>
      <c r="V58" s="79"/>
      <c r="W58" s="79"/>
      <c r="X58" s="79"/>
      <c r="Y58" s="79"/>
      <c r="Z58" s="79"/>
      <c r="AA58" s="79"/>
      <c r="AB58" s="79"/>
      <c r="AC58" s="92"/>
      <c r="AD58" s="79"/>
      <c r="AE58" s="79"/>
      <c r="AF58" s="79"/>
      <c r="AG58" s="231"/>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3" t="s">
        <v>40</v>
      </c>
      <c r="E59" s="254" t="s">
        <v>182</v>
      </c>
      <c r="F59" s="254"/>
      <c r="G59" s="253" t="s">
        <v>199</v>
      </c>
      <c r="H59" s="255" t="str">
        <f>VLOOKUP(A59,'2. Status Detalhe Campos'!$A$7:$G$574,7,0)</f>
        <v>2.1 Em Teste</v>
      </c>
      <c r="I59" s="229" t="s">
        <v>38</v>
      </c>
      <c r="J59" s="153">
        <v>45603</v>
      </c>
      <c r="K59" s="229"/>
      <c r="L59" s="280">
        <f t="array" ref="L59">MIN(IF(V59:CH59&gt;0,$V$16:$CH$16))</f>
        <v>45609</v>
      </c>
      <c r="M59" s="279">
        <f t="array" ref="M59">MAX(IF(V59:CH59&gt;0,$V$16:$CH$16))</f>
        <v>45609</v>
      </c>
      <c r="N59" s="277">
        <f>VLOOKUP(H59,Auxiliar!$B$16:$E$24,4,0)</f>
        <v>0.25</v>
      </c>
      <c r="O59" s="277">
        <f t="shared" ca="1" si="14"/>
        <v>0</v>
      </c>
      <c r="P59" s="276">
        <f t="shared" ca="1" si="8"/>
        <v>0.25</v>
      </c>
      <c r="Q59" s="288" t="s">
        <v>38</v>
      </c>
      <c r="R59" s="230"/>
      <c r="S59" s="224">
        <v>0.6</v>
      </c>
      <c r="T59" s="224">
        <f t="shared" si="9"/>
        <v>0.1</v>
      </c>
      <c r="U59" s="224">
        <f t="shared" si="15"/>
        <v>0</v>
      </c>
      <c r="V59" s="79"/>
      <c r="W59" s="79"/>
      <c r="X59" s="79"/>
      <c r="Y59" s="79"/>
      <c r="Z59" s="79"/>
      <c r="AA59" s="79"/>
      <c r="AB59" s="79"/>
      <c r="AC59" s="92"/>
      <c r="AD59" s="79"/>
      <c r="AE59" s="79"/>
      <c r="AF59" s="79"/>
      <c r="AG59" s="231"/>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3" t="s">
        <v>40</v>
      </c>
      <c r="E60" s="254" t="s">
        <v>182</v>
      </c>
      <c r="F60" s="254"/>
      <c r="G60" s="253" t="s">
        <v>200</v>
      </c>
      <c r="H60" s="255" t="str">
        <f>VLOOKUP(A60,'2. Status Detalhe Campos'!$A$7:$G$574,7,0)</f>
        <v>2.1 Em Teste</v>
      </c>
      <c r="I60" s="229" t="s">
        <v>38</v>
      </c>
      <c r="J60" s="153">
        <v>45603</v>
      </c>
      <c r="K60" s="229"/>
      <c r="L60" s="280">
        <f t="array" ref="L60">MIN(IF(V60:CH60&gt;0,$V$16:$CH$16))</f>
        <v>45609</v>
      </c>
      <c r="M60" s="279">
        <f t="array" ref="M60">MAX(IF(V60:CH60&gt;0,$V$16:$CH$16))</f>
        <v>45609</v>
      </c>
      <c r="N60" s="277">
        <f>VLOOKUP(H60,Auxiliar!$B$16:$E$24,4,0)</f>
        <v>0.25</v>
      </c>
      <c r="O60" s="277">
        <f t="shared" ca="1" si="14"/>
        <v>0</v>
      </c>
      <c r="P60" s="276">
        <f t="shared" ca="1" si="8"/>
        <v>0.25</v>
      </c>
      <c r="Q60" s="288" t="s">
        <v>38</v>
      </c>
      <c r="R60" s="230"/>
      <c r="S60" s="224">
        <v>0.6</v>
      </c>
      <c r="T60" s="224">
        <f t="shared" si="9"/>
        <v>0.1</v>
      </c>
      <c r="U60" s="224">
        <f t="shared" si="15"/>
        <v>0</v>
      </c>
      <c r="V60" s="79"/>
      <c r="W60" s="79"/>
      <c r="X60" s="79"/>
      <c r="Y60" s="79"/>
      <c r="Z60" s="79"/>
      <c r="AA60" s="79"/>
      <c r="AB60" s="79"/>
      <c r="AC60" s="92"/>
      <c r="AD60" s="79"/>
      <c r="AE60" s="79"/>
      <c r="AF60" s="79"/>
      <c r="AG60" s="231"/>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3" t="s">
        <v>40</v>
      </c>
      <c r="E61" s="254" t="s">
        <v>182</v>
      </c>
      <c r="F61" s="254"/>
      <c r="G61" s="253" t="s">
        <v>201</v>
      </c>
      <c r="H61" s="255" t="str">
        <f>VLOOKUP(A61,'2. Status Detalhe Campos'!$A$7:$G$574,7,0)</f>
        <v>2.1 Em Teste</v>
      </c>
      <c r="I61" s="229" t="s">
        <v>38</v>
      </c>
      <c r="J61" s="153">
        <v>45603</v>
      </c>
      <c r="K61" s="229"/>
      <c r="L61" s="280">
        <f t="array" ref="L61">MIN(IF(V61:CH61&gt;0,$V$16:$CH$16))</f>
        <v>45609</v>
      </c>
      <c r="M61" s="279">
        <f t="array" ref="M61">MAX(IF(V61:CH61&gt;0,$V$16:$CH$16))</f>
        <v>45609</v>
      </c>
      <c r="N61" s="277">
        <f>VLOOKUP(H61,Auxiliar!$B$16:$E$24,4,0)</f>
        <v>0.25</v>
      </c>
      <c r="O61" s="277">
        <f t="shared" ca="1" si="14"/>
        <v>0</v>
      </c>
      <c r="P61" s="276">
        <f t="shared" ca="1" si="8"/>
        <v>0.25</v>
      </c>
      <c r="Q61" s="288" t="s">
        <v>38</v>
      </c>
      <c r="R61" s="230"/>
      <c r="S61" s="224">
        <v>0.6</v>
      </c>
      <c r="T61" s="224">
        <f t="shared" si="9"/>
        <v>0.1</v>
      </c>
      <c r="U61" s="224">
        <f t="shared" si="15"/>
        <v>0</v>
      </c>
      <c r="V61" s="79"/>
      <c r="W61" s="79"/>
      <c r="X61" s="79"/>
      <c r="Y61" s="79"/>
      <c r="Z61" s="79"/>
      <c r="AA61" s="79"/>
      <c r="AB61" s="79"/>
      <c r="AC61" s="92"/>
      <c r="AD61" s="79"/>
      <c r="AE61" s="79"/>
      <c r="AF61" s="79"/>
      <c r="AG61" s="231"/>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3" t="s">
        <v>40</v>
      </c>
      <c r="E62" s="254" t="s">
        <v>182</v>
      </c>
      <c r="F62" s="254"/>
      <c r="G62" s="253" t="s">
        <v>202</v>
      </c>
      <c r="H62" s="255" t="str">
        <f>VLOOKUP(A62,'2. Status Detalhe Campos'!$A$7:$G$574,7,0)</f>
        <v>2.1 Em Teste</v>
      </c>
      <c r="I62" s="229" t="s">
        <v>38</v>
      </c>
      <c r="J62" s="153">
        <v>45603</v>
      </c>
      <c r="K62" s="229"/>
      <c r="L62" s="280">
        <f t="array" ref="L62">MIN(IF(V62:CH62&gt;0,$V$16:$CH$16))</f>
        <v>45609</v>
      </c>
      <c r="M62" s="279">
        <f t="array" ref="M62">MAX(IF(V62:CH62&gt;0,$V$16:$CH$16))</f>
        <v>45609</v>
      </c>
      <c r="N62" s="277">
        <f>VLOOKUP(H62,Auxiliar!$B$16:$E$24,4,0)</f>
        <v>0.25</v>
      </c>
      <c r="O62" s="277">
        <f t="shared" ca="1" si="14"/>
        <v>0</v>
      </c>
      <c r="P62" s="276">
        <f t="shared" ca="1" si="8"/>
        <v>0.25</v>
      </c>
      <c r="Q62" s="288" t="s">
        <v>38</v>
      </c>
      <c r="R62" s="230"/>
      <c r="S62" s="224">
        <v>0.6</v>
      </c>
      <c r="T62" s="224">
        <f t="shared" si="9"/>
        <v>0.1</v>
      </c>
      <c r="U62" s="224">
        <f t="shared" si="15"/>
        <v>0</v>
      </c>
      <c r="V62" s="79"/>
      <c r="W62" s="79"/>
      <c r="X62" s="79"/>
      <c r="Y62" s="79"/>
      <c r="Z62" s="79"/>
      <c r="AA62" s="79"/>
      <c r="AB62" s="79"/>
      <c r="AC62" s="92"/>
      <c r="AD62" s="79"/>
      <c r="AE62" s="79"/>
      <c r="AF62" s="79"/>
      <c r="AG62" s="231"/>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 t="shared" si="7"/>
        <v>modesg_param_sfcs_taxon_europeianome_ctgr_sfcs</v>
      </c>
      <c r="B63" s="142" t="s">
        <v>26</v>
      </c>
      <c r="C63" s="138" t="s">
        <v>181</v>
      </c>
      <c r="D63" s="253" t="s">
        <v>40</v>
      </c>
      <c r="E63" s="254" t="s">
        <v>182</v>
      </c>
      <c r="F63" s="254"/>
      <c r="G63" s="253" t="s">
        <v>203</v>
      </c>
      <c r="H63" s="255" t="str">
        <f>VLOOKUP(A63,'2. Status Detalhe Campos'!$A$7:$G$574,7,0)</f>
        <v>2.1 Em Teste</v>
      </c>
      <c r="I63" s="229" t="s">
        <v>38</v>
      </c>
      <c r="J63" s="153">
        <v>45603</v>
      </c>
      <c r="K63" s="229"/>
      <c r="L63" s="280">
        <f t="array" ref="L63">MIN(IF(V63:CH63&gt;0,$V$16:$CH$16))</f>
        <v>45609</v>
      </c>
      <c r="M63" s="279">
        <f t="array" ref="M63">MAX(IF(V63:CH63&gt;0,$V$16:$CH$16))</f>
        <v>45609</v>
      </c>
      <c r="N63" s="277">
        <f>VLOOKUP(H63,Auxiliar!$B$16:$E$24,4,0)</f>
        <v>0.25</v>
      </c>
      <c r="O63" s="277">
        <f t="shared" ca="1" si="14"/>
        <v>0</v>
      </c>
      <c r="P63" s="276">
        <f t="shared" ca="1" si="8"/>
        <v>0.25</v>
      </c>
      <c r="Q63" s="288" t="s">
        <v>38</v>
      </c>
      <c r="R63" s="230"/>
      <c r="S63" s="224">
        <v>0.6</v>
      </c>
      <c r="T63" s="224">
        <f t="shared" si="9"/>
        <v>0.1</v>
      </c>
      <c r="U63" s="224">
        <f t="shared" si="15"/>
        <v>0</v>
      </c>
      <c r="V63" s="79"/>
      <c r="W63" s="79"/>
      <c r="X63" s="79"/>
      <c r="Y63" s="79"/>
      <c r="Z63" s="79"/>
      <c r="AA63" s="79"/>
      <c r="AB63" s="79"/>
      <c r="AC63" s="92"/>
      <c r="AD63" s="79"/>
      <c r="AE63" s="79"/>
      <c r="AF63" s="79"/>
      <c r="AG63" s="231"/>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3" t="s">
        <v>40</v>
      </c>
      <c r="E64" s="254" t="s">
        <v>182</v>
      </c>
      <c r="F64" s="254"/>
      <c r="G64" s="253" t="s">
        <v>204</v>
      </c>
      <c r="H64" s="255" t="str">
        <f>VLOOKUP(A64,'2. Status Detalhe Campos'!$A$7:$G$574,7,0)</f>
        <v>2.1 Em Teste</v>
      </c>
      <c r="I64" s="229" t="s">
        <v>38</v>
      </c>
      <c r="J64" s="153">
        <v>45603</v>
      </c>
      <c r="K64" s="229"/>
      <c r="L64" s="280">
        <f t="array" ref="L64">MIN(IF(V64:CH64&gt;0,$V$16:$CH$16))</f>
        <v>45609</v>
      </c>
      <c r="M64" s="279">
        <f t="array" ref="M64">MAX(IF(V64:CH64&gt;0,$V$16:$CH$16))</f>
        <v>45609</v>
      </c>
      <c r="N64" s="277">
        <f>VLOOKUP(H64,Auxiliar!$B$16:$E$24,4,0)</f>
        <v>0.25</v>
      </c>
      <c r="O64" s="277">
        <f t="shared" ca="1" si="14"/>
        <v>0</v>
      </c>
      <c r="P64" s="276">
        <f t="shared" ca="1" si="8"/>
        <v>0.25</v>
      </c>
      <c r="Q64" s="288" t="s">
        <v>38</v>
      </c>
      <c r="R64" s="230"/>
      <c r="S64" s="224">
        <v>0.6</v>
      </c>
      <c r="T64" s="224">
        <f t="shared" si="9"/>
        <v>0.1</v>
      </c>
      <c r="U64" s="224">
        <f t="shared" si="15"/>
        <v>0</v>
      </c>
      <c r="V64" s="79"/>
      <c r="W64" s="79"/>
      <c r="X64" s="79"/>
      <c r="Y64" s="79"/>
      <c r="Z64" s="79"/>
      <c r="AA64" s="79"/>
      <c r="AB64" s="79"/>
      <c r="AC64" s="92"/>
      <c r="AD64" s="79"/>
      <c r="AE64" s="79"/>
      <c r="AF64" s="79"/>
      <c r="AG64" s="231"/>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3" t="s">
        <v>40</v>
      </c>
      <c r="E65" s="254" t="s">
        <v>182</v>
      </c>
      <c r="F65" s="254"/>
      <c r="G65" s="253" t="s">
        <v>205</v>
      </c>
      <c r="H65" s="255" t="str">
        <f>VLOOKUP(A65,'2. Status Detalhe Campos'!$A$7:$G$574,7,0)</f>
        <v>2.1 Em Teste</v>
      </c>
      <c r="I65" s="229" t="s">
        <v>38</v>
      </c>
      <c r="J65" s="153">
        <v>45603</v>
      </c>
      <c r="K65" s="229"/>
      <c r="L65" s="280">
        <f t="array" ref="L65">MIN(IF(V65:CH65&gt;0,$V$16:$CH$16))</f>
        <v>45609</v>
      </c>
      <c r="M65" s="279">
        <f t="array" ref="M65">MAX(IF(V65:CH65&gt;0,$V$16:$CH$16))</f>
        <v>45609</v>
      </c>
      <c r="N65" s="277">
        <f>VLOOKUP(H65,Auxiliar!$B$16:$E$24,4,0)</f>
        <v>0.25</v>
      </c>
      <c r="O65" s="277">
        <f t="shared" ca="1" si="14"/>
        <v>0</v>
      </c>
      <c r="P65" s="276">
        <f t="shared" ca="1" si="8"/>
        <v>0.25</v>
      </c>
      <c r="Q65" s="288" t="s">
        <v>38</v>
      </c>
      <c r="R65" s="230"/>
      <c r="S65" s="224">
        <v>0.6</v>
      </c>
      <c r="T65" s="224">
        <f t="shared" si="9"/>
        <v>0.1</v>
      </c>
      <c r="U65" s="224">
        <f t="shared" si="15"/>
        <v>0</v>
      </c>
      <c r="V65" s="79"/>
      <c r="W65" s="79"/>
      <c r="X65" s="79"/>
      <c r="Y65" s="79"/>
      <c r="Z65" s="79"/>
      <c r="AA65" s="79"/>
      <c r="AB65" s="79"/>
      <c r="AC65" s="92"/>
      <c r="AD65" s="79"/>
      <c r="AE65" s="79"/>
      <c r="AF65" s="79"/>
      <c r="AG65" s="231"/>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3" t="s">
        <v>40</v>
      </c>
      <c r="E66" s="254" t="s">
        <v>182</v>
      </c>
      <c r="F66" s="254"/>
      <c r="G66" s="253" t="s">
        <v>206</v>
      </c>
      <c r="H66" s="255" t="str">
        <f>VLOOKUP(A66,'2. Status Detalhe Campos'!$A$7:$G$574,7,0)</f>
        <v>2.1 Em Teste</v>
      </c>
      <c r="I66" s="229" t="s">
        <v>38</v>
      </c>
      <c r="J66" s="153">
        <v>45603</v>
      </c>
      <c r="K66" s="229"/>
      <c r="L66" s="280">
        <f t="array" ref="L66">MIN(IF(V66:CH66&gt;0,$V$16:$CH$16))</f>
        <v>45609</v>
      </c>
      <c r="M66" s="279">
        <f t="array" ref="M66">MAX(IF(V66:CH66&gt;0,$V$16:$CH$16))</f>
        <v>45609</v>
      </c>
      <c r="N66" s="277">
        <f>VLOOKUP(H66,Auxiliar!$B$16:$E$24,4,0)</f>
        <v>0.25</v>
      </c>
      <c r="O66" s="277">
        <f t="shared" ca="1" si="14"/>
        <v>0</v>
      </c>
      <c r="P66" s="276">
        <f t="shared" ca="1" si="8"/>
        <v>0.25</v>
      </c>
      <c r="Q66" s="288" t="s">
        <v>38</v>
      </c>
      <c r="R66" s="230"/>
      <c r="S66" s="224">
        <v>0.6</v>
      </c>
      <c r="T66" s="224">
        <f t="shared" si="9"/>
        <v>0.1</v>
      </c>
      <c r="U66" s="224">
        <f t="shared" si="15"/>
        <v>0</v>
      </c>
      <c r="V66" s="79"/>
      <c r="W66" s="79"/>
      <c r="X66" s="79"/>
      <c r="Y66" s="79"/>
      <c r="Z66" s="79"/>
      <c r="AA66" s="79"/>
      <c r="AB66" s="79"/>
      <c r="AC66" s="92"/>
      <c r="AD66" s="79"/>
      <c r="AE66" s="79"/>
      <c r="AF66" s="79"/>
      <c r="AG66" s="231"/>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3" t="s">
        <v>40</v>
      </c>
      <c r="E67" s="254" t="s">
        <v>182</v>
      </c>
      <c r="F67" s="254"/>
      <c r="G67" s="253" t="s">
        <v>207</v>
      </c>
      <c r="H67" s="255" t="str">
        <f>VLOOKUP(A67,'2. Status Detalhe Campos'!$A$7:$G$574,7,0)</f>
        <v>2.1 Em Teste</v>
      </c>
      <c r="I67" s="229" t="s">
        <v>38</v>
      </c>
      <c r="J67" s="153">
        <v>45603</v>
      </c>
      <c r="K67" s="229"/>
      <c r="L67" s="280">
        <f t="array" ref="L67">MIN(IF(V67:CH67&gt;0,$V$16:$CH$16))</f>
        <v>45609</v>
      </c>
      <c r="M67" s="279">
        <f t="array" ref="M67">MAX(IF(V67:CH67&gt;0,$V$16:$CH$16))</f>
        <v>45609</v>
      </c>
      <c r="N67" s="277">
        <f>VLOOKUP(H67,Auxiliar!$B$16:$E$24,4,0)</f>
        <v>0.25</v>
      </c>
      <c r="O67" s="277">
        <f t="shared" ca="1" si="14"/>
        <v>0</v>
      </c>
      <c r="P67" s="276">
        <f t="shared" ca="1" si="8"/>
        <v>0.25</v>
      </c>
      <c r="Q67" s="288" t="s">
        <v>38</v>
      </c>
      <c r="R67" s="230"/>
      <c r="S67" s="224">
        <v>0.6</v>
      </c>
      <c r="T67" s="224">
        <f t="shared" si="9"/>
        <v>0.1</v>
      </c>
      <c r="U67" s="224">
        <f t="shared" si="15"/>
        <v>0</v>
      </c>
      <c r="V67" s="79"/>
      <c r="W67" s="79"/>
      <c r="X67" s="79"/>
      <c r="Y67" s="79"/>
      <c r="Z67" s="79"/>
      <c r="AA67" s="79"/>
      <c r="AB67" s="79"/>
      <c r="AC67" s="92"/>
      <c r="AD67" s="79"/>
      <c r="AE67" s="79"/>
      <c r="AF67" s="79"/>
      <c r="AG67" s="231"/>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3" t="s">
        <v>40</v>
      </c>
      <c r="E68" s="254" t="s">
        <v>182</v>
      </c>
      <c r="F68" s="254"/>
      <c r="G68" s="253" t="s">
        <v>209</v>
      </c>
      <c r="H68" s="255" t="str">
        <f>VLOOKUP(A68,'2. Status Detalhe Campos'!$A$7:$G$574,7,0)</f>
        <v>2.1 Em Teste</v>
      </c>
      <c r="I68" s="229" t="s">
        <v>38</v>
      </c>
      <c r="J68" s="153">
        <v>45603</v>
      </c>
      <c r="K68" s="229"/>
      <c r="L68" s="280">
        <f t="array" ref="L68">MIN(IF(V68:CH68&gt;0,$V$16:$CH$16))</f>
        <v>45609</v>
      </c>
      <c r="M68" s="279">
        <f t="array" ref="M68">MAX(IF(V68:CH68&gt;0,$V$16:$CH$16))</f>
        <v>45609</v>
      </c>
      <c r="N68" s="277">
        <f>VLOOKUP(H68,Auxiliar!$B$16:$E$24,4,0)</f>
        <v>0.25</v>
      </c>
      <c r="O68" s="277">
        <f t="shared" ca="1" si="14"/>
        <v>0</v>
      </c>
      <c r="P68" s="276">
        <f t="shared" ca="1" si="8"/>
        <v>0.25</v>
      </c>
      <c r="Q68" s="288" t="s">
        <v>38</v>
      </c>
      <c r="R68" s="230"/>
      <c r="S68" s="224">
        <v>0.6</v>
      </c>
      <c r="T68" s="224">
        <f t="shared" si="9"/>
        <v>0.1</v>
      </c>
      <c r="U68" s="224">
        <f t="shared" si="15"/>
        <v>0</v>
      </c>
      <c r="V68" s="79"/>
      <c r="W68" s="79"/>
      <c r="X68" s="79"/>
      <c r="Y68" s="79"/>
      <c r="Z68" s="79"/>
      <c r="AA68" s="79"/>
      <c r="AB68" s="79"/>
      <c r="AC68" s="92"/>
      <c r="AD68" s="79"/>
      <c r="AE68" s="79"/>
      <c r="AF68" s="79"/>
      <c r="AG68" s="231"/>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3" t="s">
        <v>40</v>
      </c>
      <c r="E69" s="254" t="s">
        <v>182</v>
      </c>
      <c r="F69" s="254"/>
      <c r="G69" s="253" t="s">
        <v>210</v>
      </c>
      <c r="H69" s="255" t="str">
        <f>VLOOKUP(A69,'2. Status Detalhe Campos'!$A$7:$G$574,7,0)</f>
        <v>2.1 Em Teste</v>
      </c>
      <c r="I69" s="229" t="s">
        <v>38</v>
      </c>
      <c r="J69" s="153">
        <v>45603</v>
      </c>
      <c r="K69" s="229"/>
      <c r="L69" s="280">
        <f t="array" ref="L69">MIN(IF(V69:CH69&gt;0,$V$16:$CH$16))</f>
        <v>45609</v>
      </c>
      <c r="M69" s="279">
        <f t="array" ref="M69">MAX(IF(V69:CH69&gt;0,$V$16:$CH$16))</f>
        <v>45609</v>
      </c>
      <c r="N69" s="277">
        <f>VLOOKUP(H69,Auxiliar!$B$16:$E$24,4,0)</f>
        <v>0.25</v>
      </c>
      <c r="O69" s="277">
        <f t="shared" ca="1" si="14"/>
        <v>0</v>
      </c>
      <c r="P69" s="276">
        <f t="shared" ca="1" si="8"/>
        <v>0.25</v>
      </c>
      <c r="Q69" s="288" t="s">
        <v>38</v>
      </c>
      <c r="R69" s="230"/>
      <c r="S69" s="224">
        <v>0.6</v>
      </c>
      <c r="T69" s="224">
        <f t="shared" si="9"/>
        <v>0.1</v>
      </c>
      <c r="U69" s="224">
        <f t="shared" si="15"/>
        <v>0</v>
      </c>
      <c r="V69" s="79"/>
      <c r="W69" s="79"/>
      <c r="X69" s="79"/>
      <c r="Y69" s="79"/>
      <c r="Z69" s="79"/>
      <c r="AA69" s="79"/>
      <c r="AB69" s="79"/>
      <c r="AC69" s="92"/>
      <c r="AD69" s="79"/>
      <c r="AE69" s="79"/>
      <c r="AF69" s="79"/>
      <c r="AG69" s="231"/>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60" t="s">
        <v>312</v>
      </c>
      <c r="F70" s="260" t="s">
        <v>1989</v>
      </c>
      <c r="G70" s="261">
        <f>COUNTA(G71:G78)</f>
        <v>8</v>
      </c>
      <c r="H70" s="136"/>
      <c r="I70" s="229" t="s">
        <v>38</v>
      </c>
      <c r="J70" s="258">
        <f>MIN(J71:J78)</f>
        <v>45600</v>
      </c>
      <c r="K70" s="259">
        <f>MIN(K71:K78)</f>
        <v>45601</v>
      </c>
      <c r="L70" s="258">
        <f>MIN(L71:L78)</f>
        <v>45602</v>
      </c>
      <c r="M70" s="259">
        <f>MAX(M71:M78)</f>
        <v>45608</v>
      </c>
      <c r="N70" s="282">
        <f>SUMPRODUCT(N71:N78,T71:T78)/SUM(T71:T78)</f>
        <v>0.4</v>
      </c>
      <c r="O70" s="282">
        <f ca="1">SUMPRODUCT(O71:O86,T71:T86)/SUM(T71:T86)</f>
        <v>0.16666666666666666</v>
      </c>
      <c r="P70" s="276">
        <f t="shared" ca="1" si="8"/>
        <v>0.23333333333333336</v>
      </c>
      <c r="Q70" s="288" t="s">
        <v>2027</v>
      </c>
      <c r="R70" s="230"/>
      <c r="S70" s="224"/>
      <c r="T70" s="224"/>
      <c r="U70" s="224"/>
      <c r="V70" s="79"/>
      <c r="W70" s="79"/>
      <c r="X70" s="79"/>
      <c r="Y70" s="79"/>
      <c r="Z70" s="79"/>
      <c r="AA70" s="79"/>
      <c r="AB70" s="79"/>
      <c r="AC70" s="92"/>
      <c r="AD70" s="231"/>
      <c r="AE70" s="227"/>
      <c r="AF70" s="79"/>
      <c r="AG70" s="79"/>
      <c r="AH70" s="79"/>
      <c r="AI70" s="79"/>
      <c r="AJ70" s="79"/>
      <c r="AK70" s="79"/>
      <c r="AL70" s="79"/>
      <c r="AM70" s="266"/>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6">E71&amp;G71</f>
        <v>modesg_out_bens_imoveisorigem_scp1_emss</v>
      </c>
      <c r="B71" s="142" t="s">
        <v>26</v>
      </c>
      <c r="C71" s="138" t="s">
        <v>311</v>
      </c>
      <c r="D71" s="253" t="s">
        <v>40</v>
      </c>
      <c r="E71" s="254" t="s">
        <v>312</v>
      </c>
      <c r="F71" s="254"/>
      <c r="G71" s="253" t="s">
        <v>320</v>
      </c>
      <c r="H71" s="255" t="str">
        <f>VLOOKUP(A71,'2. Status Detalhe Campos'!$A$7:$G$574,7,0)</f>
        <v>2.1 Em Teste</v>
      </c>
      <c r="I71" s="229" t="s">
        <v>38</v>
      </c>
      <c r="J71" s="153">
        <v>45600</v>
      </c>
      <c r="K71" s="229">
        <v>45601</v>
      </c>
      <c r="L71" s="280">
        <f t="array" ref="L71">MIN(IF(V71:CH71&gt;0,$V$16:$CH$16))</f>
        <v>45602</v>
      </c>
      <c r="M71" s="279">
        <f t="array" ref="M71">MAX(IF(V71:CH71&gt;0,$V$16:$CH$16))</f>
        <v>45602</v>
      </c>
      <c r="N71" s="277">
        <f>VLOOKUP(H71,Auxiliar!$B$16:$E$24,4,0)</f>
        <v>0.25</v>
      </c>
      <c r="O71" s="277">
        <f t="shared" ref="O71:O78" ca="1" si="17">IF(TODAY()&lt;=L71,0,MIN((TODAY()-L71)/(M71-L71+1),100%))</f>
        <v>1</v>
      </c>
      <c r="P71" s="276">
        <f t="shared" ca="1" si="8"/>
        <v>-0.75</v>
      </c>
      <c r="Q71" s="276"/>
      <c r="R71" s="230" t="s">
        <v>1961</v>
      </c>
      <c r="S71" s="224">
        <v>4.0999999999999996</v>
      </c>
      <c r="T71" s="224">
        <f t="shared" ref="T71:T78" si="18">ROUND(S71/8,1)</f>
        <v>0.5</v>
      </c>
      <c r="U71" s="224">
        <f t="shared" ref="U71:U78" si="19">SUM(V71:CH71)-T71</f>
        <v>0</v>
      </c>
      <c r="V71" s="79"/>
      <c r="W71" s="79"/>
      <c r="X71" s="79"/>
      <c r="Y71" s="79"/>
      <c r="Z71" s="79"/>
      <c r="AA71" s="79"/>
      <c r="AB71" s="79"/>
      <c r="AC71" s="92"/>
      <c r="AD71" s="231"/>
      <c r="AE71" s="227"/>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6"/>
        <v>modesg_out_bens_imoveisorigem_scp2_emss</v>
      </c>
      <c r="B72" s="142" t="s">
        <v>26</v>
      </c>
      <c r="C72" s="138" t="s">
        <v>311</v>
      </c>
      <c r="D72" s="253" t="s">
        <v>40</v>
      </c>
      <c r="E72" s="254" t="s">
        <v>312</v>
      </c>
      <c r="F72" s="254"/>
      <c r="G72" s="253" t="s">
        <v>321</v>
      </c>
      <c r="H72" s="255" t="str">
        <f>VLOOKUP(A72,'2. Status Detalhe Campos'!$A$7:$G$574,7,0)</f>
        <v>2.1 Em Teste</v>
      </c>
      <c r="I72" s="229" t="s">
        <v>38</v>
      </c>
      <c r="J72" s="153">
        <v>45600</v>
      </c>
      <c r="K72" s="229">
        <v>45601</v>
      </c>
      <c r="L72" s="280">
        <f t="array" ref="L72">MIN(IF(V72:CH72&gt;0,$V$16:$CH$16))</f>
        <v>45602</v>
      </c>
      <c r="M72" s="279">
        <f t="array" ref="M72">MAX(IF(V72:CH72&gt;0,$V$16:$CH$16))</f>
        <v>45602</v>
      </c>
      <c r="N72" s="277">
        <f>VLOOKUP(H72,Auxiliar!$B$16:$E$24,4,0)</f>
        <v>0.25</v>
      </c>
      <c r="O72" s="277">
        <f t="shared" ca="1" si="17"/>
        <v>1</v>
      </c>
      <c r="P72" s="276">
        <f t="shared" ca="1" si="8"/>
        <v>-0.75</v>
      </c>
      <c r="Q72" s="276"/>
      <c r="R72" s="230" t="s">
        <v>1961</v>
      </c>
      <c r="S72" s="224">
        <v>4.0999999999999996</v>
      </c>
      <c r="T72" s="224">
        <f t="shared" si="18"/>
        <v>0.5</v>
      </c>
      <c r="U72" s="224">
        <f t="shared" si="19"/>
        <v>0</v>
      </c>
      <c r="V72" s="79"/>
      <c r="W72" s="79"/>
      <c r="X72" s="79"/>
      <c r="Y72" s="79"/>
      <c r="Z72" s="79"/>
      <c r="AA72" s="79"/>
      <c r="AB72" s="79"/>
      <c r="AC72" s="92"/>
      <c r="AD72" s="231"/>
      <c r="AE72" s="227"/>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6"/>
        <v>modesg_out_bens_imoveisorigem_scp3_emss</v>
      </c>
      <c r="B73" s="142" t="s">
        <v>26</v>
      </c>
      <c r="C73" s="138" t="s">
        <v>311</v>
      </c>
      <c r="D73" s="253" t="s">
        <v>40</v>
      </c>
      <c r="E73" s="254" t="s">
        <v>312</v>
      </c>
      <c r="F73" s="254"/>
      <c r="G73" s="253" t="s">
        <v>322</v>
      </c>
      <c r="H73" s="255" t="str">
        <f>VLOOKUP(A73,'2. Status Detalhe Campos'!$A$7:$G$574,7,0)</f>
        <v>1. Concluído</v>
      </c>
      <c r="I73" s="229" t="s">
        <v>38</v>
      </c>
      <c r="J73" s="153">
        <v>45600</v>
      </c>
      <c r="K73" s="229">
        <v>45601</v>
      </c>
      <c r="L73" s="280">
        <f t="array" ref="L73">MIN(IF(V73:CH73&gt;0,$V$16:$CH$16))</f>
        <v>45603</v>
      </c>
      <c r="M73" s="279">
        <f t="array" ref="M73">MAX(IF(V73:CH73&gt;0,$V$16:$CH$16))</f>
        <v>45603</v>
      </c>
      <c r="N73" s="277">
        <f>VLOOKUP(H73,Auxiliar!$B$16:$E$24,4,0)</f>
        <v>1</v>
      </c>
      <c r="O73" s="277">
        <f t="shared" ca="1" si="17"/>
        <v>1</v>
      </c>
      <c r="P73" s="276">
        <f t="shared" ca="1" si="8"/>
        <v>0</v>
      </c>
      <c r="Q73" s="276"/>
      <c r="R73" s="230" t="s">
        <v>1961</v>
      </c>
      <c r="S73" s="224">
        <v>4.0999999999999996</v>
      </c>
      <c r="T73" s="224">
        <f t="shared" si="18"/>
        <v>0.5</v>
      </c>
      <c r="U73" s="224">
        <f t="shared" si="19"/>
        <v>0</v>
      </c>
      <c r="V73" s="79"/>
      <c r="W73" s="79"/>
      <c r="X73" s="79"/>
      <c r="Y73" s="79"/>
      <c r="Z73" s="79"/>
      <c r="AA73" s="79"/>
      <c r="AB73" s="79"/>
      <c r="AC73" s="92"/>
      <c r="AD73" s="231"/>
      <c r="AE73" s="227"/>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6"/>
        <v>modesg_out_bens_imoveisscp1_emss</v>
      </c>
      <c r="B74" s="142" t="s">
        <v>26</v>
      </c>
      <c r="C74" s="138" t="s">
        <v>311</v>
      </c>
      <c r="D74" s="253" t="s">
        <v>40</v>
      </c>
      <c r="E74" s="254" t="s">
        <v>312</v>
      </c>
      <c r="F74" s="254"/>
      <c r="G74" s="253" t="s">
        <v>286</v>
      </c>
      <c r="H74" s="255" t="str">
        <f>VLOOKUP(A74,'2. Status Detalhe Campos'!$A$7:$G$574,7,0)</f>
        <v>2.1 Em Teste</v>
      </c>
      <c r="I74" s="229" t="s">
        <v>38</v>
      </c>
      <c r="J74" s="153">
        <v>45600</v>
      </c>
      <c r="K74" s="229">
        <v>45601</v>
      </c>
      <c r="L74" s="280">
        <f t="array" ref="L74">MIN(IF(V74:CH74&gt;0,$V$16:$CH$16))</f>
        <v>45603</v>
      </c>
      <c r="M74" s="279">
        <f t="array" ref="M74">MAX(IF(V74:CH74&gt;0,$V$16:$CH$16))</f>
        <v>45604</v>
      </c>
      <c r="N74" s="277">
        <f>VLOOKUP(H74,Auxiliar!$B$16:$E$24,4,0)</f>
        <v>0.25</v>
      </c>
      <c r="O74" s="277">
        <f t="shared" ca="1" si="17"/>
        <v>0.5</v>
      </c>
      <c r="P74" s="276">
        <f t="shared" ca="1" si="8"/>
        <v>-0.25</v>
      </c>
      <c r="Q74" s="276"/>
      <c r="R74" s="230" t="s">
        <v>1961</v>
      </c>
      <c r="S74" s="224">
        <v>8.1</v>
      </c>
      <c r="T74" s="224">
        <f t="shared" si="18"/>
        <v>1</v>
      </c>
      <c r="U74" s="224">
        <f t="shared" si="19"/>
        <v>0</v>
      </c>
      <c r="V74" s="79"/>
      <c r="W74" s="79"/>
      <c r="X74" s="79"/>
      <c r="Y74" s="79"/>
      <c r="Z74" s="79"/>
      <c r="AA74" s="79"/>
      <c r="AB74" s="79"/>
      <c r="AC74" s="92"/>
      <c r="AD74" s="231"/>
      <c r="AE74" s="227"/>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6"/>
        <v>modesg_out_bens_imoveisscp2_emss</v>
      </c>
      <c r="B75" s="142" t="s">
        <v>26</v>
      </c>
      <c r="C75" s="138" t="s">
        <v>311</v>
      </c>
      <c r="D75" s="253" t="s">
        <v>40</v>
      </c>
      <c r="E75" s="254" t="s">
        <v>312</v>
      </c>
      <c r="F75" s="254"/>
      <c r="G75" s="253" t="s">
        <v>287</v>
      </c>
      <c r="H75" s="255" t="str">
        <f>VLOOKUP(A75,'2. Status Detalhe Campos'!$A$7:$G$574,7,0)</f>
        <v>2.1 Em Teste</v>
      </c>
      <c r="I75" s="229" t="s">
        <v>38</v>
      </c>
      <c r="J75" s="153">
        <v>45600</v>
      </c>
      <c r="K75" s="229">
        <v>45601</v>
      </c>
      <c r="L75" s="280">
        <f t="array" ref="L75">MIN(IF(V75:CH75&gt;0,$V$16:$CH$16))</f>
        <v>45604</v>
      </c>
      <c r="M75" s="279">
        <f t="array" ref="M75">MAX(IF(V75:CH75&gt;0,$V$16:$CH$16))</f>
        <v>45607</v>
      </c>
      <c r="N75" s="277">
        <f>VLOOKUP(H75,Auxiliar!$B$16:$E$24,4,0)</f>
        <v>0.25</v>
      </c>
      <c r="O75" s="277">
        <f t="shared" ca="1" si="17"/>
        <v>0</v>
      </c>
      <c r="P75" s="276">
        <f t="shared" ca="1" si="8"/>
        <v>0.25</v>
      </c>
      <c r="Q75" s="276"/>
      <c r="R75" s="230" t="s">
        <v>1961</v>
      </c>
      <c r="S75" s="224">
        <v>8.1</v>
      </c>
      <c r="T75" s="224">
        <f t="shared" si="18"/>
        <v>1</v>
      </c>
      <c r="U75" s="224">
        <f t="shared" si="19"/>
        <v>0</v>
      </c>
      <c r="V75" s="79"/>
      <c r="W75" s="79"/>
      <c r="X75" s="79"/>
      <c r="Y75" s="79"/>
      <c r="Z75" s="79"/>
      <c r="AA75" s="79"/>
      <c r="AB75" s="79"/>
      <c r="AC75" s="92"/>
      <c r="AD75" s="231"/>
      <c r="AE75" s="227"/>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6"/>
        <v>modesg_out_bens_imoveisunidade_funcional_scp1_emss</v>
      </c>
      <c r="B76" s="142" t="s">
        <v>26</v>
      </c>
      <c r="C76" s="138" t="s">
        <v>311</v>
      </c>
      <c r="D76" s="253" t="s">
        <v>40</v>
      </c>
      <c r="E76" s="254" t="s">
        <v>312</v>
      </c>
      <c r="F76" s="254"/>
      <c r="G76" s="253" t="s">
        <v>323</v>
      </c>
      <c r="H76" s="255" t="str">
        <f>VLOOKUP(A76,'2. Status Detalhe Campos'!$A$7:$G$574,7,0)</f>
        <v>2.1 Em Teste</v>
      </c>
      <c r="I76" s="229" t="s">
        <v>38</v>
      </c>
      <c r="J76" s="153">
        <v>45600</v>
      </c>
      <c r="K76" s="229">
        <v>45601</v>
      </c>
      <c r="L76" s="280">
        <f t="array" ref="L76">MIN(IF(V76:CH76&gt;0,$V$16:$CH$16))</f>
        <v>45607</v>
      </c>
      <c r="M76" s="279">
        <f t="array" ref="M76">MAX(IF(V76:CH76&gt;0,$V$16:$CH$16))</f>
        <v>45607</v>
      </c>
      <c r="N76" s="277">
        <f>VLOOKUP(H76,Auxiliar!$B$16:$E$24,4,0)</f>
        <v>0.25</v>
      </c>
      <c r="O76" s="277">
        <f t="shared" ca="1" si="17"/>
        <v>0</v>
      </c>
      <c r="P76" s="276">
        <f t="shared" ca="1" si="8"/>
        <v>0.25</v>
      </c>
      <c r="Q76" s="276"/>
      <c r="R76" s="230" t="s">
        <v>1961</v>
      </c>
      <c r="S76" s="224">
        <v>4.0999999999999996</v>
      </c>
      <c r="T76" s="224">
        <f t="shared" si="18"/>
        <v>0.5</v>
      </c>
      <c r="U76" s="224">
        <f t="shared" si="19"/>
        <v>0</v>
      </c>
      <c r="V76" s="79"/>
      <c r="W76" s="79"/>
      <c r="X76" s="79"/>
      <c r="Y76" s="79"/>
      <c r="Z76" s="79"/>
      <c r="AA76" s="79"/>
      <c r="AB76" s="79"/>
      <c r="AC76" s="92"/>
      <c r="AD76" s="231"/>
      <c r="AE76" s="227"/>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6"/>
        <v>modesg_out_bens_imoveisunidade_funcional_scp2_emss</v>
      </c>
      <c r="B77" s="142" t="s">
        <v>26</v>
      </c>
      <c r="C77" s="138" t="s">
        <v>311</v>
      </c>
      <c r="D77" s="253" t="s">
        <v>40</v>
      </c>
      <c r="E77" s="254" t="s">
        <v>312</v>
      </c>
      <c r="F77" s="254"/>
      <c r="G77" s="253" t="s">
        <v>324</v>
      </c>
      <c r="H77" s="255" t="str">
        <f>VLOOKUP(A77,'2. Status Detalhe Campos'!$A$7:$G$574,7,0)</f>
        <v>2.1 Em Teste</v>
      </c>
      <c r="I77" s="229" t="s">
        <v>38</v>
      </c>
      <c r="J77" s="153">
        <v>45600</v>
      </c>
      <c r="K77" s="229">
        <v>45601</v>
      </c>
      <c r="L77" s="280">
        <f t="array" ref="L77">MIN(IF(V77:CH77&gt;0,$V$16:$CH$16))</f>
        <v>45608</v>
      </c>
      <c r="M77" s="279">
        <f t="array" ref="M77">MAX(IF(V77:CH77&gt;0,$V$16:$CH$16))</f>
        <v>45608</v>
      </c>
      <c r="N77" s="277">
        <f>VLOOKUP(H77,Auxiliar!$B$16:$E$24,4,0)</f>
        <v>0.25</v>
      </c>
      <c r="O77" s="277">
        <f t="shared" ca="1" si="17"/>
        <v>0</v>
      </c>
      <c r="P77" s="276">
        <f t="shared" ca="1" si="8"/>
        <v>0.25</v>
      </c>
      <c r="Q77" s="276"/>
      <c r="R77" s="230" t="s">
        <v>1961</v>
      </c>
      <c r="S77" s="224">
        <v>4.0999999999999996</v>
      </c>
      <c r="T77" s="224">
        <f t="shared" si="18"/>
        <v>0.5</v>
      </c>
      <c r="U77" s="224">
        <f t="shared" si="19"/>
        <v>0</v>
      </c>
      <c r="V77" s="79"/>
      <c r="W77" s="79"/>
      <c r="X77" s="79"/>
      <c r="Y77" s="79"/>
      <c r="Z77" s="79"/>
      <c r="AA77" s="79"/>
      <c r="AB77" s="79"/>
      <c r="AC77" s="92"/>
      <c r="AD77" s="231"/>
      <c r="AE77" s="227"/>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6"/>
        <v>modesg_out_bens_imoveisunidade_funcional_scp3_emss</v>
      </c>
      <c r="B78" s="142" t="s">
        <v>26</v>
      </c>
      <c r="C78" s="138" t="s">
        <v>311</v>
      </c>
      <c r="D78" s="253" t="s">
        <v>40</v>
      </c>
      <c r="E78" s="254" t="s">
        <v>312</v>
      </c>
      <c r="F78" s="254"/>
      <c r="G78" s="253" t="s">
        <v>325</v>
      </c>
      <c r="H78" s="255" t="str">
        <f>VLOOKUP(A78,'2. Status Detalhe Campos'!$A$7:$G$574,7,0)</f>
        <v>1. Concluído</v>
      </c>
      <c r="I78" s="229" t="s">
        <v>38</v>
      </c>
      <c r="J78" s="153">
        <v>45600</v>
      </c>
      <c r="K78" s="229">
        <v>45601</v>
      </c>
      <c r="L78" s="280">
        <f t="array" ref="L78">MIN(IF(V78:CH78&gt;0,$V$16:$CH$16))</f>
        <v>45608</v>
      </c>
      <c r="M78" s="279">
        <f t="array" ref="M78">MAX(IF(V78:CH78&gt;0,$V$16:$CH$16))</f>
        <v>45608</v>
      </c>
      <c r="N78" s="277">
        <f>VLOOKUP(H78,Auxiliar!$B$16:$E$24,4,0)</f>
        <v>1</v>
      </c>
      <c r="O78" s="277">
        <f t="shared" ca="1" si="17"/>
        <v>0</v>
      </c>
      <c r="P78" s="276">
        <f t="shared" ca="1" si="8"/>
        <v>1</v>
      </c>
      <c r="Q78" s="276"/>
      <c r="R78" s="230" t="s">
        <v>1961</v>
      </c>
      <c r="S78" s="224">
        <v>4.0999999999999996</v>
      </c>
      <c r="T78" s="224">
        <f t="shared" si="18"/>
        <v>0.5</v>
      </c>
      <c r="U78" s="224">
        <f t="shared" si="19"/>
        <v>0</v>
      </c>
      <c r="V78" s="79"/>
      <c r="W78" s="79"/>
      <c r="X78" s="79"/>
      <c r="Y78" s="79"/>
      <c r="Z78" s="79"/>
      <c r="AA78" s="79"/>
      <c r="AB78" s="79"/>
      <c r="AC78" s="92"/>
      <c r="AD78" s="231"/>
      <c r="AE78" s="227"/>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60" t="s">
        <v>312</v>
      </c>
      <c r="F79" s="260" t="s">
        <v>2010</v>
      </c>
      <c r="G79" s="261">
        <f>COUNTA(G80:G83)</f>
        <v>4</v>
      </c>
      <c r="H79" s="136"/>
      <c r="I79" s="229" t="s">
        <v>38</v>
      </c>
      <c r="J79" s="258">
        <f>MIN(J80:J83)</f>
        <v>45621</v>
      </c>
      <c r="K79" s="229"/>
      <c r="L79" s="258">
        <f>MIN(L80:L83)</f>
        <v>45622</v>
      </c>
      <c r="M79" s="259">
        <f>MAX(M80:M83)</f>
        <v>45628</v>
      </c>
      <c r="N79" s="282">
        <f>SUMPRODUCT(N80:N83,T80:T83)/SUM(T80:T83)</f>
        <v>0</v>
      </c>
      <c r="O79" s="282">
        <f ca="1">SUMPRODUCT(O80:O83,T80:T83)/SUM(T80:T83)</f>
        <v>0</v>
      </c>
      <c r="P79" s="276">
        <f t="shared" ca="1" si="8"/>
        <v>0</v>
      </c>
      <c r="Q79" s="288" t="s">
        <v>38</v>
      </c>
      <c r="R79" s="230"/>
      <c r="S79" s="224"/>
      <c r="T79" s="224"/>
      <c r="U79" s="224"/>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1"/>
      <c r="AT79" s="79"/>
      <c r="AU79" s="79"/>
      <c r="AV79" s="79"/>
      <c r="AW79" s="79"/>
      <c r="AX79" s="79"/>
      <c r="AY79" s="79"/>
      <c r="AZ79" s="79"/>
      <c r="BA79" s="79"/>
      <c r="BB79" s="266"/>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3" t="s">
        <v>40</v>
      </c>
      <c r="E80" s="254" t="s">
        <v>312</v>
      </c>
      <c r="F80" s="254"/>
      <c r="G80" s="253" t="s">
        <v>283</v>
      </c>
      <c r="H80" s="255" t="str">
        <f>VLOOKUP(A80,'2. Status Detalhe Campos'!$A$7:$G$574,7,0)</f>
        <v>6. Em implementação (re-especificação)</v>
      </c>
      <c r="I80" s="229" t="s">
        <v>38</v>
      </c>
      <c r="J80" s="153">
        <v>45621</v>
      </c>
      <c r="K80" s="229"/>
      <c r="L80" s="280">
        <f t="array" ref="L80">MIN(IF(V80:CH80&gt;0,$V$16:$CH$16))</f>
        <v>45622</v>
      </c>
      <c r="M80" s="279">
        <f t="array" ref="M80">MAX(IF(V80:CH80&gt;0,$V$16:$CH$16))</f>
        <v>45623</v>
      </c>
      <c r="N80" s="277">
        <f>VLOOKUP(H80,Auxiliar!$B$16:$E$24,4,0)</f>
        <v>0</v>
      </c>
      <c r="O80" s="277">
        <f t="shared" ref="O80:O83" ca="1" si="20">IF(TODAY()&lt;=L80,0,MIN((TODAY()-L80)/(M80-L80+1),100%))</f>
        <v>0</v>
      </c>
      <c r="P80" s="276">
        <f t="shared" ca="1" si="8"/>
        <v>0</v>
      </c>
      <c r="Q80" s="288" t="s">
        <v>38</v>
      </c>
      <c r="R80" s="230"/>
      <c r="S80" s="224">
        <v>16.100000000000001</v>
      </c>
      <c r="T80" s="224">
        <f t="shared" si="9"/>
        <v>2</v>
      </c>
      <c r="U80" s="224">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1"/>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3" t="s">
        <v>40</v>
      </c>
      <c r="E81" s="254" t="s">
        <v>312</v>
      </c>
      <c r="F81" s="254"/>
      <c r="G81" s="253" t="s">
        <v>284</v>
      </c>
      <c r="H81" s="255" t="str">
        <f>VLOOKUP(A81,'2. Status Detalhe Campos'!$A$7:$G$574,7,0)</f>
        <v>6. Em implementação (re-especificação)</v>
      </c>
      <c r="I81" s="229" t="s">
        <v>38</v>
      </c>
      <c r="J81" s="153">
        <v>45621</v>
      </c>
      <c r="K81" s="229"/>
      <c r="L81" s="280">
        <f t="array" ref="L81">MIN(IF(V81:CH81&gt;0,$V$16:$CH$16))</f>
        <v>45624</v>
      </c>
      <c r="M81" s="279">
        <f t="array" ref="M81">MAX(IF(V81:CH81&gt;0,$V$16:$CH$16))</f>
        <v>45625</v>
      </c>
      <c r="N81" s="277">
        <f>VLOOKUP(H81,Auxiliar!$B$16:$E$24,4,0)</f>
        <v>0</v>
      </c>
      <c r="O81" s="277">
        <f t="shared" ca="1" si="20"/>
        <v>0</v>
      </c>
      <c r="P81" s="276">
        <f t="shared" ca="1" si="8"/>
        <v>0</v>
      </c>
      <c r="Q81" s="288" t="s">
        <v>38</v>
      </c>
      <c r="R81" s="230"/>
      <c r="S81" s="224">
        <v>16.100000000000001</v>
      </c>
      <c r="T81" s="224">
        <f t="shared" si="9"/>
        <v>2</v>
      </c>
      <c r="U81" s="224">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1"/>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3" t="s">
        <v>40</v>
      </c>
      <c r="E82" s="254" t="s">
        <v>312</v>
      </c>
      <c r="F82" s="254"/>
      <c r="G82" s="253" t="s">
        <v>318</v>
      </c>
      <c r="H82" s="255" t="str">
        <f>VLOOKUP(A82,'2. Status Detalhe Campos'!$A$7:$G$574,7,0)</f>
        <v>6. Em implementação (re-especificação)</v>
      </c>
      <c r="I82" s="229" t="s">
        <v>38</v>
      </c>
      <c r="J82" s="153">
        <v>45621</v>
      </c>
      <c r="K82" s="229"/>
      <c r="L82" s="280">
        <f t="array" ref="L82">MIN(IF(V82:CH82&gt;0,$V$16:$CH$16))</f>
        <v>45628</v>
      </c>
      <c r="M82" s="279">
        <f t="array" ref="M82">MAX(IF(V82:CH82&gt;0,$V$16:$CH$16))</f>
        <v>45628</v>
      </c>
      <c r="N82" s="277">
        <f>VLOOKUP(H82,Auxiliar!$B$16:$E$24,4,0)</f>
        <v>0</v>
      </c>
      <c r="O82" s="277">
        <f t="shared" ca="1" si="20"/>
        <v>0</v>
      </c>
      <c r="P82" s="276">
        <f t="shared" ref="P82:P145" ca="1" si="21">N82-O82</f>
        <v>0</v>
      </c>
      <c r="Q82" s="288" t="s">
        <v>38</v>
      </c>
      <c r="R82" s="230"/>
      <c r="S82" s="224">
        <v>4.0999999999999996</v>
      </c>
      <c r="T82" s="224">
        <f t="shared" si="9"/>
        <v>0.5</v>
      </c>
      <c r="U82" s="224">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1"/>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3" t="s">
        <v>40</v>
      </c>
      <c r="E83" s="254" t="s">
        <v>312</v>
      </c>
      <c r="F83" s="254"/>
      <c r="G83" s="253" t="s">
        <v>319</v>
      </c>
      <c r="H83" s="255" t="str">
        <f>VLOOKUP(A83,'2. Status Detalhe Campos'!$A$7:$G$574,7,0)</f>
        <v>6. Em implementação (re-especificação)</v>
      </c>
      <c r="I83" s="229" t="s">
        <v>38</v>
      </c>
      <c r="J83" s="153">
        <v>45621</v>
      </c>
      <c r="K83" s="229"/>
      <c r="L83" s="280">
        <f t="array" ref="L83">MIN(IF(V83:CH83&gt;0,$V$16:$CH$16))</f>
        <v>45628</v>
      </c>
      <c r="M83" s="279">
        <f t="array" ref="M83">MAX(IF(V83:CH83&gt;0,$V$16:$CH$16))</f>
        <v>45628</v>
      </c>
      <c r="N83" s="277">
        <f>VLOOKUP(H83,Auxiliar!$B$16:$E$24,4,0)</f>
        <v>0</v>
      </c>
      <c r="O83" s="277">
        <f t="shared" ca="1" si="20"/>
        <v>0</v>
      </c>
      <c r="P83" s="276">
        <f t="shared" ca="1" si="21"/>
        <v>0</v>
      </c>
      <c r="Q83" s="288" t="s">
        <v>38</v>
      </c>
      <c r="R83" s="230"/>
      <c r="S83" s="224">
        <v>4.0999999999999996</v>
      </c>
      <c r="T83" s="224">
        <f t="shared" si="9"/>
        <v>0.5</v>
      </c>
      <c r="U83" s="224">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1"/>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60" t="s">
        <v>326</v>
      </c>
      <c r="F84" s="260" t="s">
        <v>1989</v>
      </c>
      <c r="G84" s="261">
        <f>COUNTA(G85:G104)</f>
        <v>20</v>
      </c>
      <c r="H84" s="136"/>
      <c r="I84" s="229" t="s">
        <v>38</v>
      </c>
      <c r="J84" s="258">
        <f>MIN(J85:J104)</f>
        <v>45614</v>
      </c>
      <c r="K84" s="229"/>
      <c r="L84" s="258">
        <f>MIN(L85:L104)</f>
        <v>45615</v>
      </c>
      <c r="M84" s="259">
        <f>MAX(M85:M104)</f>
        <v>45632</v>
      </c>
      <c r="N84" s="282">
        <f>SUMPRODUCT(N85:N104,T85:T104)/SUM(T85:T104)</f>
        <v>0</v>
      </c>
      <c r="O84" s="282">
        <f ca="1">SUMPRODUCT(O85:O104,T85:T104)/SUM(T85:T104)</f>
        <v>0</v>
      </c>
      <c r="P84" s="276">
        <f t="shared" ca="1" si="21"/>
        <v>0</v>
      </c>
      <c r="Q84" s="288" t="s">
        <v>38</v>
      </c>
      <c r="R84" s="230"/>
      <c r="S84" s="224"/>
      <c r="T84" s="224"/>
      <c r="U84" s="224"/>
      <c r="V84" s="79"/>
      <c r="W84" s="79"/>
      <c r="X84" s="79"/>
      <c r="Y84" s="79"/>
      <c r="Z84" s="79"/>
      <c r="AA84" s="79"/>
      <c r="AB84" s="79"/>
      <c r="AC84" s="92"/>
      <c r="AD84" s="79"/>
      <c r="AE84" s="79"/>
      <c r="AF84" s="79"/>
      <c r="AG84" s="79"/>
      <c r="AH84" s="79"/>
      <c r="AI84" s="79"/>
      <c r="AJ84" s="79"/>
      <c r="AK84" s="79"/>
      <c r="AL84" s="79"/>
      <c r="AM84" s="79"/>
      <c r="AN84" s="231"/>
      <c r="AO84" s="79"/>
      <c r="AP84" s="79"/>
      <c r="AQ84" s="79"/>
      <c r="AR84" s="79"/>
      <c r="AS84" s="79"/>
      <c r="AT84" s="79"/>
      <c r="AU84" s="79"/>
      <c r="AV84" s="79"/>
      <c r="AW84" s="79"/>
      <c r="AX84" s="79"/>
      <c r="AY84" s="79"/>
      <c r="AZ84" s="79"/>
      <c r="BA84" s="79"/>
      <c r="BB84" s="266"/>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3" t="s">
        <v>40</v>
      </c>
      <c r="E85" s="254" t="s">
        <v>326</v>
      </c>
      <c r="F85" s="254"/>
      <c r="G85" s="253" t="s">
        <v>250</v>
      </c>
      <c r="H85" s="255" t="str">
        <f>VLOOKUP(A85,'2. Status Detalhe Campos'!$A$7:$G$574,7,0)</f>
        <v>6. Em implementação (re-especificação)</v>
      </c>
      <c r="I85" s="229" t="s">
        <v>38</v>
      </c>
      <c r="J85" s="153">
        <v>45614</v>
      </c>
      <c r="K85" s="229"/>
      <c r="L85" s="280">
        <f t="array" ref="L85">MIN(IF(V85:CH85&gt;0,$V$16:$CH$16))</f>
        <v>45615</v>
      </c>
      <c r="M85" s="279">
        <f t="array" ref="M85">MAX(IF(V85:CH85&gt;0,$V$16:$CH$16))</f>
        <v>45615</v>
      </c>
      <c r="N85" s="277">
        <f>VLOOKUP(H85,Auxiliar!$B$16:$E$24,4,0)</f>
        <v>0</v>
      </c>
      <c r="O85" s="277">
        <f t="shared" ref="O85:O104" ca="1" si="22">IF(TODAY()&lt;=L85,0,MIN((TODAY()-L85)/(M85-L85+1),100%))</f>
        <v>0</v>
      </c>
      <c r="P85" s="276">
        <f t="shared" ca="1" si="21"/>
        <v>0</v>
      </c>
      <c r="Q85" s="288" t="s">
        <v>38</v>
      </c>
      <c r="R85" s="230"/>
      <c r="S85" s="224">
        <v>16.100000000000001</v>
      </c>
      <c r="T85" s="233">
        <v>1</v>
      </c>
      <c r="U85" s="224">
        <f t="shared" ref="U85:U104" si="23">SUM(V85:CH85)-T85</f>
        <v>0</v>
      </c>
      <c r="V85" s="79"/>
      <c r="W85" s="79"/>
      <c r="X85" s="79"/>
      <c r="Y85" s="79"/>
      <c r="Z85" s="79"/>
      <c r="AA85" s="79"/>
      <c r="AB85" s="79"/>
      <c r="AC85" s="92"/>
      <c r="AD85" s="79"/>
      <c r="AE85" s="79"/>
      <c r="AF85" s="79"/>
      <c r="AG85" s="79"/>
      <c r="AH85" s="79"/>
      <c r="AI85" s="79"/>
      <c r="AJ85" s="79"/>
      <c r="AK85" s="79"/>
      <c r="AL85" s="79"/>
      <c r="AM85" s="79"/>
      <c r="AN85" s="231"/>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3" t="s">
        <v>40</v>
      </c>
      <c r="E86" s="254" t="s">
        <v>326</v>
      </c>
      <c r="F86" s="254"/>
      <c r="G86" s="253" t="s">
        <v>251</v>
      </c>
      <c r="H86" s="255" t="str">
        <f>VLOOKUP(A86,'2. Status Detalhe Campos'!$A$7:$G$574,7,0)</f>
        <v>6. Em implementação (re-especificação)</v>
      </c>
      <c r="I86" s="229" t="s">
        <v>38</v>
      </c>
      <c r="J86" s="153">
        <v>45614</v>
      </c>
      <c r="K86" s="229"/>
      <c r="L86" s="280">
        <f t="array" ref="L86">MIN(IF(V86:CH86&gt;0,$V$16:$CH$16))</f>
        <v>45616</v>
      </c>
      <c r="M86" s="279">
        <f t="array" ref="M86">MAX(IF(V86:CH86&gt;0,$V$16:$CH$16))</f>
        <v>45616</v>
      </c>
      <c r="N86" s="277">
        <f>VLOOKUP(H86,Auxiliar!$B$16:$E$24,4,0)</f>
        <v>0</v>
      </c>
      <c r="O86" s="277">
        <f t="shared" ca="1" si="22"/>
        <v>0</v>
      </c>
      <c r="P86" s="276">
        <f t="shared" ca="1" si="21"/>
        <v>0</v>
      </c>
      <c r="Q86" s="288" t="s">
        <v>38</v>
      </c>
      <c r="R86" s="230"/>
      <c r="S86" s="224">
        <v>16.100000000000001</v>
      </c>
      <c r="T86" s="233">
        <v>1</v>
      </c>
      <c r="U86" s="224">
        <f t="shared" si="23"/>
        <v>0</v>
      </c>
      <c r="V86" s="79"/>
      <c r="W86" s="79"/>
      <c r="X86" s="79"/>
      <c r="Y86" s="79"/>
      <c r="Z86" s="79"/>
      <c r="AA86" s="79"/>
      <c r="AB86" s="79"/>
      <c r="AC86" s="92"/>
      <c r="AD86" s="79"/>
      <c r="AE86" s="79"/>
      <c r="AF86" s="79"/>
      <c r="AG86" s="79"/>
      <c r="AH86" s="79"/>
      <c r="AI86" s="79"/>
      <c r="AJ86" s="79"/>
      <c r="AK86" s="79"/>
      <c r="AL86" s="79"/>
      <c r="AM86" s="79"/>
      <c r="AN86" s="231"/>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4">E87&amp;G87</f>
        <v>modesg_out_empr_info_nfincca_capex_ttl_elgbl</v>
      </c>
      <c r="B87" s="142" t="s">
        <v>26</v>
      </c>
      <c r="C87" s="138" t="s">
        <v>311</v>
      </c>
      <c r="D87" s="253" t="s">
        <v>40</v>
      </c>
      <c r="E87" s="254" t="s">
        <v>326</v>
      </c>
      <c r="F87" s="254"/>
      <c r="G87" s="253" t="s">
        <v>249</v>
      </c>
      <c r="H87" s="255" t="str">
        <f>VLOOKUP(A87,'2. Status Detalhe Campos'!$A$7:$G$574,7,0)</f>
        <v>6. Em implementação (re-especificação)</v>
      </c>
      <c r="I87" s="229" t="s">
        <v>38</v>
      </c>
      <c r="J87" s="153">
        <v>45614</v>
      </c>
      <c r="K87" s="229"/>
      <c r="L87" s="280">
        <f t="array" ref="L87">MIN(IF(V87:CH87&gt;0,$V$16:$CH$16))</f>
        <v>45617</v>
      </c>
      <c r="M87" s="279">
        <f t="array" ref="M87">MAX(IF(V87:CH87&gt;0,$V$16:$CH$16))</f>
        <v>45617</v>
      </c>
      <c r="N87" s="277">
        <f>VLOOKUP(H87,Auxiliar!$B$16:$E$24,4,0)</f>
        <v>0</v>
      </c>
      <c r="O87" s="277">
        <f t="shared" ca="1" si="22"/>
        <v>0</v>
      </c>
      <c r="P87" s="276">
        <f t="shared" ca="1" si="21"/>
        <v>0</v>
      </c>
      <c r="Q87" s="288" t="s">
        <v>38</v>
      </c>
      <c r="R87" s="230"/>
      <c r="S87" s="224">
        <v>16.100000000000001</v>
      </c>
      <c r="T87" s="233">
        <v>1</v>
      </c>
      <c r="U87" s="224">
        <f t="shared" si="23"/>
        <v>0</v>
      </c>
      <c r="V87" s="79"/>
      <c r="W87" s="79"/>
      <c r="X87" s="79"/>
      <c r="Y87" s="79"/>
      <c r="Z87" s="79"/>
      <c r="AA87" s="79"/>
      <c r="AB87" s="79"/>
      <c r="AC87" s="92"/>
      <c r="AD87" s="79"/>
      <c r="AE87" s="79"/>
      <c r="AF87" s="79"/>
      <c r="AG87" s="79"/>
      <c r="AH87" s="79"/>
      <c r="AI87" s="79"/>
      <c r="AJ87" s="79"/>
      <c r="AK87" s="79"/>
      <c r="AL87" s="79"/>
      <c r="AM87" s="79"/>
      <c r="AN87" s="231"/>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4"/>
        <v>modesg_out_empr_info_nfincca_trnvr_enblng_alignd</v>
      </c>
      <c r="B88" s="142" t="s">
        <v>26</v>
      </c>
      <c r="C88" s="138" t="s">
        <v>311</v>
      </c>
      <c r="D88" s="253" t="s">
        <v>40</v>
      </c>
      <c r="E88" s="254" t="s">
        <v>326</v>
      </c>
      <c r="F88" s="254"/>
      <c r="G88" s="253" t="s">
        <v>247</v>
      </c>
      <c r="H88" s="255" t="str">
        <f>VLOOKUP(A88,'2. Status Detalhe Campos'!$A$7:$G$574,7,0)</f>
        <v>6. Em implementação (re-especificação)</v>
      </c>
      <c r="I88" s="229" t="s">
        <v>38</v>
      </c>
      <c r="J88" s="153">
        <v>45614</v>
      </c>
      <c r="K88" s="229"/>
      <c r="L88" s="280">
        <f t="array" ref="L88">MIN(IF(V88:CH88&gt;0,$V$16:$CH$16))</f>
        <v>45618</v>
      </c>
      <c r="M88" s="279">
        <f t="array" ref="M88">MAX(IF(V88:CH88&gt;0,$V$16:$CH$16))</f>
        <v>45618</v>
      </c>
      <c r="N88" s="277">
        <f>VLOOKUP(H88,Auxiliar!$B$16:$E$24,4,0)</f>
        <v>0</v>
      </c>
      <c r="O88" s="277">
        <f t="shared" ca="1" si="22"/>
        <v>0</v>
      </c>
      <c r="P88" s="276">
        <f t="shared" ca="1" si="21"/>
        <v>0</v>
      </c>
      <c r="Q88" s="288" t="s">
        <v>38</v>
      </c>
      <c r="R88" s="230"/>
      <c r="S88" s="234">
        <v>4</v>
      </c>
      <c r="T88" s="224">
        <f t="shared" ref="T88:T169" si="25">ROUND(S88/8,1)</f>
        <v>0.5</v>
      </c>
      <c r="U88" s="224">
        <f t="shared" si="23"/>
        <v>0</v>
      </c>
      <c r="V88" s="79"/>
      <c r="W88" s="79"/>
      <c r="X88" s="79"/>
      <c r="Y88" s="79"/>
      <c r="Z88" s="79"/>
      <c r="AA88" s="79"/>
      <c r="AB88" s="79"/>
      <c r="AC88" s="92"/>
      <c r="AD88" s="79"/>
      <c r="AE88" s="79"/>
      <c r="AF88" s="79"/>
      <c r="AG88" s="79"/>
      <c r="AH88" s="79"/>
      <c r="AI88" s="79"/>
      <c r="AJ88" s="79"/>
      <c r="AK88" s="79"/>
      <c r="AL88" s="79"/>
      <c r="AM88" s="79"/>
      <c r="AN88" s="231"/>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4"/>
        <v>modesg_out_empr_info_nfincca_trnvr_ttl_elgbl</v>
      </c>
      <c r="B89" s="142" t="s">
        <v>26</v>
      </c>
      <c r="C89" s="138" t="s">
        <v>311</v>
      </c>
      <c r="D89" s="253" t="s">
        <v>40</v>
      </c>
      <c r="E89" s="254" t="s">
        <v>326</v>
      </c>
      <c r="F89" s="254"/>
      <c r="G89" s="253" t="s">
        <v>246</v>
      </c>
      <c r="H89" s="255" t="str">
        <f>VLOOKUP(A89,'2. Status Detalhe Campos'!$A$7:$G$574,7,0)</f>
        <v>6. Em implementação (re-especificação)</v>
      </c>
      <c r="I89" s="229" t="s">
        <v>38</v>
      </c>
      <c r="J89" s="153">
        <v>45614</v>
      </c>
      <c r="K89" s="229"/>
      <c r="L89" s="280">
        <f t="array" ref="L89">MIN(IF(V89:CH89&gt;0,$V$16:$CH$16))</f>
        <v>45618</v>
      </c>
      <c r="M89" s="279">
        <f t="array" ref="M89">MAX(IF(V89:CH89&gt;0,$V$16:$CH$16))</f>
        <v>45618</v>
      </c>
      <c r="N89" s="277">
        <f>VLOOKUP(H89,Auxiliar!$B$16:$E$24,4,0)</f>
        <v>0</v>
      </c>
      <c r="O89" s="277">
        <f t="shared" ca="1" si="22"/>
        <v>0</v>
      </c>
      <c r="P89" s="276">
        <f t="shared" ca="1" si="21"/>
        <v>0</v>
      </c>
      <c r="Q89" s="288" t="s">
        <v>38</v>
      </c>
      <c r="R89" s="230"/>
      <c r="S89" s="234">
        <v>4</v>
      </c>
      <c r="T89" s="224">
        <f t="shared" si="25"/>
        <v>0.5</v>
      </c>
      <c r="U89" s="224">
        <f t="shared" si="23"/>
        <v>0</v>
      </c>
      <c r="V89" s="79"/>
      <c r="W89" s="79"/>
      <c r="X89" s="79"/>
      <c r="Y89" s="79"/>
      <c r="Z89" s="79"/>
      <c r="AA89" s="79"/>
      <c r="AB89" s="79"/>
      <c r="AC89" s="92"/>
      <c r="AD89" s="79"/>
      <c r="AE89" s="79"/>
      <c r="AF89" s="79"/>
      <c r="AG89" s="79"/>
      <c r="AH89" s="79"/>
      <c r="AI89" s="79"/>
      <c r="AJ89" s="79"/>
      <c r="AK89" s="79"/>
      <c r="AL89" s="79"/>
      <c r="AM89" s="79"/>
      <c r="AN89" s="231"/>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4"/>
        <v>modesg_out_empr_info_nfincca_turnover_own_prfrmnce_algnd</v>
      </c>
      <c r="B90" s="142" t="s">
        <v>26</v>
      </c>
      <c r="C90" s="138" t="s">
        <v>311</v>
      </c>
      <c r="D90" s="253" t="s">
        <v>40</v>
      </c>
      <c r="E90" s="254" t="s">
        <v>326</v>
      </c>
      <c r="F90" s="254"/>
      <c r="G90" s="253" t="s">
        <v>248</v>
      </c>
      <c r="H90" s="255" t="str">
        <f>VLOOKUP(A90,'2. Status Detalhe Campos'!$A$7:$G$574,7,0)</f>
        <v>6. Em implementação (re-especificação)</v>
      </c>
      <c r="I90" s="229" t="s">
        <v>38</v>
      </c>
      <c r="J90" s="153">
        <v>45614</v>
      </c>
      <c r="K90" s="229"/>
      <c r="L90" s="280">
        <f t="array" ref="L90">MIN(IF(V90:CH90&gt;0,$V$16:$CH$16))</f>
        <v>45621</v>
      </c>
      <c r="M90" s="279">
        <f t="array" ref="M90">MAX(IF(V90:CH90&gt;0,$V$16:$CH$16))</f>
        <v>45621</v>
      </c>
      <c r="N90" s="277">
        <f>VLOOKUP(H90,Auxiliar!$B$16:$E$24,4,0)</f>
        <v>0</v>
      </c>
      <c r="O90" s="277">
        <f t="shared" ca="1" si="22"/>
        <v>0</v>
      </c>
      <c r="P90" s="276">
        <f t="shared" ca="1" si="21"/>
        <v>0</v>
      </c>
      <c r="Q90" s="288" t="s">
        <v>38</v>
      </c>
      <c r="R90" s="230"/>
      <c r="S90" s="234">
        <v>4</v>
      </c>
      <c r="T90" s="224">
        <f t="shared" si="25"/>
        <v>0.5</v>
      </c>
      <c r="U90" s="224">
        <f t="shared" si="23"/>
        <v>0</v>
      </c>
      <c r="V90" s="79"/>
      <c r="W90" s="79"/>
      <c r="X90" s="79"/>
      <c r="Y90" s="79"/>
      <c r="Z90" s="79"/>
      <c r="AA90" s="79"/>
      <c r="AB90" s="79"/>
      <c r="AC90" s="92"/>
      <c r="AD90" s="79"/>
      <c r="AE90" s="79"/>
      <c r="AF90" s="79"/>
      <c r="AG90" s="79"/>
      <c r="AH90" s="79"/>
      <c r="AI90" s="79"/>
      <c r="AJ90" s="79"/>
      <c r="AK90" s="79"/>
      <c r="AL90" s="79"/>
      <c r="AM90" s="79"/>
      <c r="AN90" s="231"/>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4"/>
        <v>modesg_out_empr_info_nfinccm_capex_enblng_algnd</v>
      </c>
      <c r="B91" s="142" t="s">
        <v>26</v>
      </c>
      <c r="C91" s="138" t="s">
        <v>311</v>
      </c>
      <c r="D91" s="253" t="s">
        <v>40</v>
      </c>
      <c r="E91" s="254" t="s">
        <v>326</v>
      </c>
      <c r="F91" s="254"/>
      <c r="G91" s="253" t="s">
        <v>257</v>
      </c>
      <c r="H91" s="255" t="str">
        <f>VLOOKUP(A91,'2. Status Detalhe Campos'!$A$7:$G$574,7,0)</f>
        <v>6. Em implementação (re-especificação)</v>
      </c>
      <c r="I91" s="229" t="s">
        <v>38</v>
      </c>
      <c r="J91" s="153">
        <v>45614</v>
      </c>
      <c r="K91" s="229"/>
      <c r="L91" s="280">
        <f t="array" ref="L91">MIN(IF(V91:CH91&gt;0,$V$16:$CH$16))</f>
        <v>45621</v>
      </c>
      <c r="M91" s="279">
        <f t="array" ref="M91">MAX(IF(V91:CH91&gt;0,$V$16:$CH$16))</f>
        <v>45621</v>
      </c>
      <c r="N91" s="277">
        <f>VLOOKUP(H91,Auxiliar!$B$16:$E$24,4,0)</f>
        <v>0</v>
      </c>
      <c r="O91" s="277">
        <f t="shared" ca="1" si="22"/>
        <v>0</v>
      </c>
      <c r="P91" s="276">
        <f t="shared" ca="1" si="21"/>
        <v>0</v>
      </c>
      <c r="Q91" s="288" t="s">
        <v>38</v>
      </c>
      <c r="R91" s="230"/>
      <c r="S91" s="234">
        <v>4</v>
      </c>
      <c r="T91" s="224">
        <f t="shared" si="25"/>
        <v>0.5</v>
      </c>
      <c r="U91" s="224">
        <f t="shared" si="23"/>
        <v>0</v>
      </c>
      <c r="V91" s="79"/>
      <c r="W91" s="79"/>
      <c r="X91" s="79"/>
      <c r="Y91" s="79"/>
      <c r="Z91" s="79"/>
      <c r="AA91" s="79"/>
      <c r="AB91" s="79"/>
      <c r="AC91" s="92"/>
      <c r="AD91" s="79"/>
      <c r="AE91" s="79"/>
      <c r="AF91" s="79"/>
      <c r="AG91" s="79"/>
      <c r="AH91" s="79"/>
      <c r="AI91" s="79"/>
      <c r="AJ91" s="79"/>
      <c r="AK91" s="79"/>
      <c r="AL91" s="79"/>
      <c r="AM91" s="79"/>
      <c r="AN91" s="231"/>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4"/>
        <v>modesg_out_empr_info_nfinccm_capex_own_prfrmnce_algnd</v>
      </c>
      <c r="B92" s="142" t="s">
        <v>26</v>
      </c>
      <c r="C92" s="138" t="s">
        <v>311</v>
      </c>
      <c r="D92" s="253" t="s">
        <v>40</v>
      </c>
      <c r="E92" s="254" t="s">
        <v>326</v>
      </c>
      <c r="F92" s="254"/>
      <c r="G92" s="253" t="s">
        <v>259</v>
      </c>
      <c r="H92" s="255" t="str">
        <f>VLOOKUP(A92,'2. Status Detalhe Campos'!$A$7:$G$574,7,0)</f>
        <v>6. Em implementação (re-especificação)</v>
      </c>
      <c r="I92" s="229" t="s">
        <v>38</v>
      </c>
      <c r="J92" s="153">
        <v>45614</v>
      </c>
      <c r="K92" s="229"/>
      <c r="L92" s="280">
        <f t="array" ref="L92">MIN(IF(V92:CH92&gt;0,$V$16:$CH$16))</f>
        <v>45622</v>
      </c>
      <c r="M92" s="279">
        <f t="array" ref="M92">MAX(IF(V92:CH92&gt;0,$V$16:$CH$16))</f>
        <v>45622</v>
      </c>
      <c r="N92" s="277">
        <f>VLOOKUP(H92,Auxiliar!$B$16:$E$24,4,0)</f>
        <v>0</v>
      </c>
      <c r="O92" s="277">
        <f t="shared" ca="1" si="22"/>
        <v>0</v>
      </c>
      <c r="P92" s="276">
        <f t="shared" ca="1" si="21"/>
        <v>0</v>
      </c>
      <c r="Q92" s="288" t="s">
        <v>38</v>
      </c>
      <c r="R92" s="230"/>
      <c r="S92" s="234">
        <v>4</v>
      </c>
      <c r="T92" s="224">
        <f t="shared" si="25"/>
        <v>0.5</v>
      </c>
      <c r="U92" s="224">
        <f t="shared" si="23"/>
        <v>0</v>
      </c>
      <c r="V92" s="79"/>
      <c r="W92" s="79"/>
      <c r="X92" s="79"/>
      <c r="Y92" s="79"/>
      <c r="Z92" s="79"/>
      <c r="AA92" s="79"/>
      <c r="AB92" s="79"/>
      <c r="AC92" s="92"/>
      <c r="AD92" s="79"/>
      <c r="AE92" s="79"/>
      <c r="AF92" s="79"/>
      <c r="AG92" s="79"/>
      <c r="AH92" s="79"/>
      <c r="AI92" s="79"/>
      <c r="AJ92" s="79"/>
      <c r="AK92" s="79"/>
      <c r="AL92" s="79"/>
      <c r="AM92" s="79"/>
      <c r="AN92" s="231"/>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4"/>
        <v>modesg_out_empr_info_nfinccm_capex_trnstn_algnd</v>
      </c>
      <c r="B93" s="142" t="s">
        <v>26</v>
      </c>
      <c r="C93" s="138" t="s">
        <v>311</v>
      </c>
      <c r="D93" s="253" t="s">
        <v>40</v>
      </c>
      <c r="E93" s="254" t="s">
        <v>326</v>
      </c>
      <c r="F93" s="254"/>
      <c r="G93" s="253" t="s">
        <v>258</v>
      </c>
      <c r="H93" s="255" t="str">
        <f>VLOOKUP(A93,'2. Status Detalhe Campos'!$A$7:$G$574,7,0)</f>
        <v>6. Em implementação (re-especificação)</v>
      </c>
      <c r="I93" s="229" t="s">
        <v>38</v>
      </c>
      <c r="J93" s="153">
        <v>45614</v>
      </c>
      <c r="K93" s="229"/>
      <c r="L93" s="280">
        <f t="array" ref="L93">MIN(IF(V93:CH93&gt;0,$V$16:$CH$16))</f>
        <v>45622</v>
      </c>
      <c r="M93" s="279">
        <f t="array" ref="M93">MAX(IF(V93:CH93&gt;0,$V$16:$CH$16))</f>
        <v>45622</v>
      </c>
      <c r="N93" s="277">
        <f>VLOOKUP(H93,Auxiliar!$B$16:$E$24,4,0)</f>
        <v>0</v>
      </c>
      <c r="O93" s="277">
        <f t="shared" ca="1" si="22"/>
        <v>0</v>
      </c>
      <c r="P93" s="276">
        <f t="shared" ca="1" si="21"/>
        <v>0</v>
      </c>
      <c r="Q93" s="288" t="s">
        <v>38</v>
      </c>
      <c r="R93" s="230"/>
      <c r="S93" s="234">
        <v>4</v>
      </c>
      <c r="T93" s="224">
        <f t="shared" si="25"/>
        <v>0.5</v>
      </c>
      <c r="U93" s="224">
        <f t="shared" si="23"/>
        <v>0</v>
      </c>
      <c r="V93" s="79"/>
      <c r="W93" s="79"/>
      <c r="X93" s="79"/>
      <c r="Y93" s="79"/>
      <c r="Z93" s="79"/>
      <c r="AA93" s="79"/>
      <c r="AB93" s="79"/>
      <c r="AC93" s="92"/>
      <c r="AD93" s="79"/>
      <c r="AE93" s="79"/>
      <c r="AF93" s="79"/>
      <c r="AG93" s="79"/>
      <c r="AH93" s="79"/>
      <c r="AI93" s="79"/>
      <c r="AJ93" s="79"/>
      <c r="AK93" s="79"/>
      <c r="AL93" s="79"/>
      <c r="AM93" s="79"/>
      <c r="AN93" s="231"/>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4"/>
        <v>modesg_out_empr_info_nfinccm_capex_ttl_elgbl</v>
      </c>
      <c r="B94" s="142" t="s">
        <v>26</v>
      </c>
      <c r="C94" s="138" t="s">
        <v>311</v>
      </c>
      <c r="D94" s="253" t="s">
        <v>40</v>
      </c>
      <c r="E94" s="254" t="s">
        <v>326</v>
      </c>
      <c r="F94" s="254"/>
      <c r="G94" s="253" t="s">
        <v>256</v>
      </c>
      <c r="H94" s="255" t="str">
        <f>VLOOKUP(A94,'2. Status Detalhe Campos'!$A$7:$G$574,7,0)</f>
        <v>6. Em implementação (re-especificação)</v>
      </c>
      <c r="I94" s="229" t="s">
        <v>38</v>
      </c>
      <c r="J94" s="153">
        <v>45614</v>
      </c>
      <c r="K94" s="229"/>
      <c r="L94" s="280">
        <f t="array" ref="L94">MIN(IF(V94:CH94&gt;0,$V$16:$CH$16))</f>
        <v>45623</v>
      </c>
      <c r="M94" s="279">
        <f t="array" ref="M94">MAX(IF(V94:CH94&gt;0,$V$16:$CH$16))</f>
        <v>45623</v>
      </c>
      <c r="N94" s="277">
        <f>VLOOKUP(H94,Auxiliar!$B$16:$E$24,4,0)</f>
        <v>0</v>
      </c>
      <c r="O94" s="277">
        <f t="shared" ca="1" si="22"/>
        <v>0</v>
      </c>
      <c r="P94" s="276">
        <f t="shared" ca="1" si="21"/>
        <v>0</v>
      </c>
      <c r="Q94" s="288" t="s">
        <v>38</v>
      </c>
      <c r="R94" s="230"/>
      <c r="S94" s="234">
        <v>4</v>
      </c>
      <c r="T94" s="224">
        <f t="shared" si="25"/>
        <v>0.5</v>
      </c>
      <c r="U94" s="224">
        <f t="shared" si="23"/>
        <v>0</v>
      </c>
      <c r="V94" s="79"/>
      <c r="W94" s="79"/>
      <c r="X94" s="79"/>
      <c r="Y94" s="79"/>
      <c r="Z94" s="79"/>
      <c r="AA94" s="79"/>
      <c r="AB94" s="79"/>
      <c r="AC94" s="92"/>
      <c r="AD94" s="79"/>
      <c r="AE94" s="79"/>
      <c r="AF94" s="79"/>
      <c r="AG94" s="79"/>
      <c r="AH94" s="79"/>
      <c r="AI94" s="79"/>
      <c r="AJ94" s="79"/>
      <c r="AK94" s="79"/>
      <c r="AL94" s="79"/>
      <c r="AM94" s="79"/>
      <c r="AN94" s="231"/>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4"/>
        <v>modesg_out_empr_info_nfinccm_trnvr_enblng_algnd</v>
      </c>
      <c r="B95" s="142" t="s">
        <v>26</v>
      </c>
      <c r="C95" s="138" t="s">
        <v>311</v>
      </c>
      <c r="D95" s="253" t="s">
        <v>40</v>
      </c>
      <c r="E95" s="254" t="s">
        <v>326</v>
      </c>
      <c r="F95" s="254"/>
      <c r="G95" s="253" t="s">
        <v>253</v>
      </c>
      <c r="H95" s="255" t="str">
        <f>VLOOKUP(A95,'2. Status Detalhe Campos'!$A$7:$G$574,7,0)</f>
        <v>6. Em implementação (re-especificação)</v>
      </c>
      <c r="I95" s="229" t="s">
        <v>38</v>
      </c>
      <c r="J95" s="153">
        <v>45614</v>
      </c>
      <c r="K95" s="229"/>
      <c r="L95" s="280">
        <f t="array" ref="L95">MIN(IF(V95:CH95&gt;0,$V$16:$CH$16))</f>
        <v>45623</v>
      </c>
      <c r="M95" s="279">
        <f t="array" ref="M95">MAX(IF(V95:CH95&gt;0,$V$16:$CH$16))</f>
        <v>45623</v>
      </c>
      <c r="N95" s="277">
        <f>VLOOKUP(H95,Auxiliar!$B$16:$E$24,4,0)</f>
        <v>0</v>
      </c>
      <c r="O95" s="277">
        <f t="shared" ca="1" si="22"/>
        <v>0</v>
      </c>
      <c r="P95" s="276">
        <f t="shared" ca="1" si="21"/>
        <v>0</v>
      </c>
      <c r="Q95" s="288" t="s">
        <v>38</v>
      </c>
      <c r="R95" s="230"/>
      <c r="S95" s="234">
        <v>4</v>
      </c>
      <c r="T95" s="224">
        <f t="shared" si="25"/>
        <v>0.5</v>
      </c>
      <c r="U95" s="224">
        <f t="shared" si="23"/>
        <v>0</v>
      </c>
      <c r="V95" s="79"/>
      <c r="W95" s="79"/>
      <c r="X95" s="79"/>
      <c r="Y95" s="79"/>
      <c r="Z95" s="79"/>
      <c r="AA95" s="79"/>
      <c r="AB95" s="79"/>
      <c r="AC95" s="92"/>
      <c r="AD95" s="79"/>
      <c r="AE95" s="79"/>
      <c r="AF95" s="79"/>
      <c r="AG95" s="79"/>
      <c r="AH95" s="79"/>
      <c r="AI95" s="79"/>
      <c r="AJ95" s="79"/>
      <c r="AK95" s="79"/>
      <c r="AL95" s="79"/>
      <c r="AM95" s="79"/>
      <c r="AN95" s="231"/>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4"/>
        <v>modesg_out_empr_info_nfinccm_trnvr_own_prfrmnce_algnd</v>
      </c>
      <c r="B96" s="142" t="s">
        <v>26</v>
      </c>
      <c r="C96" s="138" t="s">
        <v>311</v>
      </c>
      <c r="D96" s="253" t="s">
        <v>40</v>
      </c>
      <c r="E96" s="254" t="s">
        <v>326</v>
      </c>
      <c r="F96" s="254"/>
      <c r="G96" s="253" t="s">
        <v>255</v>
      </c>
      <c r="H96" s="255" t="str">
        <f>VLOOKUP(A96,'2. Status Detalhe Campos'!$A$7:$G$574,7,0)</f>
        <v>6. Em implementação (re-especificação)</v>
      </c>
      <c r="I96" s="229" t="s">
        <v>38</v>
      </c>
      <c r="J96" s="153">
        <v>45614</v>
      </c>
      <c r="K96" s="229"/>
      <c r="L96" s="280">
        <f t="array" ref="L96">MIN(IF(V96:CH96&gt;0,$V$16:$CH$16))</f>
        <v>45624</v>
      </c>
      <c r="M96" s="279">
        <f t="array" ref="M96">MAX(IF(V96:CH96&gt;0,$V$16:$CH$16))</f>
        <v>45624</v>
      </c>
      <c r="N96" s="277">
        <f>VLOOKUP(H96,Auxiliar!$B$16:$E$24,4,0)</f>
        <v>0</v>
      </c>
      <c r="O96" s="277">
        <f t="shared" ca="1" si="22"/>
        <v>0</v>
      </c>
      <c r="P96" s="276">
        <f t="shared" ca="1" si="21"/>
        <v>0</v>
      </c>
      <c r="Q96" s="288" t="s">
        <v>38</v>
      </c>
      <c r="R96" s="230"/>
      <c r="S96" s="234">
        <v>4</v>
      </c>
      <c r="T96" s="224">
        <f t="shared" si="25"/>
        <v>0.5</v>
      </c>
      <c r="U96" s="224">
        <f t="shared" si="23"/>
        <v>0</v>
      </c>
      <c r="V96" s="79"/>
      <c r="W96" s="79"/>
      <c r="X96" s="79"/>
      <c r="Y96" s="79"/>
      <c r="Z96" s="79"/>
      <c r="AA96" s="79"/>
      <c r="AB96" s="79"/>
      <c r="AC96" s="92"/>
      <c r="AD96" s="79"/>
      <c r="AE96" s="79"/>
      <c r="AF96" s="79"/>
      <c r="AG96" s="79"/>
      <c r="AH96" s="79"/>
      <c r="AI96" s="79"/>
      <c r="AJ96" s="79"/>
      <c r="AK96" s="79"/>
      <c r="AL96" s="79"/>
      <c r="AM96" s="79"/>
      <c r="AN96" s="231"/>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4"/>
        <v>modesg_out_empr_info_nfinccm_trnvr_trnstn_alignd</v>
      </c>
      <c r="B97" s="142" t="s">
        <v>26</v>
      </c>
      <c r="C97" s="138" t="s">
        <v>311</v>
      </c>
      <c r="D97" s="253" t="s">
        <v>40</v>
      </c>
      <c r="E97" s="254" t="s">
        <v>326</v>
      </c>
      <c r="F97" s="254"/>
      <c r="G97" s="253" t="s">
        <v>254</v>
      </c>
      <c r="H97" s="255" t="str">
        <f>VLOOKUP(A97,'2. Status Detalhe Campos'!$A$7:$G$574,7,0)</f>
        <v>6. Em implementação (re-especificação)</v>
      </c>
      <c r="I97" s="229" t="s">
        <v>38</v>
      </c>
      <c r="J97" s="153">
        <v>45614</v>
      </c>
      <c r="K97" s="229"/>
      <c r="L97" s="280">
        <f t="array" ref="L97">MIN(IF(V97:CH97&gt;0,$V$16:$CH$16))</f>
        <v>45624</v>
      </c>
      <c r="M97" s="279">
        <f t="array" ref="M97">MAX(IF(V97:CH97&gt;0,$V$16:$CH$16))</f>
        <v>45624</v>
      </c>
      <c r="N97" s="277">
        <f>VLOOKUP(H97,Auxiliar!$B$16:$E$24,4,0)</f>
        <v>0</v>
      </c>
      <c r="O97" s="277">
        <f t="shared" ca="1" si="22"/>
        <v>0</v>
      </c>
      <c r="P97" s="276">
        <f t="shared" ca="1" si="21"/>
        <v>0</v>
      </c>
      <c r="Q97" s="288" t="s">
        <v>38</v>
      </c>
      <c r="R97" s="230"/>
      <c r="S97" s="234">
        <v>4</v>
      </c>
      <c r="T97" s="224">
        <f t="shared" si="25"/>
        <v>0.5</v>
      </c>
      <c r="U97" s="224">
        <f t="shared" si="23"/>
        <v>0</v>
      </c>
      <c r="V97" s="79"/>
      <c r="W97" s="79"/>
      <c r="X97" s="79"/>
      <c r="Y97" s="79"/>
      <c r="Z97" s="79"/>
      <c r="AA97" s="79"/>
      <c r="AB97" s="79"/>
      <c r="AC97" s="92"/>
      <c r="AD97" s="79"/>
      <c r="AE97" s="79"/>
      <c r="AF97" s="79"/>
      <c r="AG97" s="79"/>
      <c r="AH97" s="79"/>
      <c r="AI97" s="79"/>
      <c r="AJ97" s="79"/>
      <c r="AK97" s="79"/>
      <c r="AL97" s="79"/>
      <c r="AM97" s="79"/>
      <c r="AN97" s="231"/>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4"/>
        <v>modesg_out_empr_info_nfinccm_trnvr_ttl_elgbl</v>
      </c>
      <c r="B98" s="142" t="s">
        <v>26</v>
      </c>
      <c r="C98" s="138" t="s">
        <v>311</v>
      </c>
      <c r="D98" s="253" t="s">
        <v>40</v>
      </c>
      <c r="E98" s="254" t="s">
        <v>326</v>
      </c>
      <c r="F98" s="254"/>
      <c r="G98" s="253" t="s">
        <v>252</v>
      </c>
      <c r="H98" s="255" t="str">
        <f>VLOOKUP(A98,'2. Status Detalhe Campos'!$A$7:$G$574,7,0)</f>
        <v>6. Em implementação (re-especificação)</v>
      </c>
      <c r="I98" s="229" t="s">
        <v>38</v>
      </c>
      <c r="J98" s="153">
        <v>45614</v>
      </c>
      <c r="K98" s="229"/>
      <c r="L98" s="280">
        <f t="array" ref="L98">MIN(IF(V98:CH98&gt;0,$V$16:$CH$16))</f>
        <v>45625</v>
      </c>
      <c r="M98" s="279">
        <f t="array" ref="M98">MAX(IF(V98:CH98&gt;0,$V$16:$CH$16))</f>
        <v>45625</v>
      </c>
      <c r="N98" s="277">
        <f>VLOOKUP(H98,Auxiliar!$B$16:$E$24,4,0)</f>
        <v>0</v>
      </c>
      <c r="O98" s="277">
        <f t="shared" ca="1" si="22"/>
        <v>0</v>
      </c>
      <c r="P98" s="276">
        <f t="shared" ca="1" si="21"/>
        <v>0</v>
      </c>
      <c r="Q98" s="288" t="s">
        <v>38</v>
      </c>
      <c r="R98" s="230"/>
      <c r="S98" s="234">
        <v>4</v>
      </c>
      <c r="T98" s="224">
        <f t="shared" si="25"/>
        <v>0.5</v>
      </c>
      <c r="U98" s="224">
        <f t="shared" si="23"/>
        <v>0</v>
      </c>
      <c r="V98" s="79"/>
      <c r="W98" s="79"/>
      <c r="X98" s="79"/>
      <c r="Y98" s="79"/>
      <c r="Z98" s="79"/>
      <c r="AA98" s="79"/>
      <c r="AB98" s="79"/>
      <c r="AC98" s="92"/>
      <c r="AD98" s="79"/>
      <c r="AE98" s="79"/>
      <c r="AF98" s="79"/>
      <c r="AG98" s="79"/>
      <c r="AH98" s="79"/>
      <c r="AI98" s="79"/>
      <c r="AJ98" s="79"/>
      <c r="AK98" s="79"/>
      <c r="AL98" s="79"/>
      <c r="AM98" s="79"/>
      <c r="AN98" s="231"/>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4"/>
        <v>modesg_out_empr_info_nfincod_nace_esg</v>
      </c>
      <c r="B99" s="142" t="s">
        <v>26</v>
      </c>
      <c r="C99" s="138" t="s">
        <v>311</v>
      </c>
      <c r="D99" s="253" t="s">
        <v>40</v>
      </c>
      <c r="E99" s="254" t="s">
        <v>326</v>
      </c>
      <c r="F99" s="254"/>
      <c r="G99" s="256" t="s">
        <v>282</v>
      </c>
      <c r="H99" s="255" t="str">
        <f>VLOOKUP(A99,'2. Status Detalhe Campos'!$A$7:$G$574,7,0)</f>
        <v>6. Em implementação (re-especificação)</v>
      </c>
      <c r="I99" s="229" t="s">
        <v>38</v>
      </c>
      <c r="J99" s="153">
        <v>45614</v>
      </c>
      <c r="K99" s="229"/>
      <c r="L99" s="280">
        <f t="array" ref="L99">MIN(IF(V99:CH99&gt;0,$V$16:$CH$16))</f>
        <v>45625</v>
      </c>
      <c r="M99" s="279">
        <f t="array" ref="M99">MAX(IF(V99:CH99&gt;0,$V$16:$CH$16))</f>
        <v>45629</v>
      </c>
      <c r="N99" s="277">
        <f>VLOOKUP(H99,Auxiliar!$B$16:$E$24,4,0)</f>
        <v>0</v>
      </c>
      <c r="O99" s="277">
        <f t="shared" ca="1" si="22"/>
        <v>0</v>
      </c>
      <c r="P99" s="276">
        <f t="shared" ca="1" si="21"/>
        <v>0</v>
      </c>
      <c r="Q99" s="288" t="s">
        <v>38</v>
      </c>
      <c r="R99" s="230"/>
      <c r="S99" s="224">
        <v>16.100000000000001</v>
      </c>
      <c r="T99" s="224">
        <f t="shared" si="25"/>
        <v>2</v>
      </c>
      <c r="U99" s="224">
        <f t="shared" si="23"/>
        <v>0</v>
      </c>
      <c r="V99" s="79"/>
      <c r="W99" s="79"/>
      <c r="X99" s="79"/>
      <c r="Y99" s="79"/>
      <c r="Z99" s="79"/>
      <c r="AA99" s="79"/>
      <c r="AB99" s="79"/>
      <c r="AC99" s="92"/>
      <c r="AD99" s="79"/>
      <c r="AE99" s="79"/>
      <c r="AF99" s="79"/>
      <c r="AG99" s="79"/>
      <c r="AH99" s="79"/>
      <c r="AI99" s="79"/>
      <c r="AJ99" s="79"/>
      <c r="AK99" s="79"/>
      <c r="AL99" s="79"/>
      <c r="AM99" s="79"/>
      <c r="AN99" s="231"/>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4"/>
        <v>modesg_out_empr_info_nfinflg_emprs_excl_paris</v>
      </c>
      <c r="B100" s="142" t="s">
        <v>26</v>
      </c>
      <c r="C100" s="138" t="s">
        <v>311</v>
      </c>
      <c r="D100" s="253" t="s">
        <v>40</v>
      </c>
      <c r="E100" s="254" t="s">
        <v>326</v>
      </c>
      <c r="F100" s="254"/>
      <c r="G100" s="253" t="s">
        <v>328</v>
      </c>
      <c r="H100" s="255" t="str">
        <f>VLOOKUP(A100,'2. Status Detalhe Campos'!$A$7:$G$574,7,0)</f>
        <v>6. Em implementação (re-especificação)</v>
      </c>
      <c r="I100" s="229" t="s">
        <v>38</v>
      </c>
      <c r="J100" s="153">
        <v>45614</v>
      </c>
      <c r="K100" s="229"/>
      <c r="L100" s="280">
        <f t="array" ref="L100">MIN(IF(V100:CH100&gt;0,$V$16:$CH$16))</f>
        <v>45629</v>
      </c>
      <c r="M100" s="279">
        <f t="array" ref="M100">MAX(IF(V100:CH100&gt;0,$V$16:$CH$16))</f>
        <v>45630</v>
      </c>
      <c r="N100" s="277">
        <f>VLOOKUP(H100,Auxiliar!$B$16:$E$24,4,0)</f>
        <v>0</v>
      </c>
      <c r="O100" s="277">
        <f t="shared" ca="1" si="22"/>
        <v>0</v>
      </c>
      <c r="P100" s="276">
        <f t="shared" ca="1" si="21"/>
        <v>0</v>
      </c>
      <c r="Q100" s="288" t="s">
        <v>38</v>
      </c>
      <c r="R100" s="230"/>
      <c r="S100" s="224">
        <v>8.1</v>
      </c>
      <c r="T100" s="224">
        <f t="shared" si="25"/>
        <v>1</v>
      </c>
      <c r="U100" s="224">
        <f t="shared" si="23"/>
        <v>0</v>
      </c>
      <c r="V100" s="79"/>
      <c r="W100" s="79"/>
      <c r="X100" s="79"/>
      <c r="Y100" s="79"/>
      <c r="Z100" s="79"/>
      <c r="AA100" s="79"/>
      <c r="AB100" s="79"/>
      <c r="AC100" s="92"/>
      <c r="AD100" s="79"/>
      <c r="AE100" s="79"/>
      <c r="AF100" s="79"/>
      <c r="AG100" s="79"/>
      <c r="AH100" s="79"/>
      <c r="AI100" s="79"/>
      <c r="AJ100" s="79"/>
      <c r="AK100" s="79"/>
      <c r="AL100" s="79"/>
      <c r="AM100" s="79"/>
      <c r="AN100" s="231"/>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4"/>
        <v>modesg_out_empr_info_nfinflg_nfrd</v>
      </c>
      <c r="B101" s="142" t="s">
        <v>26</v>
      </c>
      <c r="C101" s="138" t="s">
        <v>311</v>
      </c>
      <c r="D101" s="253" t="s">
        <v>40</v>
      </c>
      <c r="E101" s="254" t="s">
        <v>326</v>
      </c>
      <c r="F101" s="254"/>
      <c r="G101" s="253" t="s">
        <v>245</v>
      </c>
      <c r="H101" s="255" t="str">
        <f>VLOOKUP(A101,'2. Status Detalhe Campos'!$A$7:$G$574,7,0)</f>
        <v>6. Em implementação (re-especificação)</v>
      </c>
      <c r="I101" s="229" t="s">
        <v>38</v>
      </c>
      <c r="J101" s="153">
        <v>45614</v>
      </c>
      <c r="K101" s="229"/>
      <c r="L101" s="280">
        <f t="array" ref="L101">MIN(IF(V101:CH101&gt;0,$V$16:$CH$16))</f>
        <v>45630</v>
      </c>
      <c r="M101" s="279">
        <f t="array" ref="M101">MAX(IF(V101:CH101&gt;0,$V$16:$CH$16))</f>
        <v>45631</v>
      </c>
      <c r="N101" s="277">
        <f>VLOOKUP(H101,Auxiliar!$B$16:$E$24,4,0)</f>
        <v>0</v>
      </c>
      <c r="O101" s="277">
        <f t="shared" ca="1" si="22"/>
        <v>0</v>
      </c>
      <c r="P101" s="276">
        <f t="shared" ca="1" si="21"/>
        <v>0</v>
      </c>
      <c r="Q101" s="288" t="s">
        <v>38</v>
      </c>
      <c r="R101" s="230"/>
      <c r="S101" s="224">
        <v>8.1</v>
      </c>
      <c r="T101" s="224">
        <f t="shared" si="25"/>
        <v>1</v>
      </c>
      <c r="U101" s="224">
        <f t="shared" si="23"/>
        <v>0</v>
      </c>
      <c r="V101" s="79"/>
      <c r="W101" s="79"/>
      <c r="X101" s="79"/>
      <c r="Y101" s="79"/>
      <c r="Z101" s="79"/>
      <c r="AA101" s="79"/>
      <c r="AB101" s="79"/>
      <c r="AC101" s="92"/>
      <c r="AD101" s="79"/>
      <c r="AE101" s="79"/>
      <c r="AF101" s="79"/>
      <c r="AG101" s="79"/>
      <c r="AH101" s="79"/>
      <c r="AI101" s="79"/>
      <c r="AJ101" s="79"/>
      <c r="AK101" s="79"/>
      <c r="AL101" s="79"/>
      <c r="AM101" s="79"/>
      <c r="AN101" s="231"/>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4"/>
        <v>modesg_out_empr_info_nfinorigem_alinhamentos</v>
      </c>
      <c r="B102" s="142" t="s">
        <v>26</v>
      </c>
      <c r="C102" s="138" t="s">
        <v>311</v>
      </c>
      <c r="D102" s="253" t="s">
        <v>40</v>
      </c>
      <c r="E102" s="254" t="s">
        <v>326</v>
      </c>
      <c r="F102" s="254"/>
      <c r="G102" s="253" t="s">
        <v>329</v>
      </c>
      <c r="H102" s="255" t="str">
        <f>VLOOKUP(A102,'2. Status Detalhe Campos'!$A$7:$G$574,7,0)</f>
        <v>6. Em implementação (re-especificação)</v>
      </c>
      <c r="I102" s="229" t="s">
        <v>38</v>
      </c>
      <c r="J102" s="153">
        <v>45614</v>
      </c>
      <c r="K102" s="229"/>
      <c r="L102" s="280">
        <f t="array" ref="L102">MIN(IF(V102:CH102&gt;0,$V$16:$CH$16))</f>
        <v>45631</v>
      </c>
      <c r="M102" s="279">
        <f t="array" ref="M102">MAX(IF(V102:CH102&gt;0,$V$16:$CH$16))</f>
        <v>45631</v>
      </c>
      <c r="N102" s="277">
        <f>VLOOKUP(H102,Auxiliar!$B$16:$E$24,4,0)</f>
        <v>0</v>
      </c>
      <c r="O102" s="277">
        <f t="shared" ca="1" si="22"/>
        <v>0</v>
      </c>
      <c r="P102" s="276">
        <f t="shared" ca="1" si="21"/>
        <v>0</v>
      </c>
      <c r="Q102" s="288" t="s">
        <v>38</v>
      </c>
      <c r="R102" s="230"/>
      <c r="S102" s="224">
        <v>4.0999999999999996</v>
      </c>
      <c r="T102" s="224">
        <f t="shared" si="25"/>
        <v>0.5</v>
      </c>
      <c r="U102" s="224">
        <f t="shared" si="23"/>
        <v>0</v>
      </c>
      <c r="V102" s="79"/>
      <c r="W102" s="79"/>
      <c r="X102" s="79"/>
      <c r="Y102" s="79"/>
      <c r="Z102" s="79"/>
      <c r="AA102" s="79"/>
      <c r="AB102" s="79"/>
      <c r="AC102" s="92"/>
      <c r="AD102" s="79"/>
      <c r="AE102" s="79"/>
      <c r="AF102" s="79"/>
      <c r="AG102" s="79"/>
      <c r="AH102" s="79"/>
      <c r="AI102" s="79"/>
      <c r="AJ102" s="79"/>
      <c r="AK102" s="79"/>
      <c r="AL102" s="79"/>
      <c r="AM102" s="79"/>
      <c r="AN102" s="231"/>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4"/>
        <v>modesg_out_empr_info_nfinorigem_flg_emprs_excl_paris</v>
      </c>
      <c r="B103" s="142" t="s">
        <v>26</v>
      </c>
      <c r="C103" s="138" t="s">
        <v>311</v>
      </c>
      <c r="D103" s="253" t="s">
        <v>40</v>
      </c>
      <c r="E103" s="254" t="s">
        <v>326</v>
      </c>
      <c r="F103" s="254"/>
      <c r="G103" s="253" t="s">
        <v>330</v>
      </c>
      <c r="H103" s="255" t="str">
        <f>VLOOKUP(A103,'2. Status Detalhe Campos'!$A$7:$G$574,7,0)</f>
        <v>6. Em implementação (re-especificação)</v>
      </c>
      <c r="I103" s="229" t="s">
        <v>38</v>
      </c>
      <c r="J103" s="153">
        <v>45614</v>
      </c>
      <c r="K103" s="229"/>
      <c r="L103" s="280">
        <f t="array" ref="L103">MIN(IF(V103:CH103&gt;0,$V$16:$CH$16))</f>
        <v>45632</v>
      </c>
      <c r="M103" s="279">
        <f t="array" ref="M103">MAX(IF(V103:CH103&gt;0,$V$16:$CH$16))</f>
        <v>45632</v>
      </c>
      <c r="N103" s="277">
        <f>VLOOKUP(H103,Auxiliar!$B$16:$E$24,4,0)</f>
        <v>0</v>
      </c>
      <c r="O103" s="277">
        <f t="shared" ca="1" si="22"/>
        <v>0</v>
      </c>
      <c r="P103" s="276">
        <f t="shared" ca="1" si="21"/>
        <v>0</v>
      </c>
      <c r="Q103" s="288" t="s">
        <v>38</v>
      </c>
      <c r="R103" s="230"/>
      <c r="S103" s="224">
        <v>4.0999999999999996</v>
      </c>
      <c r="T103" s="224">
        <f t="shared" si="25"/>
        <v>0.5</v>
      </c>
      <c r="U103" s="224">
        <f t="shared" si="23"/>
        <v>0</v>
      </c>
      <c r="V103" s="79"/>
      <c r="W103" s="79"/>
      <c r="X103" s="79"/>
      <c r="Y103" s="79"/>
      <c r="Z103" s="79"/>
      <c r="AA103" s="79"/>
      <c r="AB103" s="79"/>
      <c r="AC103" s="92"/>
      <c r="AD103" s="79"/>
      <c r="AE103" s="79"/>
      <c r="AF103" s="79"/>
      <c r="AG103" s="79"/>
      <c r="AH103" s="79"/>
      <c r="AI103" s="79"/>
      <c r="AJ103" s="79"/>
      <c r="AK103" s="79"/>
      <c r="AL103" s="79"/>
      <c r="AM103" s="79"/>
      <c r="AN103" s="231"/>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4"/>
        <v>modesg_out_empr_info_nfinorigem_flg_nfrd</v>
      </c>
      <c r="B104" s="142" t="s">
        <v>26</v>
      </c>
      <c r="C104" s="138" t="s">
        <v>311</v>
      </c>
      <c r="D104" s="253" t="s">
        <v>40</v>
      </c>
      <c r="E104" s="254" t="s">
        <v>326</v>
      </c>
      <c r="F104" s="254"/>
      <c r="G104" s="253" t="s">
        <v>331</v>
      </c>
      <c r="H104" s="255" t="str">
        <f>VLOOKUP(A104,'2. Status Detalhe Campos'!$A$7:$G$574,7,0)</f>
        <v>6. Em implementação (re-especificação)</v>
      </c>
      <c r="I104" s="229" t="s">
        <v>38</v>
      </c>
      <c r="J104" s="153">
        <v>45614</v>
      </c>
      <c r="K104" s="229"/>
      <c r="L104" s="280">
        <f t="array" ref="L104">MIN(IF(V104:CH104&gt;0,$V$16:$CH$16))</f>
        <v>45632</v>
      </c>
      <c r="M104" s="279">
        <f t="array" ref="M104">MAX(IF(V104:CH104&gt;0,$V$16:$CH$16))</f>
        <v>45632</v>
      </c>
      <c r="N104" s="277">
        <f>VLOOKUP(H104,Auxiliar!$B$16:$E$24,4,0)</f>
        <v>0</v>
      </c>
      <c r="O104" s="277">
        <f t="shared" ca="1" si="22"/>
        <v>0</v>
      </c>
      <c r="P104" s="276">
        <f t="shared" ca="1" si="21"/>
        <v>0</v>
      </c>
      <c r="Q104" s="288" t="s">
        <v>38</v>
      </c>
      <c r="R104" s="230"/>
      <c r="S104" s="224">
        <v>4.0999999999999996</v>
      </c>
      <c r="T104" s="224">
        <f t="shared" si="25"/>
        <v>0.5</v>
      </c>
      <c r="U104" s="224">
        <f t="shared" si="23"/>
        <v>0</v>
      </c>
      <c r="V104" s="79"/>
      <c r="W104" s="79"/>
      <c r="X104" s="79"/>
      <c r="Y104" s="79"/>
      <c r="Z104" s="79"/>
      <c r="AA104" s="79"/>
      <c r="AB104" s="79"/>
      <c r="AC104" s="92"/>
      <c r="AD104" s="79"/>
      <c r="AE104" s="79"/>
      <c r="AF104" s="79"/>
      <c r="AG104" s="79"/>
      <c r="AH104" s="79"/>
      <c r="AI104" s="79"/>
      <c r="AJ104" s="79"/>
      <c r="AK104" s="79"/>
      <c r="AL104" s="79"/>
      <c r="AM104" s="79"/>
      <c r="AN104" s="231"/>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60" t="s">
        <v>326</v>
      </c>
      <c r="F105" s="260" t="s">
        <v>2010</v>
      </c>
      <c r="G105" s="261">
        <f>COUNTA(G106:G111)</f>
        <v>6</v>
      </c>
      <c r="H105" s="136"/>
      <c r="I105" s="229" t="s">
        <v>38</v>
      </c>
      <c r="J105" s="258">
        <f>MIN(J106:J111)</f>
        <v>45621</v>
      </c>
      <c r="K105" s="229"/>
      <c r="L105" s="258">
        <f>MIN(L106:L111)</f>
        <v>45635</v>
      </c>
      <c r="M105" s="259">
        <f>MAX(M106:M111)</f>
        <v>45642</v>
      </c>
      <c r="N105" s="282">
        <f>SUMPRODUCT(N106:N111,T106:T111)/SUM(T106:T111)</f>
        <v>0</v>
      </c>
      <c r="O105" s="282">
        <f ca="1">SUMPRODUCT(O106:O111,T106:T111)/SUM(T106:T111)</f>
        <v>0</v>
      </c>
      <c r="P105" s="276">
        <f t="shared" ca="1" si="21"/>
        <v>0</v>
      </c>
      <c r="Q105" s="288" t="s">
        <v>38</v>
      </c>
      <c r="R105" s="230"/>
      <c r="S105" s="224"/>
      <c r="T105" s="224"/>
      <c r="U105" s="224"/>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1"/>
      <c r="AT105" s="79"/>
      <c r="AU105" s="79"/>
      <c r="AV105" s="79"/>
      <c r="AW105" s="79"/>
      <c r="AX105" s="79"/>
      <c r="AY105" s="79"/>
      <c r="AZ105" s="79"/>
      <c r="BA105" s="79"/>
      <c r="BB105" s="79"/>
      <c r="BC105" s="79"/>
      <c r="BD105" s="79"/>
      <c r="BE105" s="79"/>
      <c r="BF105" s="79"/>
      <c r="BG105" s="79"/>
      <c r="BH105" s="79"/>
      <c r="BI105" s="79"/>
      <c r="BJ105" s="79"/>
      <c r="BK105" s="79"/>
      <c r="BL105" s="266"/>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6">E106&amp;G106</f>
        <v>modesg_out_empr_info_nfinorigem_scp1_emss</v>
      </c>
      <c r="B106" s="142" t="s">
        <v>26</v>
      </c>
      <c r="C106" s="138" t="s">
        <v>311</v>
      </c>
      <c r="D106" s="253" t="s">
        <v>40</v>
      </c>
      <c r="E106" s="254" t="s">
        <v>326</v>
      </c>
      <c r="F106" s="254"/>
      <c r="G106" s="253" t="s">
        <v>320</v>
      </c>
      <c r="H106" s="255" t="str">
        <f>VLOOKUP(A106,'2. Status Detalhe Campos'!$A$7:$G$574,7,0)</f>
        <v>6. Em implementação (re-especificação)</v>
      </c>
      <c r="I106" s="229" t="s">
        <v>38</v>
      </c>
      <c r="J106" s="153">
        <v>45621</v>
      </c>
      <c r="K106" s="229"/>
      <c r="L106" s="280">
        <f t="array" ref="L106">MIN(IF(V106:CH106&gt;0,$V$16:$CH$16))</f>
        <v>45635</v>
      </c>
      <c r="M106" s="279">
        <f t="array" ref="M106">MAX(IF(V106:CH106&gt;0,$V$16:$CH$16))</f>
        <v>45635</v>
      </c>
      <c r="N106" s="277">
        <f>VLOOKUP(H106,Auxiliar!$B$16:$E$24,4,0)</f>
        <v>0</v>
      </c>
      <c r="O106" s="277">
        <f t="shared" ref="O106:O111" ca="1" si="27">IF(TODAY()&lt;=L106,0,MIN((TODAY()-L106)/(M106-L106+1),100%))</f>
        <v>0</v>
      </c>
      <c r="P106" s="276">
        <f t="shared" ca="1" si="21"/>
        <v>0</v>
      </c>
      <c r="Q106" s="288" t="s">
        <v>38</v>
      </c>
      <c r="R106" s="230"/>
      <c r="S106" s="224">
        <v>4.0999999999999996</v>
      </c>
      <c r="T106" s="224">
        <f t="shared" ref="T106:T111" si="28">ROUND(S106/8,1)</f>
        <v>0.5</v>
      </c>
      <c r="U106" s="224">
        <f t="shared" ref="U106:U111" si="29">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1"/>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6"/>
        <v>modesg_out_empr_info_nfinorigem_scp2_emss</v>
      </c>
      <c r="B107" s="142" t="s">
        <v>26</v>
      </c>
      <c r="C107" s="138" t="s">
        <v>311</v>
      </c>
      <c r="D107" s="253" t="s">
        <v>40</v>
      </c>
      <c r="E107" s="254" t="s">
        <v>326</v>
      </c>
      <c r="F107" s="254"/>
      <c r="G107" s="253" t="s">
        <v>321</v>
      </c>
      <c r="H107" s="255" t="str">
        <f>VLOOKUP(A107,'2. Status Detalhe Campos'!$A$7:$G$574,7,0)</f>
        <v>6. Em implementação (re-especificação)</v>
      </c>
      <c r="I107" s="229" t="s">
        <v>38</v>
      </c>
      <c r="J107" s="153">
        <v>45621</v>
      </c>
      <c r="K107" s="229"/>
      <c r="L107" s="280">
        <f t="array" ref="L107">MIN(IF(V107:CH107&gt;0,$V$16:$CH$16))</f>
        <v>45635</v>
      </c>
      <c r="M107" s="279">
        <f t="array" ref="M107">MAX(IF(V107:CH107&gt;0,$V$16:$CH$16))</f>
        <v>45635</v>
      </c>
      <c r="N107" s="277">
        <f>VLOOKUP(H107,Auxiliar!$B$16:$E$24,4,0)</f>
        <v>0</v>
      </c>
      <c r="O107" s="277">
        <f t="shared" ca="1" si="27"/>
        <v>0</v>
      </c>
      <c r="P107" s="276">
        <f t="shared" ca="1" si="21"/>
        <v>0</v>
      </c>
      <c r="Q107" s="288" t="s">
        <v>38</v>
      </c>
      <c r="R107" s="230"/>
      <c r="S107" s="224">
        <v>4.0999999999999996</v>
      </c>
      <c r="T107" s="224">
        <f t="shared" si="28"/>
        <v>0.5</v>
      </c>
      <c r="U107" s="224">
        <f t="shared" si="29"/>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1"/>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6"/>
        <v>modesg_out_empr_info_nfinorigem_scp3_emss</v>
      </c>
      <c r="B108" s="142" t="s">
        <v>26</v>
      </c>
      <c r="C108" s="138" t="s">
        <v>311</v>
      </c>
      <c r="D108" s="253" t="s">
        <v>40</v>
      </c>
      <c r="E108" s="254" t="s">
        <v>326</v>
      </c>
      <c r="F108" s="254"/>
      <c r="G108" s="253" t="s">
        <v>322</v>
      </c>
      <c r="H108" s="255" t="str">
        <f>VLOOKUP(A108,'2. Status Detalhe Campos'!$A$7:$G$574,7,0)</f>
        <v>6. Em implementação (re-especificação)</v>
      </c>
      <c r="I108" s="229" t="s">
        <v>38</v>
      </c>
      <c r="J108" s="153">
        <v>45621</v>
      </c>
      <c r="K108" s="229"/>
      <c r="L108" s="280">
        <f t="array" ref="L108">MIN(IF(V108:CH108&gt;0,$V$16:$CH$16))</f>
        <v>45636</v>
      </c>
      <c r="M108" s="279">
        <f t="array" ref="M108">MAX(IF(V108:CH108&gt;0,$V$16:$CH$16))</f>
        <v>45636</v>
      </c>
      <c r="N108" s="277">
        <f>VLOOKUP(H108,Auxiliar!$B$16:$E$24,4,0)</f>
        <v>0</v>
      </c>
      <c r="O108" s="277">
        <f t="shared" ca="1" si="27"/>
        <v>0</v>
      </c>
      <c r="P108" s="276">
        <f t="shared" ca="1" si="21"/>
        <v>0</v>
      </c>
      <c r="Q108" s="288" t="s">
        <v>38</v>
      </c>
      <c r="R108" s="230"/>
      <c r="S108" s="224">
        <v>4.0999999999999996</v>
      </c>
      <c r="T108" s="224">
        <f t="shared" si="28"/>
        <v>0.5</v>
      </c>
      <c r="U108" s="224">
        <f t="shared" si="29"/>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1"/>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6"/>
        <v>modesg_out_empr_info_nfinscp1_emss</v>
      </c>
      <c r="B109" s="142" t="s">
        <v>26</v>
      </c>
      <c r="C109" s="138" t="s">
        <v>311</v>
      </c>
      <c r="D109" s="253" t="s">
        <v>40</v>
      </c>
      <c r="E109" s="254" t="s">
        <v>326</v>
      </c>
      <c r="F109" s="254"/>
      <c r="G109" s="253" t="s">
        <v>286</v>
      </c>
      <c r="H109" s="255" t="str">
        <f>VLOOKUP(A109,'2. Status Detalhe Campos'!$A$7:$G$574,7,0)</f>
        <v>6. Em implementação (re-especificação)</v>
      </c>
      <c r="I109" s="229" t="s">
        <v>38</v>
      </c>
      <c r="J109" s="153">
        <v>45621</v>
      </c>
      <c r="K109" s="229"/>
      <c r="L109" s="280">
        <f t="array" ref="L109">MIN(IF(V109:CH109&gt;0,$V$16:$CH$16))</f>
        <v>45636</v>
      </c>
      <c r="M109" s="279">
        <f t="array" ref="M109">MAX(IF(V109:CH109&gt;0,$V$16:$CH$16))</f>
        <v>45637</v>
      </c>
      <c r="N109" s="277">
        <f>VLOOKUP(H109,Auxiliar!$B$16:$E$24,4,0)</f>
        <v>0</v>
      </c>
      <c r="O109" s="277">
        <f t="shared" ca="1" si="27"/>
        <v>0</v>
      </c>
      <c r="P109" s="276">
        <f t="shared" ca="1" si="21"/>
        <v>0</v>
      </c>
      <c r="Q109" s="288" t="s">
        <v>38</v>
      </c>
      <c r="R109" s="230"/>
      <c r="S109" s="224">
        <v>8.1</v>
      </c>
      <c r="T109" s="224">
        <f t="shared" si="28"/>
        <v>1</v>
      </c>
      <c r="U109" s="224">
        <f t="shared" si="29"/>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1"/>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6"/>
        <v>modesg_out_empr_info_nfinscp2_emss</v>
      </c>
      <c r="B110" s="142" t="s">
        <v>26</v>
      </c>
      <c r="C110" s="138" t="s">
        <v>311</v>
      </c>
      <c r="D110" s="253" t="s">
        <v>40</v>
      </c>
      <c r="E110" s="254" t="s">
        <v>326</v>
      </c>
      <c r="F110" s="254"/>
      <c r="G110" s="253" t="s">
        <v>287</v>
      </c>
      <c r="H110" s="255" t="str">
        <f>VLOOKUP(A110,'2. Status Detalhe Campos'!$A$7:$G$574,7,0)</f>
        <v>6. Em implementação (re-especificação)</v>
      </c>
      <c r="I110" s="229" t="s">
        <v>38</v>
      </c>
      <c r="J110" s="153">
        <v>45621</v>
      </c>
      <c r="K110" s="229"/>
      <c r="L110" s="280">
        <f t="array" ref="L110">MIN(IF(V110:CH110&gt;0,$V$16:$CH$16))</f>
        <v>45637</v>
      </c>
      <c r="M110" s="279">
        <f t="array" ref="M110">MAX(IF(V110:CH110&gt;0,$V$16:$CH$16))</f>
        <v>45639</v>
      </c>
      <c r="N110" s="277">
        <f>VLOOKUP(H110,Auxiliar!$B$16:$E$24,4,0)</f>
        <v>0</v>
      </c>
      <c r="O110" s="277">
        <f t="shared" ca="1" si="27"/>
        <v>0</v>
      </c>
      <c r="P110" s="276">
        <f t="shared" ca="1" si="21"/>
        <v>0</v>
      </c>
      <c r="Q110" s="288" t="s">
        <v>38</v>
      </c>
      <c r="R110" s="230"/>
      <c r="S110" s="224">
        <v>8.1</v>
      </c>
      <c r="T110" s="224">
        <f t="shared" si="28"/>
        <v>1</v>
      </c>
      <c r="U110" s="224">
        <f t="shared" si="29"/>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1"/>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6"/>
        <v>modesg_out_empr_info_nfinscp3_emss</v>
      </c>
      <c r="B111" s="142" t="s">
        <v>26</v>
      </c>
      <c r="C111" s="138" t="s">
        <v>311</v>
      </c>
      <c r="D111" s="253" t="s">
        <v>40</v>
      </c>
      <c r="E111" s="254" t="s">
        <v>326</v>
      </c>
      <c r="F111" s="254"/>
      <c r="G111" s="253" t="s">
        <v>288</v>
      </c>
      <c r="H111" s="255" t="str">
        <f>VLOOKUP(A111,'2. Status Detalhe Campos'!$A$7:$G$574,7,0)</f>
        <v>6. Em implementação (re-especificação)</v>
      </c>
      <c r="I111" s="229" t="s">
        <v>38</v>
      </c>
      <c r="J111" s="153">
        <v>45621</v>
      </c>
      <c r="K111" s="229"/>
      <c r="L111" s="280">
        <f t="array" ref="L111">MIN(IF(V111:CH111&gt;0,$V$16:$CH$16))</f>
        <v>45639</v>
      </c>
      <c r="M111" s="279">
        <f t="array" ref="M111">MAX(IF(V111:CH111&gt;0,$V$16:$CH$16))</f>
        <v>45642</v>
      </c>
      <c r="N111" s="277">
        <f>VLOOKUP(H111,Auxiliar!$B$16:$E$24,4,0)</f>
        <v>0</v>
      </c>
      <c r="O111" s="277">
        <f t="shared" ca="1" si="27"/>
        <v>0</v>
      </c>
      <c r="P111" s="276">
        <f t="shared" ca="1" si="21"/>
        <v>0</v>
      </c>
      <c r="Q111" s="288" t="s">
        <v>38</v>
      </c>
      <c r="R111" s="230"/>
      <c r="S111" s="224">
        <v>8.1</v>
      </c>
      <c r="T111" s="224">
        <f t="shared" si="28"/>
        <v>1</v>
      </c>
      <c r="U111" s="224">
        <f t="shared" si="29"/>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1"/>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60" t="s">
        <v>326</v>
      </c>
      <c r="F112" s="260" t="s">
        <v>2011</v>
      </c>
      <c r="G112" s="261">
        <f>COUNTA(G113:G116)</f>
        <v>4</v>
      </c>
      <c r="H112" s="136"/>
      <c r="I112" s="229" t="s">
        <v>38</v>
      </c>
      <c r="J112" s="258">
        <f>MIN(J113:J116)</f>
        <v>45624</v>
      </c>
      <c r="K112" s="229"/>
      <c r="L112" s="258">
        <f>MIN(L113:L116)</f>
        <v>45638</v>
      </c>
      <c r="M112" s="259">
        <f>MAX(M113:M116)</f>
        <v>45646</v>
      </c>
      <c r="N112" s="282">
        <f>SUMPRODUCT(N113:N116,T113:T116)/SUM(T113:T116)</f>
        <v>0</v>
      </c>
      <c r="O112" s="282">
        <f ca="1">SUMPRODUCT(O113:O116,T113:T116)/SUM(T113:T116)</f>
        <v>0</v>
      </c>
      <c r="P112" s="276">
        <f t="shared" ca="1" si="21"/>
        <v>0</v>
      </c>
      <c r="Q112" s="288" t="s">
        <v>38</v>
      </c>
      <c r="R112" s="230"/>
      <c r="S112" s="224"/>
      <c r="T112" s="224"/>
      <c r="U112" s="224"/>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1"/>
      <c r="AW112" s="79"/>
      <c r="AX112" s="79"/>
      <c r="AY112" s="79"/>
      <c r="AZ112" s="79"/>
      <c r="BA112" s="79"/>
      <c r="BB112" s="79"/>
      <c r="BC112" s="79"/>
      <c r="BD112" s="79"/>
      <c r="BE112" s="79"/>
      <c r="BF112" s="79"/>
      <c r="BG112" s="79"/>
      <c r="BH112" s="79"/>
      <c r="BI112" s="79"/>
      <c r="BJ112" s="79"/>
      <c r="BK112" s="79"/>
      <c r="BL112" s="266"/>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3" t="s">
        <v>40</v>
      </c>
      <c r="E113" s="254" t="s">
        <v>326</v>
      </c>
      <c r="F113" s="254"/>
      <c r="G113" s="253" t="s">
        <v>283</v>
      </c>
      <c r="H113" s="255" t="str">
        <f>VLOOKUP(A113,'2. Status Detalhe Campos'!$A$7:$G$574,7,0)</f>
        <v>6. Em implementação (re-especificação)</v>
      </c>
      <c r="I113" s="229" t="s">
        <v>38</v>
      </c>
      <c r="J113" s="153">
        <v>45624</v>
      </c>
      <c r="K113" s="229"/>
      <c r="L113" s="280">
        <f t="array" ref="L113">MIN(IF(V113:CH113&gt;0,$V$16:$CH$16))</f>
        <v>45643</v>
      </c>
      <c r="M113" s="279">
        <f t="array" ref="M113">MAX(IF(V113:CH113&gt;0,$V$16:$CH$16))</f>
        <v>45644</v>
      </c>
      <c r="N113" s="277">
        <f>VLOOKUP(H113,Auxiliar!$B$16:$E$24,4,0)</f>
        <v>0</v>
      </c>
      <c r="O113" s="277">
        <f t="shared" ref="O113:O116" ca="1" si="30">IF(TODAY()&lt;=L113,0,MIN((TODAY()-L113)/(M113-L113+1),100%))</f>
        <v>0</v>
      </c>
      <c r="P113" s="276">
        <f t="shared" ca="1" si="21"/>
        <v>0</v>
      </c>
      <c r="Q113" s="288" t="s">
        <v>38</v>
      </c>
      <c r="R113" s="230"/>
      <c r="S113" s="224">
        <v>16.100000000000001</v>
      </c>
      <c r="T113" s="224">
        <f>ROUND(S113/8,1)</f>
        <v>2</v>
      </c>
      <c r="U113" s="224">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1"/>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3" t="s">
        <v>40</v>
      </c>
      <c r="E114" s="254" t="s">
        <v>326</v>
      </c>
      <c r="F114" s="254"/>
      <c r="G114" s="253" t="s">
        <v>284</v>
      </c>
      <c r="H114" s="255" t="str">
        <f>VLOOKUP(A114,'2. Status Detalhe Campos'!$A$7:$G$574,7,0)</f>
        <v>6. Em implementação (re-especificação)</v>
      </c>
      <c r="I114" s="229" t="s">
        <v>38</v>
      </c>
      <c r="J114" s="153">
        <v>45624</v>
      </c>
      <c r="K114" s="229"/>
      <c r="L114" s="280">
        <f t="array" ref="L114">MIN(IF(V114:CH114&gt;0,$V$16:$CH$16))</f>
        <v>45645</v>
      </c>
      <c r="M114" s="279">
        <f t="array" ref="M114">MAX(IF(V114:CH114&gt;0,$V$16:$CH$16))</f>
        <v>45646</v>
      </c>
      <c r="N114" s="277">
        <f>VLOOKUP(H114,Auxiliar!$B$16:$E$24,4,0)</f>
        <v>0</v>
      </c>
      <c r="O114" s="277">
        <f t="shared" ca="1" si="30"/>
        <v>0</v>
      </c>
      <c r="P114" s="276">
        <f t="shared" ca="1" si="21"/>
        <v>0</v>
      </c>
      <c r="Q114" s="288" t="s">
        <v>38</v>
      </c>
      <c r="R114" s="230"/>
      <c r="S114" s="224">
        <v>16.100000000000001</v>
      </c>
      <c r="T114" s="224">
        <f>ROUND(S114/8,1)</f>
        <v>2</v>
      </c>
      <c r="U114" s="224">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1"/>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4"/>
        <v>modesg_out_empr_info_nfinorigem_flg_rsc_fsc_agd</v>
      </c>
      <c r="B115" s="142" t="s">
        <v>26</v>
      </c>
      <c r="C115" s="138" t="s">
        <v>311</v>
      </c>
      <c r="D115" s="253" t="s">
        <v>40</v>
      </c>
      <c r="E115" s="254" t="s">
        <v>326</v>
      </c>
      <c r="F115" s="254"/>
      <c r="G115" s="253" t="s">
        <v>318</v>
      </c>
      <c r="H115" s="255" t="str">
        <f>VLOOKUP(A115,'2. Status Detalhe Campos'!$A$7:$G$574,7,0)</f>
        <v>6. Em implementação (re-especificação)</v>
      </c>
      <c r="I115" s="229" t="s">
        <v>38</v>
      </c>
      <c r="J115" s="153">
        <v>45624</v>
      </c>
      <c r="K115" s="229"/>
      <c r="L115" s="280">
        <f t="array" ref="L115">MIN(IF(V115:CH115&gt;0,$V$16:$CH$16))</f>
        <v>45638</v>
      </c>
      <c r="M115" s="279">
        <f t="array" ref="M115">MAX(IF(V115:CH115&gt;0,$V$16:$CH$16))</f>
        <v>45638</v>
      </c>
      <c r="N115" s="277">
        <f>VLOOKUP(H115,Auxiliar!$B$16:$E$24,4,0)</f>
        <v>0</v>
      </c>
      <c r="O115" s="277">
        <f t="shared" ca="1" si="30"/>
        <v>0</v>
      </c>
      <c r="P115" s="276">
        <f t="shared" ca="1" si="21"/>
        <v>0</v>
      </c>
      <c r="Q115" s="288" t="s">
        <v>38</v>
      </c>
      <c r="R115" s="230"/>
      <c r="S115" s="224">
        <v>4.0999999999999996</v>
      </c>
      <c r="T115" s="224">
        <f t="shared" si="25"/>
        <v>0.5</v>
      </c>
      <c r="U115" s="224">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1"/>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4"/>
        <v>modesg_out_empr_info_nfinorigem_flg_rsc_fsc_crnc</v>
      </c>
      <c r="B116" s="142" t="s">
        <v>26</v>
      </c>
      <c r="C116" s="138" t="s">
        <v>311</v>
      </c>
      <c r="D116" s="253" t="s">
        <v>40</v>
      </c>
      <c r="E116" s="254" t="s">
        <v>326</v>
      </c>
      <c r="F116" s="254"/>
      <c r="G116" s="253" t="s">
        <v>319</v>
      </c>
      <c r="H116" s="255" t="str">
        <f>VLOOKUP(A116,'2. Status Detalhe Campos'!$A$7:$G$574,7,0)</f>
        <v>6. Em implementação (re-especificação)</v>
      </c>
      <c r="I116" s="229" t="s">
        <v>38</v>
      </c>
      <c r="J116" s="153">
        <v>45624</v>
      </c>
      <c r="K116" s="229"/>
      <c r="L116" s="280">
        <f t="array" ref="L116">MIN(IF(V116:CH116&gt;0,$V$16:$CH$16))</f>
        <v>45638</v>
      </c>
      <c r="M116" s="279">
        <f t="array" ref="M116">MAX(IF(V116:CH116&gt;0,$V$16:$CH$16))</f>
        <v>45638</v>
      </c>
      <c r="N116" s="277">
        <f>VLOOKUP(H116,Auxiliar!$B$16:$E$24,4,0)</f>
        <v>0</v>
      </c>
      <c r="O116" s="277">
        <f t="shared" ca="1" si="30"/>
        <v>0</v>
      </c>
      <c r="P116" s="276">
        <f t="shared" ca="1" si="21"/>
        <v>0</v>
      </c>
      <c r="Q116" s="288" t="s">
        <v>38</v>
      </c>
      <c r="R116" s="230"/>
      <c r="S116" s="224">
        <v>4.0999999999999996</v>
      </c>
      <c r="T116" s="224">
        <f t="shared" si="25"/>
        <v>0.5</v>
      </c>
      <c r="U116" s="224">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1"/>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60" t="s">
        <v>332</v>
      </c>
      <c r="F117" s="260" t="s">
        <v>1989</v>
      </c>
      <c r="G117" s="261">
        <f>COUNTA(G118:G124)</f>
        <v>7</v>
      </c>
      <c r="H117" s="136"/>
      <c r="I117" s="229" t="s">
        <v>38</v>
      </c>
      <c r="J117" s="258">
        <f>MIN(J118:J124)</f>
        <v>45607</v>
      </c>
      <c r="K117" s="229"/>
      <c r="L117" s="258">
        <f>MIN(L118:L124)</f>
        <v>45608</v>
      </c>
      <c r="M117" s="259">
        <f>MAX(M118:M124)</f>
        <v>45618</v>
      </c>
      <c r="N117" s="282">
        <f>SUMPRODUCT(N118:N124,T118:T124)/SUM(T118:T124)</f>
        <v>0</v>
      </c>
      <c r="O117" s="282">
        <f ca="1">SUMPRODUCT(O118:O124,T118:T124)/SUM(T118:T124)</f>
        <v>0</v>
      </c>
      <c r="P117" s="276">
        <f t="shared" ca="1" si="21"/>
        <v>0</v>
      </c>
      <c r="Q117" s="288" t="s">
        <v>38</v>
      </c>
      <c r="R117" s="230"/>
      <c r="S117" s="224"/>
      <c r="T117" s="224"/>
      <c r="U117" s="224"/>
      <c r="V117" s="79"/>
      <c r="W117" s="79"/>
      <c r="X117" s="79"/>
      <c r="Y117" s="79"/>
      <c r="Z117" s="79"/>
      <c r="AA117" s="79"/>
      <c r="AB117" s="79"/>
      <c r="AC117" s="92"/>
      <c r="AD117" s="79"/>
      <c r="AE117" s="79"/>
      <c r="AF117" s="79"/>
      <c r="AG117" s="79"/>
      <c r="AH117" s="79"/>
      <c r="AI117" s="231"/>
      <c r="AJ117" s="79"/>
      <c r="AK117" s="79"/>
      <c r="AL117" s="79"/>
      <c r="AM117" s="79"/>
      <c r="AN117" s="79"/>
      <c r="AO117" s="79"/>
      <c r="AP117" s="79"/>
      <c r="AQ117" s="79"/>
      <c r="AR117" s="266"/>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4"/>
        <v>modesg_out_emss_vclscnsm_co2</v>
      </c>
      <c r="B118" s="142" t="s">
        <v>26</v>
      </c>
      <c r="C118" s="138" t="s">
        <v>311</v>
      </c>
      <c r="D118" s="253" t="s">
        <v>40</v>
      </c>
      <c r="E118" s="254" t="s">
        <v>332</v>
      </c>
      <c r="F118" s="254"/>
      <c r="G118" s="253" t="s">
        <v>188</v>
      </c>
      <c r="H118" s="255" t="str">
        <f>VLOOKUP(A118,'2. Status Detalhe Campos'!$A$7:$G$574,7,0)</f>
        <v>6. Em implementação (re-especificação)</v>
      </c>
      <c r="I118" s="229" t="s">
        <v>38</v>
      </c>
      <c r="J118" s="153">
        <v>45607</v>
      </c>
      <c r="K118" s="229"/>
      <c r="L118" s="280">
        <f t="array" ref="L118">MIN(IF(V118:CH118&gt;0,$V$16:$CH$16))</f>
        <v>45618</v>
      </c>
      <c r="M118" s="279">
        <f t="array" ref="M118">MAX(IF(V118:CH118&gt;0,$V$16:$CH$16))</f>
        <v>45618</v>
      </c>
      <c r="N118" s="277">
        <f>VLOOKUP(H118,Auxiliar!$B$16:$E$24,4,0)</f>
        <v>0</v>
      </c>
      <c r="O118" s="277">
        <f t="shared" ref="O118:O124" ca="1" si="31">IF(TODAY()&lt;=L118,0,MIN((TODAY()-L118)/(M118-L118+1),100%))</f>
        <v>0</v>
      </c>
      <c r="P118" s="276">
        <f t="shared" ca="1" si="21"/>
        <v>0</v>
      </c>
      <c r="Q118" s="288" t="s">
        <v>38</v>
      </c>
      <c r="R118" s="230" t="s">
        <v>1961</v>
      </c>
      <c r="S118" s="224">
        <v>8.1</v>
      </c>
      <c r="T118" s="224">
        <f t="shared" si="25"/>
        <v>1</v>
      </c>
      <c r="U118" s="224">
        <f t="shared" ref="U118:U124" si="32">SUM(V118:CH118)-T118</f>
        <v>0</v>
      </c>
      <c r="V118" s="79"/>
      <c r="W118" s="79"/>
      <c r="X118" s="79"/>
      <c r="Y118" s="79"/>
      <c r="Z118" s="79"/>
      <c r="AA118" s="79"/>
      <c r="AB118" s="79"/>
      <c r="AC118" s="92"/>
      <c r="AD118" s="79"/>
      <c r="AE118" s="79"/>
      <c r="AF118" s="79"/>
      <c r="AG118" s="79"/>
      <c r="AH118" s="79"/>
      <c r="AI118" s="231"/>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4"/>
        <v>modesg_out_emss_vclsorigem_scp1_emss</v>
      </c>
      <c r="B119" s="142" t="s">
        <v>26</v>
      </c>
      <c r="C119" s="138" t="s">
        <v>311</v>
      </c>
      <c r="D119" s="253" t="s">
        <v>40</v>
      </c>
      <c r="E119" s="254" t="s">
        <v>332</v>
      </c>
      <c r="F119" s="254"/>
      <c r="G119" s="253" t="s">
        <v>320</v>
      </c>
      <c r="H119" s="255" t="str">
        <f>VLOOKUP(A119,'2. Status Detalhe Campos'!$A$7:$G$574,7,0)</f>
        <v>6. Em implementação (re-especificação)</v>
      </c>
      <c r="I119" s="229" t="s">
        <v>38</v>
      </c>
      <c r="J119" s="153">
        <v>45607</v>
      </c>
      <c r="K119" s="229"/>
      <c r="L119" s="280">
        <f t="array" ref="L119">MIN(IF(V119:CH119&gt;0,$V$16:$CH$16))</f>
        <v>45608</v>
      </c>
      <c r="M119" s="279">
        <f t="array" ref="M119">MAX(IF(V119:CH119&gt;0,$V$16:$CH$16))</f>
        <v>45608</v>
      </c>
      <c r="N119" s="277">
        <f>VLOOKUP(H119,Auxiliar!$B$16:$E$24,4,0)</f>
        <v>0</v>
      </c>
      <c r="O119" s="277">
        <f t="shared" ca="1" si="31"/>
        <v>0</v>
      </c>
      <c r="P119" s="276">
        <f t="shared" ca="1" si="21"/>
        <v>0</v>
      </c>
      <c r="Q119" s="288" t="s">
        <v>38</v>
      </c>
      <c r="R119" s="230" t="s">
        <v>1961</v>
      </c>
      <c r="S119" s="234">
        <v>3</v>
      </c>
      <c r="T119" s="224">
        <f t="shared" si="25"/>
        <v>0.4</v>
      </c>
      <c r="U119" s="224">
        <f t="shared" si="32"/>
        <v>0</v>
      </c>
      <c r="V119" s="79"/>
      <c r="W119" s="79"/>
      <c r="X119" s="79"/>
      <c r="Y119" s="79"/>
      <c r="Z119" s="79"/>
      <c r="AA119" s="79"/>
      <c r="AB119" s="79"/>
      <c r="AC119" s="92"/>
      <c r="AD119" s="79"/>
      <c r="AE119" s="79"/>
      <c r="AF119" s="79"/>
      <c r="AG119" s="79"/>
      <c r="AH119" s="79"/>
      <c r="AI119" s="231"/>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4"/>
        <v>modesg_out_emss_vclsorigem_scp2_emss</v>
      </c>
      <c r="B120" s="142" t="s">
        <v>26</v>
      </c>
      <c r="C120" s="138" t="s">
        <v>311</v>
      </c>
      <c r="D120" s="253" t="s">
        <v>40</v>
      </c>
      <c r="E120" s="254" t="s">
        <v>332</v>
      </c>
      <c r="F120" s="254"/>
      <c r="G120" s="253" t="s">
        <v>321</v>
      </c>
      <c r="H120" s="255" t="str">
        <f>VLOOKUP(A120,'2. Status Detalhe Campos'!$A$7:$G$574,7,0)</f>
        <v>6. Em implementação (re-especificação)</v>
      </c>
      <c r="I120" s="229" t="s">
        <v>38</v>
      </c>
      <c r="J120" s="153">
        <v>45607</v>
      </c>
      <c r="K120" s="229"/>
      <c r="L120" s="280">
        <f t="array" ref="L120">MIN(IF(V120:CH120&gt;0,$V$16:$CH$16))</f>
        <v>45608</v>
      </c>
      <c r="M120" s="279">
        <f t="array" ref="M120">MAX(IF(V120:CH120&gt;0,$V$16:$CH$16))</f>
        <v>45609</v>
      </c>
      <c r="N120" s="277">
        <f>VLOOKUP(H120,Auxiliar!$B$16:$E$24,4,0)</f>
        <v>0</v>
      </c>
      <c r="O120" s="277">
        <f t="shared" ca="1" si="31"/>
        <v>0</v>
      </c>
      <c r="P120" s="276">
        <f t="shared" ca="1" si="21"/>
        <v>0</v>
      </c>
      <c r="Q120" s="288" t="s">
        <v>38</v>
      </c>
      <c r="R120" s="230" t="s">
        <v>1961</v>
      </c>
      <c r="S120" s="234">
        <v>3</v>
      </c>
      <c r="T120" s="224">
        <f t="shared" si="25"/>
        <v>0.4</v>
      </c>
      <c r="U120" s="224">
        <f t="shared" si="32"/>
        <v>0</v>
      </c>
      <c r="V120" s="79"/>
      <c r="W120" s="79"/>
      <c r="X120" s="79"/>
      <c r="Y120" s="79"/>
      <c r="Z120" s="79"/>
      <c r="AA120" s="79"/>
      <c r="AB120" s="79"/>
      <c r="AC120" s="92"/>
      <c r="AD120" s="79"/>
      <c r="AE120" s="79"/>
      <c r="AF120" s="79"/>
      <c r="AG120" s="79"/>
      <c r="AH120" s="79"/>
      <c r="AI120" s="231"/>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4"/>
        <v>modesg_out_emss_vclsorigem_scp3_emss</v>
      </c>
      <c r="B121" s="142" t="s">
        <v>26</v>
      </c>
      <c r="C121" s="138" t="s">
        <v>311</v>
      </c>
      <c r="D121" s="253" t="s">
        <v>40</v>
      </c>
      <c r="E121" s="254" t="s">
        <v>332</v>
      </c>
      <c r="F121" s="254"/>
      <c r="G121" s="253" t="s">
        <v>322</v>
      </c>
      <c r="H121" s="255" t="str">
        <f>VLOOKUP(A121,'2. Status Detalhe Campos'!$A$7:$G$574,7,0)</f>
        <v>6. Em implementação (re-especificação)</v>
      </c>
      <c r="I121" s="229" t="s">
        <v>38</v>
      </c>
      <c r="J121" s="153">
        <v>45607</v>
      </c>
      <c r="K121" s="229"/>
      <c r="L121" s="280">
        <f t="array" ref="L121">MIN(IF(V121:CH121&gt;0,$V$16:$CH$16))</f>
        <v>45609</v>
      </c>
      <c r="M121" s="279">
        <f t="array" ref="M121">MAX(IF(V121:CH121&gt;0,$V$16:$CH$16))</f>
        <v>45609</v>
      </c>
      <c r="N121" s="277">
        <f>VLOOKUP(H121,Auxiliar!$B$16:$E$24,4,0)</f>
        <v>0</v>
      </c>
      <c r="O121" s="277">
        <f t="shared" ca="1" si="31"/>
        <v>0</v>
      </c>
      <c r="P121" s="276">
        <f t="shared" ca="1" si="21"/>
        <v>0</v>
      </c>
      <c r="Q121" s="288" t="s">
        <v>38</v>
      </c>
      <c r="R121" s="230" t="s">
        <v>1961</v>
      </c>
      <c r="S121" s="234">
        <v>3</v>
      </c>
      <c r="T121" s="224">
        <f t="shared" si="25"/>
        <v>0.4</v>
      </c>
      <c r="U121" s="224">
        <f t="shared" si="32"/>
        <v>0</v>
      </c>
      <c r="V121" s="79"/>
      <c r="W121" s="79"/>
      <c r="X121" s="79"/>
      <c r="Y121" s="79"/>
      <c r="Z121" s="79"/>
      <c r="AA121" s="79"/>
      <c r="AB121" s="79"/>
      <c r="AC121" s="92"/>
      <c r="AD121" s="79"/>
      <c r="AE121" s="79"/>
      <c r="AF121" s="79"/>
      <c r="AG121" s="79"/>
      <c r="AH121" s="79"/>
      <c r="AI121" s="231"/>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4"/>
        <v>modesg_out_emss_vclsscp1_emss</v>
      </c>
      <c r="B122" s="142" t="s">
        <v>26</v>
      </c>
      <c r="C122" s="138" t="s">
        <v>311</v>
      </c>
      <c r="D122" s="253" t="s">
        <v>40</v>
      </c>
      <c r="E122" s="254" t="s">
        <v>332</v>
      </c>
      <c r="F122" s="254"/>
      <c r="G122" s="253" t="s">
        <v>286</v>
      </c>
      <c r="H122" s="255" t="str">
        <f>VLOOKUP(A122,'2. Status Detalhe Campos'!$A$7:$G$574,7,0)</f>
        <v>6. Em implementação (re-especificação)</v>
      </c>
      <c r="I122" s="229" t="s">
        <v>38</v>
      </c>
      <c r="J122" s="153">
        <v>45607</v>
      </c>
      <c r="K122" s="229"/>
      <c r="L122" s="280">
        <f t="array" ref="L122">MIN(IF(V122:CH122&gt;0,$V$16:$CH$16))</f>
        <v>45609</v>
      </c>
      <c r="M122" s="279">
        <f t="array" ref="M122">MAX(IF(V122:CH122&gt;0,$V$16:$CH$16))</f>
        <v>45611</v>
      </c>
      <c r="N122" s="277">
        <f>VLOOKUP(H122,Auxiliar!$B$16:$E$24,4,0)</f>
        <v>0</v>
      </c>
      <c r="O122" s="277">
        <f t="shared" ca="1" si="31"/>
        <v>0</v>
      </c>
      <c r="P122" s="276">
        <f t="shared" ca="1" si="21"/>
        <v>0</v>
      </c>
      <c r="Q122" s="288" t="s">
        <v>38</v>
      </c>
      <c r="R122" s="230" t="s">
        <v>1961</v>
      </c>
      <c r="S122" s="224">
        <v>16.100000000000001</v>
      </c>
      <c r="T122" s="224">
        <f t="shared" si="25"/>
        <v>2</v>
      </c>
      <c r="U122" s="224">
        <f t="shared" si="32"/>
        <v>0</v>
      </c>
      <c r="V122" s="79"/>
      <c r="W122" s="79"/>
      <c r="X122" s="79"/>
      <c r="Y122" s="79"/>
      <c r="Z122" s="79"/>
      <c r="AA122" s="79"/>
      <c r="AB122" s="79"/>
      <c r="AC122" s="92"/>
      <c r="AD122" s="79"/>
      <c r="AE122" s="79"/>
      <c r="AF122" s="79"/>
      <c r="AG122" s="79"/>
      <c r="AH122" s="79"/>
      <c r="AI122" s="231"/>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4"/>
        <v>modesg_out_emss_vclsscp2_emss</v>
      </c>
      <c r="B123" s="142" t="s">
        <v>26</v>
      </c>
      <c r="C123" s="138" t="s">
        <v>311</v>
      </c>
      <c r="D123" s="253" t="s">
        <v>40</v>
      </c>
      <c r="E123" s="254" t="s">
        <v>332</v>
      </c>
      <c r="F123" s="254"/>
      <c r="G123" s="253" t="s">
        <v>287</v>
      </c>
      <c r="H123" s="255" t="str">
        <f>VLOOKUP(A123,'2. Status Detalhe Campos'!$A$7:$G$574,7,0)</f>
        <v>6. Em implementação (re-especificação)</v>
      </c>
      <c r="I123" s="229" t="s">
        <v>38</v>
      </c>
      <c r="J123" s="153">
        <v>45607</v>
      </c>
      <c r="K123" s="229"/>
      <c r="L123" s="280">
        <f t="array" ref="L123">MIN(IF(V123:CH123&gt;0,$V$16:$CH$16))</f>
        <v>45611</v>
      </c>
      <c r="M123" s="279">
        <f t="array" ref="M123">MAX(IF(V123:CH123&gt;0,$V$16:$CH$16))</f>
        <v>45615</v>
      </c>
      <c r="N123" s="277">
        <f>VLOOKUP(H123,Auxiliar!$B$16:$E$24,4,0)</f>
        <v>0</v>
      </c>
      <c r="O123" s="277">
        <f t="shared" ca="1" si="31"/>
        <v>0</v>
      </c>
      <c r="P123" s="276">
        <f t="shared" ca="1" si="21"/>
        <v>0</v>
      </c>
      <c r="Q123" s="288" t="s">
        <v>38</v>
      </c>
      <c r="R123" s="230" t="s">
        <v>1961</v>
      </c>
      <c r="S123" s="224">
        <v>16.100000000000001</v>
      </c>
      <c r="T123" s="224">
        <f t="shared" si="25"/>
        <v>2</v>
      </c>
      <c r="U123" s="224">
        <f t="shared" si="32"/>
        <v>0</v>
      </c>
      <c r="V123" s="79"/>
      <c r="W123" s="79"/>
      <c r="X123" s="79"/>
      <c r="Y123" s="79"/>
      <c r="Z123" s="79"/>
      <c r="AA123" s="79"/>
      <c r="AB123" s="79"/>
      <c r="AC123" s="92"/>
      <c r="AD123" s="79"/>
      <c r="AE123" s="79"/>
      <c r="AF123" s="79"/>
      <c r="AG123" s="79"/>
      <c r="AH123" s="79"/>
      <c r="AI123" s="231"/>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4"/>
        <v>modesg_out_emss_vclsscp3_emss</v>
      </c>
      <c r="B124" s="142" t="s">
        <v>26</v>
      </c>
      <c r="C124" s="138" t="s">
        <v>311</v>
      </c>
      <c r="D124" s="253" t="s">
        <v>40</v>
      </c>
      <c r="E124" s="254" t="s">
        <v>332</v>
      </c>
      <c r="F124" s="254"/>
      <c r="G124" s="253" t="s">
        <v>288</v>
      </c>
      <c r="H124" s="255" t="str">
        <f>VLOOKUP(A124,'2. Status Detalhe Campos'!$A$7:$G$574,7,0)</f>
        <v>6. Em implementação (re-especificação)</v>
      </c>
      <c r="I124" s="229" t="s">
        <v>38</v>
      </c>
      <c r="J124" s="153">
        <v>45607</v>
      </c>
      <c r="K124" s="229"/>
      <c r="L124" s="280">
        <f t="array" ref="L124">MIN(IF(V124:CH124&gt;0,$V$16:$CH$16))</f>
        <v>45615</v>
      </c>
      <c r="M124" s="279">
        <f t="array" ref="M124">MAX(IF(V124:CH124&gt;0,$V$16:$CH$16))</f>
        <v>45617</v>
      </c>
      <c r="N124" s="277">
        <f>VLOOKUP(H124,Auxiliar!$B$16:$E$24,4,0)</f>
        <v>0</v>
      </c>
      <c r="O124" s="277">
        <f t="shared" ca="1" si="31"/>
        <v>0</v>
      </c>
      <c r="P124" s="276">
        <f t="shared" ca="1" si="21"/>
        <v>0</v>
      </c>
      <c r="Q124" s="288" t="s">
        <v>38</v>
      </c>
      <c r="R124" s="230" t="s">
        <v>1961</v>
      </c>
      <c r="S124" s="224">
        <v>16.100000000000001</v>
      </c>
      <c r="T124" s="224">
        <f t="shared" si="25"/>
        <v>2</v>
      </c>
      <c r="U124" s="233">
        <f t="shared" si="32"/>
        <v>0.29999999999999982</v>
      </c>
      <c r="V124" s="79"/>
      <c r="W124" s="79"/>
      <c r="X124" s="79"/>
      <c r="Y124" s="79"/>
      <c r="Z124" s="79"/>
      <c r="AA124" s="79"/>
      <c r="AB124" s="79"/>
      <c r="AC124" s="92"/>
      <c r="AD124" s="79"/>
      <c r="AE124" s="79"/>
      <c r="AF124" s="79"/>
      <c r="AG124" s="79"/>
      <c r="AH124" s="79"/>
      <c r="AI124" s="231"/>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60" t="s">
        <v>334</v>
      </c>
      <c r="F125" s="260" t="s">
        <v>1989</v>
      </c>
      <c r="G125" s="261">
        <f>COUNTA(G126:G137)</f>
        <v>12</v>
      </c>
      <c r="H125" s="136"/>
      <c r="I125" s="229" t="s">
        <v>38</v>
      </c>
      <c r="J125" s="258">
        <f>MIN(J126:J137)</f>
        <v>45624</v>
      </c>
      <c r="K125" s="229"/>
      <c r="L125" s="258">
        <f>MIN(L126:L137)</f>
        <v>45630</v>
      </c>
      <c r="M125" s="259">
        <f>MAX(M126:M137)</f>
        <v>45645</v>
      </c>
      <c r="N125" s="282">
        <f>SUMPRODUCT(N126:N137,T126:T137)/SUM(T126:T137)</f>
        <v>0</v>
      </c>
      <c r="O125" s="282">
        <f ca="1">SUMPRODUCT(O126:O137,T126:T137)/SUM(T126:T137)</f>
        <v>0</v>
      </c>
      <c r="P125" s="276">
        <f t="shared" ca="1" si="21"/>
        <v>0</v>
      </c>
      <c r="Q125" s="288" t="s">
        <v>38</v>
      </c>
      <c r="R125" s="230"/>
      <c r="S125" s="224"/>
      <c r="T125" s="224"/>
      <c r="U125" s="224"/>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1"/>
      <c r="AW125" s="79"/>
      <c r="AX125" s="79"/>
      <c r="AY125" s="79"/>
      <c r="AZ125" s="79"/>
      <c r="BA125" s="79"/>
      <c r="BB125" s="79"/>
      <c r="BC125" s="79"/>
      <c r="BD125" s="79"/>
      <c r="BE125" s="79"/>
      <c r="BF125" s="79"/>
      <c r="BG125" s="79"/>
      <c r="BH125" s="79"/>
      <c r="BI125" s="79"/>
      <c r="BJ125" s="79"/>
      <c r="BK125" s="79"/>
      <c r="BL125" s="266"/>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4"/>
        <v>modesg_out_sfcs_taxon_europeiacbalcao</v>
      </c>
      <c r="B126" s="142" t="s">
        <v>26</v>
      </c>
      <c r="C126" s="138" t="s">
        <v>311</v>
      </c>
      <c r="D126" s="253" t="s">
        <v>40</v>
      </c>
      <c r="E126" s="254" t="s">
        <v>334</v>
      </c>
      <c r="F126" s="254"/>
      <c r="G126" s="253" t="s">
        <v>183</v>
      </c>
      <c r="H126" s="255" t="str">
        <f>VLOOKUP(A126,'2. Status Detalhe Campos'!$A$7:$G$574,7,0)</f>
        <v>6. Em implementação (re-especificação)</v>
      </c>
      <c r="I126" s="229" t="s">
        <v>38</v>
      </c>
      <c r="J126" s="153">
        <v>45624</v>
      </c>
      <c r="K126" s="229"/>
      <c r="L126" s="280">
        <f t="array" ref="L126">MIN(IF(V126:CH126&gt;0,$V$16:$CH$16))</f>
        <v>45630</v>
      </c>
      <c r="M126" s="279">
        <f t="array" ref="M126">MAX(IF(V126:CH126&gt;0,$V$16:$CH$16))</f>
        <v>45630</v>
      </c>
      <c r="N126" s="277">
        <f>VLOOKUP(H126,Auxiliar!$B$16:$E$24,4,0)</f>
        <v>0</v>
      </c>
      <c r="O126" s="277">
        <f t="shared" ref="O126:O137" ca="1" si="33">IF(TODAY()&lt;=L126,0,MIN((TODAY()-L126)/(M126-L126+1),100%))</f>
        <v>0</v>
      </c>
      <c r="P126" s="276">
        <f t="shared" ca="1" si="21"/>
        <v>0</v>
      </c>
      <c r="Q126" s="276"/>
      <c r="R126" s="230"/>
      <c r="S126" s="224">
        <v>4.0999999999999996</v>
      </c>
      <c r="T126" s="224">
        <f t="shared" si="25"/>
        <v>0.5</v>
      </c>
      <c r="U126" s="224">
        <f t="shared" ref="U126:U137" si="34">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1"/>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4"/>
        <v>modesg_out_sfcs_taxon_europeiacempresa</v>
      </c>
      <c r="B127" s="142" t="s">
        <v>26</v>
      </c>
      <c r="C127" s="138" t="s">
        <v>311</v>
      </c>
      <c r="D127" s="253" t="s">
        <v>40</v>
      </c>
      <c r="E127" s="254" t="s">
        <v>334</v>
      </c>
      <c r="F127" s="254"/>
      <c r="G127" s="253" t="s">
        <v>184</v>
      </c>
      <c r="H127" s="255" t="str">
        <f>VLOOKUP(A127,'2. Status Detalhe Campos'!$A$7:$G$574,7,0)</f>
        <v>6. Em implementação (re-especificação)</v>
      </c>
      <c r="I127" s="229" t="s">
        <v>38</v>
      </c>
      <c r="J127" s="153">
        <v>45624</v>
      </c>
      <c r="K127" s="229"/>
      <c r="L127" s="280">
        <f t="array" ref="L127">MIN(IF(V127:CH127&gt;0,$V$16:$CH$16))</f>
        <v>45630</v>
      </c>
      <c r="M127" s="279">
        <f t="array" ref="M127">MAX(IF(V127:CH127&gt;0,$V$16:$CH$16))</f>
        <v>45630</v>
      </c>
      <c r="N127" s="277">
        <f>VLOOKUP(H127,Auxiliar!$B$16:$E$24,4,0)</f>
        <v>0</v>
      </c>
      <c r="O127" s="277">
        <f t="shared" ca="1" si="33"/>
        <v>0</v>
      </c>
      <c r="P127" s="276">
        <f t="shared" ca="1" si="21"/>
        <v>0</v>
      </c>
      <c r="Q127" s="276"/>
      <c r="R127" s="230"/>
      <c r="S127" s="224">
        <v>4.0999999999999996</v>
      </c>
      <c r="T127" s="224">
        <f t="shared" si="25"/>
        <v>0.5</v>
      </c>
      <c r="U127" s="224">
        <f t="shared" si="34"/>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1"/>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4"/>
        <v>modesg_out_sfcs_taxon_europeiacnumecta</v>
      </c>
      <c r="B128" s="142" t="s">
        <v>26</v>
      </c>
      <c r="C128" s="138" t="s">
        <v>311</v>
      </c>
      <c r="D128" s="253" t="s">
        <v>40</v>
      </c>
      <c r="E128" s="254" t="s">
        <v>334</v>
      </c>
      <c r="F128" s="254"/>
      <c r="G128" s="253" t="s">
        <v>189</v>
      </c>
      <c r="H128" s="255" t="str">
        <f>VLOOKUP(A128,'2. Status Detalhe Campos'!$A$7:$G$574,7,0)</f>
        <v>6. Em implementação (re-especificação)</v>
      </c>
      <c r="I128" s="229" t="s">
        <v>38</v>
      </c>
      <c r="J128" s="153">
        <v>45624</v>
      </c>
      <c r="K128" s="229"/>
      <c r="L128" s="280">
        <f t="array" ref="L128">MIN(IF(V128:CH128&gt;0,$V$16:$CH$16))</f>
        <v>45631</v>
      </c>
      <c r="M128" s="279">
        <f t="array" ref="M128">MAX(IF(V128:CH128&gt;0,$V$16:$CH$16))</f>
        <v>45631</v>
      </c>
      <c r="N128" s="277">
        <f>VLOOKUP(H128,Auxiliar!$B$16:$E$24,4,0)</f>
        <v>0</v>
      </c>
      <c r="O128" s="277">
        <f t="shared" ca="1" si="33"/>
        <v>0</v>
      </c>
      <c r="P128" s="276">
        <f t="shared" ca="1" si="21"/>
        <v>0</v>
      </c>
      <c r="Q128" s="276"/>
      <c r="R128" s="230"/>
      <c r="S128" s="224">
        <v>4.0999999999999996</v>
      </c>
      <c r="T128" s="224">
        <f t="shared" si="25"/>
        <v>0.5</v>
      </c>
      <c r="U128" s="224">
        <f t="shared" si="34"/>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1"/>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4"/>
        <v>modesg_out_sfcs_taxon_europeiacod_regra</v>
      </c>
      <c r="B129" s="142" t="s">
        <v>26</v>
      </c>
      <c r="C129" s="138" t="s">
        <v>311</v>
      </c>
      <c r="D129" s="253" t="s">
        <v>40</v>
      </c>
      <c r="E129" s="254" t="s">
        <v>334</v>
      </c>
      <c r="F129" s="254"/>
      <c r="G129" s="253" t="s">
        <v>191</v>
      </c>
      <c r="H129" s="255" t="str">
        <f>VLOOKUP(A129,'2. Status Detalhe Campos'!$A$7:$G$574,7,0)</f>
        <v>6. Em implementação (re-especificação)</v>
      </c>
      <c r="I129" s="229" t="s">
        <v>38</v>
      </c>
      <c r="J129" s="153">
        <v>45624</v>
      </c>
      <c r="K129" s="229"/>
      <c r="L129" s="280">
        <f t="array" ref="L129">MIN(IF(V129:CH129&gt;0,$V$16:$CH$16))</f>
        <v>45631</v>
      </c>
      <c r="M129" s="279">
        <f t="array" ref="M129">MAX(IF(V129:CH129&gt;0,$V$16:$CH$16))</f>
        <v>45631</v>
      </c>
      <c r="N129" s="277">
        <f>VLOOKUP(H129,Auxiliar!$B$16:$E$24,4,0)</f>
        <v>0</v>
      </c>
      <c r="O129" s="277">
        <f t="shared" ca="1" si="33"/>
        <v>0</v>
      </c>
      <c r="P129" s="276">
        <f t="shared" ca="1" si="21"/>
        <v>0</v>
      </c>
      <c r="Q129" s="276"/>
      <c r="R129" s="230"/>
      <c r="S129" s="224">
        <v>4.0999999999999996</v>
      </c>
      <c r="T129" s="224">
        <f t="shared" si="25"/>
        <v>0.5</v>
      </c>
      <c r="U129" s="224">
        <f t="shared" si="34"/>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1"/>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4"/>
        <v>modesg_out_sfcs_taxon_europeiamontante_pndrc</v>
      </c>
      <c r="B130" s="142" t="s">
        <v>26</v>
      </c>
      <c r="C130" s="138" t="s">
        <v>311</v>
      </c>
      <c r="D130" s="253" t="s">
        <v>40</v>
      </c>
      <c r="E130" s="254" t="s">
        <v>334</v>
      </c>
      <c r="F130" s="254"/>
      <c r="G130" s="253" t="s">
        <v>202</v>
      </c>
      <c r="H130" s="255" t="str">
        <f>VLOOKUP(A130,'2. Status Detalhe Campos'!$A$7:$G$574,7,0)</f>
        <v>6. Em implementação (re-especificação)</v>
      </c>
      <c r="I130" s="229" t="s">
        <v>38</v>
      </c>
      <c r="J130" s="153">
        <v>45624</v>
      </c>
      <c r="K130" s="229"/>
      <c r="L130" s="280">
        <f t="array" ref="L130">MIN(IF(V130:CH130&gt;0,$V$16:$CH$16))</f>
        <v>45632</v>
      </c>
      <c r="M130" s="279">
        <f t="array" ref="M130">MAX(IF(V130:CH130&gt;0,$V$16:$CH$16))</f>
        <v>45635</v>
      </c>
      <c r="N130" s="277">
        <f>VLOOKUP(H130,Auxiliar!$B$16:$E$24,4,0)</f>
        <v>0</v>
      </c>
      <c r="O130" s="277">
        <f t="shared" ca="1" si="33"/>
        <v>0</v>
      </c>
      <c r="P130" s="276">
        <f t="shared" ca="1" si="21"/>
        <v>0</v>
      </c>
      <c r="Q130" s="276"/>
      <c r="R130" s="230"/>
      <c r="S130" s="224">
        <v>16.100000000000001</v>
      </c>
      <c r="T130" s="224">
        <f t="shared" si="25"/>
        <v>2</v>
      </c>
      <c r="U130" s="224">
        <f t="shared" si="34"/>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1"/>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4"/>
        <v>modesg_out_sfcs_taxon_europeianome_ctgr_sfcs</v>
      </c>
      <c r="B131" s="142" t="s">
        <v>26</v>
      </c>
      <c r="C131" s="138" t="s">
        <v>311</v>
      </c>
      <c r="D131" s="253" t="s">
        <v>40</v>
      </c>
      <c r="E131" s="254" t="s">
        <v>334</v>
      </c>
      <c r="F131" s="254"/>
      <c r="G131" s="253" t="s">
        <v>203</v>
      </c>
      <c r="H131" s="255" t="str">
        <f>VLOOKUP(A131,'2. Status Detalhe Campos'!$A$7:$G$574,7,0)</f>
        <v>6. Em implementação (re-especificação)</v>
      </c>
      <c r="I131" s="229" t="s">
        <v>38</v>
      </c>
      <c r="J131" s="153">
        <v>45624</v>
      </c>
      <c r="K131" s="229"/>
      <c r="L131" s="280">
        <f t="array" ref="L131">MIN(IF(V131:CH131&gt;0,$V$16:$CH$16))</f>
        <v>45636</v>
      </c>
      <c r="M131" s="279">
        <f t="array" ref="M131">MAX(IF(V131:CH131&gt;0,$V$16:$CH$16))</f>
        <v>45637</v>
      </c>
      <c r="N131" s="277">
        <f>VLOOKUP(H131,Auxiliar!$B$16:$E$24,4,0)</f>
        <v>0</v>
      </c>
      <c r="O131" s="277">
        <f t="shared" ca="1" si="33"/>
        <v>0</v>
      </c>
      <c r="P131" s="276">
        <f t="shared" ca="1" si="21"/>
        <v>0</v>
      </c>
      <c r="Q131" s="276"/>
      <c r="R131" s="230"/>
      <c r="S131" s="224">
        <v>16.100000000000001</v>
      </c>
      <c r="T131" s="224">
        <f t="shared" si="25"/>
        <v>2</v>
      </c>
      <c r="U131" s="224">
        <f t="shared" si="34"/>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1"/>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4"/>
        <v>modesg_out_sfcs_taxon_europeianome_general_specific_purpose</v>
      </c>
      <c r="B132" s="142" t="s">
        <v>26</v>
      </c>
      <c r="C132" s="138" t="s">
        <v>311</v>
      </c>
      <c r="D132" s="253" t="s">
        <v>40</v>
      </c>
      <c r="E132" s="254" t="s">
        <v>334</v>
      </c>
      <c r="F132" s="254"/>
      <c r="G132" s="253" t="s">
        <v>204</v>
      </c>
      <c r="H132" s="255" t="str">
        <f>VLOOKUP(A132,'2. Status Detalhe Campos'!$A$7:$G$574,7,0)</f>
        <v>6. Em implementação (re-especificação)</v>
      </c>
      <c r="I132" s="229" t="s">
        <v>38</v>
      </c>
      <c r="J132" s="153">
        <v>45624</v>
      </c>
      <c r="K132" s="229"/>
      <c r="L132" s="280">
        <f t="array" ref="L132">MIN(IF(V132:CH132&gt;0,$V$16:$CH$16))</f>
        <v>45638</v>
      </c>
      <c r="M132" s="279">
        <f t="array" ref="M132">MAX(IF(V132:CH132&gt;0,$V$16:$CH$16))</f>
        <v>45638</v>
      </c>
      <c r="N132" s="277">
        <f>VLOOKUP(H132,Auxiliar!$B$16:$E$24,4,0)</f>
        <v>0</v>
      </c>
      <c r="O132" s="277">
        <f t="shared" ca="1" si="33"/>
        <v>0</v>
      </c>
      <c r="P132" s="276">
        <f t="shared" ca="1" si="21"/>
        <v>0</v>
      </c>
      <c r="Q132" s="276"/>
      <c r="R132" s="230"/>
      <c r="S132" s="224">
        <v>8.1</v>
      </c>
      <c r="T132" s="224">
        <f t="shared" si="25"/>
        <v>1</v>
      </c>
      <c r="U132" s="224">
        <f t="shared" si="34"/>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1"/>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4"/>
        <v>modesg_out_sfcs_taxon_europeianome_purpose_esg</v>
      </c>
      <c r="B133" s="142" t="s">
        <v>26</v>
      </c>
      <c r="C133" s="138" t="s">
        <v>311</v>
      </c>
      <c r="D133" s="253" t="s">
        <v>40</v>
      </c>
      <c r="E133" s="254" t="s">
        <v>334</v>
      </c>
      <c r="F133" s="254"/>
      <c r="G133" s="253" t="s">
        <v>205</v>
      </c>
      <c r="H133" s="255" t="str">
        <f>VLOOKUP(A133,'2. Status Detalhe Campos'!$A$7:$G$574,7,0)</f>
        <v>6. Em implementação (re-especificação)</v>
      </c>
      <c r="I133" s="229" t="s">
        <v>38</v>
      </c>
      <c r="J133" s="153">
        <v>45624</v>
      </c>
      <c r="K133" s="229"/>
      <c r="L133" s="280">
        <f t="array" ref="L133">MIN(IF(V133:CH133&gt;0,$V$16:$CH$16))</f>
        <v>45639</v>
      </c>
      <c r="M133" s="279">
        <f t="array" ref="M133">MAX(IF(V133:CH133&gt;0,$V$16:$CH$16))</f>
        <v>45639</v>
      </c>
      <c r="N133" s="277">
        <f>VLOOKUP(H133,Auxiliar!$B$16:$E$24,4,0)</f>
        <v>0</v>
      </c>
      <c r="O133" s="277">
        <f t="shared" ca="1" si="33"/>
        <v>0</v>
      </c>
      <c r="P133" s="276">
        <f t="shared" ca="1" si="21"/>
        <v>0</v>
      </c>
      <c r="Q133" s="276"/>
      <c r="R133" s="230"/>
      <c r="S133" s="224">
        <v>8.1</v>
      </c>
      <c r="T133" s="224">
        <f t="shared" si="25"/>
        <v>1</v>
      </c>
      <c r="U133" s="224">
        <f t="shared" si="34"/>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1"/>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4"/>
        <v>modesg_out_sfcs_taxon_europeianome_specific_eligible</v>
      </c>
      <c r="B134" s="142" t="s">
        <v>26</v>
      </c>
      <c r="C134" s="138" t="s">
        <v>311</v>
      </c>
      <c r="D134" s="253" t="s">
        <v>40</v>
      </c>
      <c r="E134" s="254" t="s">
        <v>334</v>
      </c>
      <c r="F134" s="254"/>
      <c r="G134" s="253" t="s">
        <v>206</v>
      </c>
      <c r="H134" s="255" t="str">
        <f>VLOOKUP(A134,'2. Status Detalhe Campos'!$A$7:$G$574,7,0)</f>
        <v>6. Em implementação (re-especificação)</v>
      </c>
      <c r="I134" s="229" t="s">
        <v>38</v>
      </c>
      <c r="J134" s="153">
        <v>45624</v>
      </c>
      <c r="K134" s="229"/>
      <c r="L134" s="280">
        <f t="array" ref="L134">MIN(IF(V134:CH134&gt;0,$V$16:$CH$16))</f>
        <v>45642</v>
      </c>
      <c r="M134" s="279">
        <f t="array" ref="M134">MAX(IF(V134:CH134&gt;0,$V$16:$CH$16))</f>
        <v>45642</v>
      </c>
      <c r="N134" s="277">
        <f>VLOOKUP(H134,Auxiliar!$B$16:$E$24,4,0)</f>
        <v>0</v>
      </c>
      <c r="O134" s="277">
        <f t="shared" ca="1" si="33"/>
        <v>0</v>
      </c>
      <c r="P134" s="276">
        <f t="shared" ca="1" si="21"/>
        <v>0</v>
      </c>
      <c r="Q134" s="276"/>
      <c r="R134" s="230"/>
      <c r="S134" s="224">
        <v>8.1</v>
      </c>
      <c r="T134" s="224">
        <f t="shared" si="25"/>
        <v>1</v>
      </c>
      <c r="U134" s="224">
        <f t="shared" si="34"/>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1"/>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4"/>
        <v>modesg_out_sfcs_taxon_europeianome_specific_sustainable</v>
      </c>
      <c r="B135" s="142" t="s">
        <v>26</v>
      </c>
      <c r="C135" s="138" t="s">
        <v>311</v>
      </c>
      <c r="D135" s="253" t="s">
        <v>40</v>
      </c>
      <c r="E135" s="254" t="s">
        <v>334</v>
      </c>
      <c r="F135" s="254"/>
      <c r="G135" s="253" t="s">
        <v>207</v>
      </c>
      <c r="H135" s="255" t="str">
        <f>VLOOKUP(A135,'2. Status Detalhe Campos'!$A$7:$G$574,7,0)</f>
        <v>6. Em implementação (re-especificação)</v>
      </c>
      <c r="I135" s="229" t="s">
        <v>38</v>
      </c>
      <c r="J135" s="153">
        <v>45624</v>
      </c>
      <c r="K135" s="229"/>
      <c r="L135" s="280">
        <f t="array" ref="L135">MIN(IF(V135:CH135&gt;0,$V$16:$CH$16))</f>
        <v>45643</v>
      </c>
      <c r="M135" s="279">
        <f t="array" ref="M135">MAX(IF(V135:CH135&gt;0,$V$16:$CH$16))</f>
        <v>45643</v>
      </c>
      <c r="N135" s="277">
        <f>VLOOKUP(H135,Auxiliar!$B$16:$E$24,4,0)</f>
        <v>0</v>
      </c>
      <c r="O135" s="277">
        <f t="shared" ca="1" si="33"/>
        <v>0</v>
      </c>
      <c r="P135" s="276">
        <f t="shared" ca="1" si="21"/>
        <v>0</v>
      </c>
      <c r="Q135" s="276"/>
      <c r="R135" s="230"/>
      <c r="S135" s="224">
        <v>8.1</v>
      </c>
      <c r="T135" s="224">
        <f t="shared" si="25"/>
        <v>1</v>
      </c>
      <c r="U135" s="224">
        <f t="shared" si="34"/>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1"/>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4"/>
        <v>modesg_out_sfcs_taxon_europeiaref_date</v>
      </c>
      <c r="B136" s="142" t="s">
        <v>26</v>
      </c>
      <c r="C136" s="138" t="s">
        <v>311</v>
      </c>
      <c r="D136" s="253" t="s">
        <v>40</v>
      </c>
      <c r="E136" s="254" t="s">
        <v>334</v>
      </c>
      <c r="F136" s="254"/>
      <c r="G136" s="253" t="s">
        <v>208</v>
      </c>
      <c r="H136" s="255" t="str">
        <f>VLOOKUP(A136,'2. Status Detalhe Campos'!$A$7:$G$574,7,0)</f>
        <v>6. Em implementação (re-especificação)</v>
      </c>
      <c r="I136" s="229" t="s">
        <v>38</v>
      </c>
      <c r="J136" s="153">
        <v>45624</v>
      </c>
      <c r="K136" s="229"/>
      <c r="L136" s="280">
        <f t="array" ref="L136">MIN(IF(V136:CH136&gt;0,$V$16:$CH$16))</f>
        <v>45644</v>
      </c>
      <c r="M136" s="279">
        <f t="array" ref="M136">MAX(IF(V136:CH136&gt;0,$V$16:$CH$16))</f>
        <v>45644</v>
      </c>
      <c r="N136" s="277">
        <f>VLOOKUP(H136,Auxiliar!$B$16:$E$24,4,0)</f>
        <v>0</v>
      </c>
      <c r="O136" s="277">
        <f t="shared" ca="1" si="33"/>
        <v>0</v>
      </c>
      <c r="P136" s="276">
        <f t="shared" ca="1" si="21"/>
        <v>0</v>
      </c>
      <c r="Q136" s="276"/>
      <c r="R136" s="230"/>
      <c r="S136" s="224">
        <v>4.0999999999999996</v>
      </c>
      <c r="T136" s="224">
        <f t="shared" si="25"/>
        <v>0.5</v>
      </c>
      <c r="U136" s="224">
        <f t="shared" si="34"/>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1"/>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4"/>
        <v>modesg_out_sfcs_taxon_europeiazdeposit</v>
      </c>
      <c r="B137" s="142" t="s">
        <v>26</v>
      </c>
      <c r="C137" s="138" t="s">
        <v>311</v>
      </c>
      <c r="D137" s="253" t="s">
        <v>40</v>
      </c>
      <c r="E137" s="254" t="s">
        <v>334</v>
      </c>
      <c r="F137" s="254"/>
      <c r="G137" s="253" t="s">
        <v>210</v>
      </c>
      <c r="H137" s="255" t="str">
        <f>VLOOKUP(A137,'2. Status Detalhe Campos'!$A$7:$G$574,7,0)</f>
        <v>6. Em implementação (re-especificação)</v>
      </c>
      <c r="I137" s="229" t="s">
        <v>38</v>
      </c>
      <c r="J137" s="153">
        <v>45624</v>
      </c>
      <c r="K137" s="229"/>
      <c r="L137" s="280">
        <f t="array" ref="L137">MIN(IF(V137:CH137&gt;0,$V$16:$CH$16))</f>
        <v>45644</v>
      </c>
      <c r="M137" s="279">
        <f t="array" ref="M137">MAX(IF(V137:CH137&gt;0,$V$16:$CH$16))</f>
        <v>45645</v>
      </c>
      <c r="N137" s="277">
        <f>VLOOKUP(H137,Auxiliar!$B$16:$E$24,4,0)</f>
        <v>0</v>
      </c>
      <c r="O137" s="277">
        <f t="shared" ca="1" si="33"/>
        <v>0</v>
      </c>
      <c r="P137" s="276">
        <f t="shared" ca="1" si="21"/>
        <v>0</v>
      </c>
      <c r="Q137" s="276"/>
      <c r="R137" s="230"/>
      <c r="S137" s="224">
        <v>8.1</v>
      </c>
      <c r="T137" s="224">
        <f t="shared" si="25"/>
        <v>1</v>
      </c>
      <c r="U137" s="224">
        <f t="shared" si="34"/>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1"/>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3" t="s">
        <v>336</v>
      </c>
      <c r="F138" s="260" t="s">
        <v>1989</v>
      </c>
      <c r="G138" s="261">
        <f>COUNTA(G139:G160)</f>
        <v>22</v>
      </c>
      <c r="H138" s="136"/>
      <c r="I138" s="259">
        <f>MAX(I139:I160)</f>
        <v>45589</v>
      </c>
      <c r="J138" s="258">
        <f>MIN(J139:J160)</f>
        <v>45596</v>
      </c>
      <c r="K138" s="259">
        <f>MIN(K139:K160)</f>
        <v>45596</v>
      </c>
      <c r="L138" s="258">
        <f>MIN(L139:L160)</f>
        <v>45600</v>
      </c>
      <c r="M138" s="259">
        <f>MAX(M139:M160)</f>
        <v>45635</v>
      </c>
      <c r="N138" s="282">
        <f>SUMPRODUCT(N139:N160,T139:T160)/SUM(T139:T160)</f>
        <v>4.5454545454545456E-2</v>
      </c>
      <c r="O138" s="282">
        <f ca="1">SUMPRODUCT(O139:O160,T139:T160)/SUM(T139:T160)</f>
        <v>4.5454545454545456E-2</v>
      </c>
      <c r="P138" s="276">
        <f t="shared" ca="1" si="21"/>
        <v>0</v>
      </c>
      <c r="Q138" s="288" t="s">
        <v>38</v>
      </c>
      <c r="R138" s="230"/>
      <c r="S138" s="224"/>
      <c r="T138" s="224"/>
      <c r="U138" s="224"/>
      <c r="V138" s="79"/>
      <c r="W138" s="79"/>
      <c r="X138" s="79"/>
      <c r="Y138" s="79"/>
      <c r="Z138" s="79"/>
      <c r="AA138" s="79"/>
      <c r="AB138" s="227"/>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6"/>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4"/>
        <v>lt003_entitynace_esg</v>
      </c>
      <c r="B139" s="142" t="s">
        <v>26</v>
      </c>
      <c r="C139" s="138" t="s">
        <v>26</v>
      </c>
      <c r="D139" s="253" t="s">
        <v>40</v>
      </c>
      <c r="E139" s="257" t="s">
        <v>336</v>
      </c>
      <c r="F139" s="257"/>
      <c r="G139" s="257" t="s">
        <v>337</v>
      </c>
      <c r="H139" s="255" t="str">
        <f>VLOOKUP(A139,'2. Status Detalhe Campos'!$A$7:$G$574,7,0)</f>
        <v>3. Pendente de outros desenvolvimentos</v>
      </c>
      <c r="I139" s="229">
        <v>45583</v>
      </c>
      <c r="J139" s="235">
        <v>45596</v>
      </c>
      <c r="K139" s="153">
        <v>45596</v>
      </c>
      <c r="L139" s="280">
        <f t="array" ref="L139">MIN(IF(V139:CH139&gt;0,$V$16:$CH$16))</f>
        <v>45623</v>
      </c>
      <c r="M139" s="279">
        <f t="array" ref="M139">MAX(IF(V139:CH139&gt;0,$V$16:$CH$16))</f>
        <v>45623</v>
      </c>
      <c r="N139" s="277">
        <f>VLOOKUP(H139,Auxiliar!$B$16:$E$24,4,0)</f>
        <v>0</v>
      </c>
      <c r="O139" s="277">
        <f t="shared" ref="O139:O160" ca="1" si="35">IF(TODAY()&lt;=L139,0,MIN((TODAY()-L139)/(M139-L139+1),100%))</f>
        <v>0</v>
      </c>
      <c r="P139" s="276">
        <f t="shared" ca="1" si="21"/>
        <v>0</v>
      </c>
      <c r="Q139" s="276"/>
      <c r="R139" s="230"/>
      <c r="S139" s="224">
        <v>4.0999999999999996</v>
      </c>
      <c r="T139" s="224">
        <f t="shared" si="25"/>
        <v>0.5</v>
      </c>
      <c r="U139" s="224">
        <f t="shared" ref="U139:U160" si="36">SUM(V139:CH139)-T139</f>
        <v>0</v>
      </c>
      <c r="V139" s="79"/>
      <c r="W139" s="79"/>
      <c r="X139" s="79"/>
      <c r="Y139" s="79"/>
      <c r="Z139" s="79"/>
      <c r="AA139" s="79"/>
      <c r="AB139" s="227"/>
      <c r="AC139" s="92"/>
      <c r="AD139" s="79"/>
      <c r="AE139" s="79"/>
      <c r="AF139" s="79"/>
      <c r="AG139" s="79"/>
      <c r="AH139" s="79"/>
      <c r="AI139" s="79"/>
      <c r="AJ139" s="79"/>
      <c r="AK139" s="79"/>
      <c r="AL139" s="79"/>
      <c r="AM139" s="79"/>
      <c r="AN139" s="231"/>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4"/>
        <v>lt003_entitytxnmy_elgbl_capex_ccm</v>
      </c>
      <c r="B140" s="142" t="s">
        <v>26</v>
      </c>
      <c r="C140" s="138" t="s">
        <v>26</v>
      </c>
      <c r="D140" s="253" t="s">
        <v>40</v>
      </c>
      <c r="E140" s="257" t="s">
        <v>336</v>
      </c>
      <c r="F140" s="257"/>
      <c r="G140" s="257" t="s">
        <v>339</v>
      </c>
      <c r="H140" s="255" t="str">
        <f>VLOOKUP(A140,'2. Status Detalhe Campos'!$A$7:$G$574,7,0)</f>
        <v>3. Pendente de outros desenvolvimentos</v>
      </c>
      <c r="I140" s="229" t="s">
        <v>38</v>
      </c>
      <c r="J140" s="153">
        <v>45614</v>
      </c>
      <c r="K140" s="153">
        <v>45596</v>
      </c>
      <c r="L140" s="280">
        <f t="array" ref="L140">MIN(IF(V140:CH140&gt;0,$V$16:$CH$16))</f>
        <v>45615</v>
      </c>
      <c r="M140" s="279">
        <f t="array" ref="M140">MAX(IF(V140:CH140&gt;0,$V$16:$CH$16))</f>
        <v>45615</v>
      </c>
      <c r="N140" s="277">
        <f>VLOOKUP(H140,Auxiliar!$B$16:$E$24,4,0)</f>
        <v>0</v>
      </c>
      <c r="O140" s="277">
        <f t="shared" ca="1" si="35"/>
        <v>0</v>
      </c>
      <c r="P140" s="276">
        <f t="shared" ca="1" si="21"/>
        <v>0</v>
      </c>
      <c r="Q140" s="276"/>
      <c r="R140" s="230"/>
      <c r="S140" s="224">
        <v>4.0999999999999996</v>
      </c>
      <c r="T140" s="224">
        <f t="shared" si="25"/>
        <v>0.5</v>
      </c>
      <c r="U140" s="224">
        <f t="shared" si="36"/>
        <v>0</v>
      </c>
      <c r="V140" s="79"/>
      <c r="W140" s="79"/>
      <c r="X140" s="79"/>
      <c r="Y140" s="79"/>
      <c r="Z140" s="79"/>
      <c r="AA140" s="79"/>
      <c r="AB140" s="227"/>
      <c r="AC140" s="92"/>
      <c r="AD140" s="79"/>
      <c r="AE140" s="79"/>
      <c r="AF140" s="79"/>
      <c r="AG140" s="79"/>
      <c r="AH140" s="79"/>
      <c r="AI140" s="79"/>
      <c r="AJ140" s="79"/>
      <c r="AK140" s="79"/>
      <c r="AL140" s="79"/>
      <c r="AM140" s="79"/>
      <c r="AN140" s="231"/>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4"/>
        <v>lt003_entitytxnmy_elgbl_trnvr_ccm</v>
      </c>
      <c r="B141" s="142" t="s">
        <v>26</v>
      </c>
      <c r="C141" s="138" t="s">
        <v>26</v>
      </c>
      <c r="D141" s="253" t="s">
        <v>40</v>
      </c>
      <c r="E141" s="257" t="s">
        <v>336</v>
      </c>
      <c r="F141" s="257"/>
      <c r="G141" s="257" t="s">
        <v>340</v>
      </c>
      <c r="H141" s="255" t="str">
        <f>VLOOKUP(A141,'2. Status Detalhe Campos'!$A$7:$G$574,7,0)</f>
        <v>3. Pendente de outros desenvolvimentos</v>
      </c>
      <c r="I141" s="229" t="s">
        <v>38</v>
      </c>
      <c r="J141" s="153">
        <v>45614</v>
      </c>
      <c r="K141" s="153">
        <v>45596</v>
      </c>
      <c r="L141" s="280">
        <f t="array" ref="L141">MIN(IF(V141:CH141&gt;0,$V$16:$CH$16))</f>
        <v>45615</v>
      </c>
      <c r="M141" s="279">
        <f t="array" ref="M141">MAX(IF(V141:CH141&gt;0,$V$16:$CH$16))</f>
        <v>45615</v>
      </c>
      <c r="N141" s="277">
        <f>VLOOKUP(H141,Auxiliar!$B$16:$E$24,4,0)</f>
        <v>0</v>
      </c>
      <c r="O141" s="277">
        <f t="shared" ca="1" si="35"/>
        <v>0</v>
      </c>
      <c r="P141" s="276">
        <f t="shared" ca="1" si="21"/>
        <v>0</v>
      </c>
      <c r="Q141" s="276"/>
      <c r="R141" s="230"/>
      <c r="S141" s="224">
        <v>4.0999999999999996</v>
      </c>
      <c r="T141" s="224">
        <f t="shared" si="25"/>
        <v>0.5</v>
      </c>
      <c r="U141" s="224">
        <f t="shared" si="36"/>
        <v>0</v>
      </c>
      <c r="V141" s="79"/>
      <c r="W141" s="79"/>
      <c r="X141" s="79"/>
      <c r="Y141" s="79"/>
      <c r="Z141" s="79"/>
      <c r="AA141" s="79"/>
      <c r="AB141" s="227"/>
      <c r="AC141" s="92"/>
      <c r="AD141" s="79"/>
      <c r="AE141" s="79"/>
      <c r="AF141" s="79"/>
      <c r="AG141" s="79"/>
      <c r="AH141" s="79"/>
      <c r="AI141" s="79"/>
      <c r="AJ141" s="79"/>
      <c r="AK141" s="79"/>
      <c r="AL141" s="79"/>
      <c r="AM141" s="79"/>
      <c r="AN141" s="231"/>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4"/>
        <v>lt003_entitytxnmy_elgbl_capex_cca</v>
      </c>
      <c r="B142" s="142" t="s">
        <v>26</v>
      </c>
      <c r="C142" s="138" t="s">
        <v>26</v>
      </c>
      <c r="D142" s="253" t="s">
        <v>40</v>
      </c>
      <c r="E142" s="257" t="s">
        <v>336</v>
      </c>
      <c r="F142" s="257"/>
      <c r="G142" s="257" t="s">
        <v>341</v>
      </c>
      <c r="H142" s="255" t="str">
        <f>VLOOKUP(A142,'2. Status Detalhe Campos'!$A$7:$G$574,7,0)</f>
        <v>3. Pendente de outros desenvolvimentos</v>
      </c>
      <c r="I142" s="229" t="s">
        <v>38</v>
      </c>
      <c r="J142" s="153">
        <v>45614</v>
      </c>
      <c r="K142" s="153">
        <v>45596</v>
      </c>
      <c r="L142" s="280">
        <f t="array" ref="L142">MIN(IF(V142:CH142&gt;0,$V$16:$CH$16))</f>
        <v>45616</v>
      </c>
      <c r="M142" s="279">
        <f t="array" ref="M142">MAX(IF(V142:CH142&gt;0,$V$16:$CH$16))</f>
        <v>45616</v>
      </c>
      <c r="N142" s="277">
        <f>VLOOKUP(H142,Auxiliar!$B$16:$E$24,4,0)</f>
        <v>0</v>
      </c>
      <c r="O142" s="277">
        <f t="shared" ca="1" si="35"/>
        <v>0</v>
      </c>
      <c r="P142" s="276">
        <f t="shared" ca="1" si="21"/>
        <v>0</v>
      </c>
      <c r="Q142" s="276"/>
      <c r="R142" s="230"/>
      <c r="S142" s="224">
        <v>4.0999999999999996</v>
      </c>
      <c r="T142" s="224">
        <f t="shared" si="25"/>
        <v>0.5</v>
      </c>
      <c r="U142" s="224">
        <f t="shared" si="36"/>
        <v>0</v>
      </c>
      <c r="V142" s="79"/>
      <c r="W142" s="79"/>
      <c r="X142" s="79"/>
      <c r="Y142" s="79"/>
      <c r="Z142" s="79"/>
      <c r="AA142" s="79"/>
      <c r="AB142" s="227"/>
      <c r="AC142" s="92"/>
      <c r="AD142" s="79"/>
      <c r="AE142" s="79"/>
      <c r="AF142" s="79"/>
      <c r="AG142" s="79"/>
      <c r="AH142" s="79"/>
      <c r="AI142" s="79"/>
      <c r="AJ142" s="79"/>
      <c r="AK142" s="79"/>
      <c r="AL142" s="79"/>
      <c r="AM142" s="79"/>
      <c r="AN142" s="231"/>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4"/>
        <v>lt003_entitytxnmy_elgbl_trnvr_cca</v>
      </c>
      <c r="B143" s="142" t="s">
        <v>26</v>
      </c>
      <c r="C143" s="138" t="s">
        <v>26</v>
      </c>
      <c r="D143" s="253" t="s">
        <v>40</v>
      </c>
      <c r="E143" s="257" t="s">
        <v>336</v>
      </c>
      <c r="F143" s="257"/>
      <c r="G143" s="257" t="s">
        <v>342</v>
      </c>
      <c r="H143" s="255" t="str">
        <f>VLOOKUP(A143,'2. Status Detalhe Campos'!$A$7:$G$574,7,0)</f>
        <v>3. Pendente de outros desenvolvimentos</v>
      </c>
      <c r="I143" s="229" t="s">
        <v>38</v>
      </c>
      <c r="J143" s="153">
        <v>45614</v>
      </c>
      <c r="K143" s="153">
        <v>45596</v>
      </c>
      <c r="L143" s="280">
        <f t="array" ref="L143">MIN(IF(V143:CH143&gt;0,$V$16:$CH$16))</f>
        <v>45616</v>
      </c>
      <c r="M143" s="279">
        <f t="array" ref="M143">MAX(IF(V143:CH143&gt;0,$V$16:$CH$16))</f>
        <v>45616</v>
      </c>
      <c r="N143" s="277">
        <f>VLOOKUP(H143,Auxiliar!$B$16:$E$24,4,0)</f>
        <v>0</v>
      </c>
      <c r="O143" s="277">
        <f t="shared" ca="1" si="35"/>
        <v>0</v>
      </c>
      <c r="P143" s="276">
        <f t="shared" ca="1" si="21"/>
        <v>0</v>
      </c>
      <c r="Q143" s="276"/>
      <c r="R143" s="230"/>
      <c r="S143" s="224">
        <v>4.0999999999999996</v>
      </c>
      <c r="T143" s="224">
        <f t="shared" si="25"/>
        <v>0.5</v>
      </c>
      <c r="U143" s="224">
        <f t="shared" si="36"/>
        <v>0</v>
      </c>
      <c r="V143" s="79"/>
      <c r="W143" s="79"/>
      <c r="X143" s="79"/>
      <c r="Y143" s="79"/>
      <c r="Z143" s="79"/>
      <c r="AA143" s="79"/>
      <c r="AB143" s="227"/>
      <c r="AC143" s="92"/>
      <c r="AD143" s="79"/>
      <c r="AE143" s="79"/>
      <c r="AF143" s="79"/>
      <c r="AG143" s="79"/>
      <c r="AH143" s="79"/>
      <c r="AI143" s="79"/>
      <c r="AJ143" s="79"/>
      <c r="AK143" s="79"/>
      <c r="AL143" s="79"/>
      <c r="AM143" s="79"/>
      <c r="AN143" s="231"/>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4"/>
        <v>lt003_entityenblng_capex_ccm</v>
      </c>
      <c r="B144" s="142" t="s">
        <v>26</v>
      </c>
      <c r="C144" s="138" t="s">
        <v>26</v>
      </c>
      <c r="D144" s="253" t="s">
        <v>40</v>
      </c>
      <c r="E144" s="257" t="s">
        <v>336</v>
      </c>
      <c r="F144" s="257"/>
      <c r="G144" s="257" t="s">
        <v>343</v>
      </c>
      <c r="H144" s="255" t="str">
        <f>VLOOKUP(A144,'2. Status Detalhe Campos'!$A$7:$G$574,7,0)</f>
        <v>3. Pendente de outros desenvolvimentos</v>
      </c>
      <c r="I144" s="229" t="s">
        <v>38</v>
      </c>
      <c r="J144" s="153">
        <v>45614</v>
      </c>
      <c r="K144" s="153">
        <v>45596</v>
      </c>
      <c r="L144" s="280">
        <f t="array" ref="L144">MIN(IF(V144:CH144&gt;0,$V$16:$CH$16))</f>
        <v>45617</v>
      </c>
      <c r="M144" s="279">
        <f t="array" ref="M144">MAX(IF(V144:CH144&gt;0,$V$16:$CH$16))</f>
        <v>45617</v>
      </c>
      <c r="N144" s="277">
        <f>VLOOKUP(H144,Auxiliar!$B$16:$E$24,4,0)</f>
        <v>0</v>
      </c>
      <c r="O144" s="277">
        <f t="shared" ca="1" si="35"/>
        <v>0</v>
      </c>
      <c r="P144" s="276">
        <f t="shared" ca="1" si="21"/>
        <v>0</v>
      </c>
      <c r="Q144" s="276"/>
      <c r="R144" s="230"/>
      <c r="S144" s="224">
        <v>4.0999999999999996</v>
      </c>
      <c r="T144" s="224">
        <f t="shared" si="25"/>
        <v>0.5</v>
      </c>
      <c r="U144" s="224">
        <f t="shared" si="36"/>
        <v>0</v>
      </c>
      <c r="V144" s="79"/>
      <c r="W144" s="79"/>
      <c r="X144" s="79"/>
      <c r="Y144" s="79"/>
      <c r="Z144" s="79"/>
      <c r="AA144" s="79"/>
      <c r="AB144" s="227"/>
      <c r="AC144" s="92"/>
      <c r="AD144" s="79"/>
      <c r="AE144" s="79"/>
      <c r="AF144" s="79"/>
      <c r="AG144" s="79"/>
      <c r="AH144" s="79"/>
      <c r="AI144" s="79"/>
      <c r="AJ144" s="79"/>
      <c r="AK144" s="79"/>
      <c r="AL144" s="79"/>
      <c r="AM144" s="79"/>
      <c r="AN144" s="231"/>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4"/>
        <v>lt003_entityenblng_capex_cca</v>
      </c>
      <c r="B145" s="142" t="s">
        <v>26</v>
      </c>
      <c r="C145" s="138" t="s">
        <v>26</v>
      </c>
      <c r="D145" s="253" t="s">
        <v>40</v>
      </c>
      <c r="E145" s="257" t="s">
        <v>336</v>
      </c>
      <c r="F145" s="257"/>
      <c r="G145" s="257" t="s">
        <v>344</v>
      </c>
      <c r="H145" s="255" t="str">
        <f>VLOOKUP(A145,'2. Status Detalhe Campos'!$A$7:$G$574,7,0)</f>
        <v>3. Pendente de outros desenvolvimentos</v>
      </c>
      <c r="I145" s="229" t="s">
        <v>38</v>
      </c>
      <c r="J145" s="153">
        <v>45614</v>
      </c>
      <c r="K145" s="153">
        <v>45596</v>
      </c>
      <c r="L145" s="280">
        <f t="array" ref="L145">MIN(IF(V145:CH145&gt;0,$V$16:$CH$16))</f>
        <v>45617</v>
      </c>
      <c r="M145" s="279">
        <f t="array" ref="M145">MAX(IF(V145:CH145&gt;0,$V$16:$CH$16))</f>
        <v>45617</v>
      </c>
      <c r="N145" s="277">
        <f>VLOOKUP(H145,Auxiliar!$B$16:$E$24,4,0)</f>
        <v>0</v>
      </c>
      <c r="O145" s="277">
        <f t="shared" ca="1" si="35"/>
        <v>0</v>
      </c>
      <c r="P145" s="276">
        <f t="shared" ca="1" si="21"/>
        <v>0</v>
      </c>
      <c r="Q145" s="276"/>
      <c r="R145" s="230"/>
      <c r="S145" s="224">
        <v>4.0999999999999996</v>
      </c>
      <c r="T145" s="224">
        <f t="shared" si="25"/>
        <v>0.5</v>
      </c>
      <c r="U145" s="224">
        <f t="shared" si="36"/>
        <v>0</v>
      </c>
      <c r="V145" s="79"/>
      <c r="W145" s="79"/>
      <c r="X145" s="79"/>
      <c r="Y145" s="79"/>
      <c r="Z145" s="79"/>
      <c r="AA145" s="79"/>
      <c r="AB145" s="227"/>
      <c r="AC145" s="92"/>
      <c r="AD145" s="79"/>
      <c r="AE145" s="79"/>
      <c r="AF145" s="79"/>
      <c r="AG145" s="79"/>
      <c r="AH145" s="79"/>
      <c r="AI145" s="79"/>
      <c r="AJ145" s="79"/>
      <c r="AK145" s="79"/>
      <c r="AL145" s="79"/>
      <c r="AM145" s="79"/>
      <c r="AN145" s="231"/>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4"/>
        <v>lt003_entitytrnstnl_capex</v>
      </c>
      <c r="B146" s="142" t="s">
        <v>26</v>
      </c>
      <c r="C146" s="138" t="s">
        <v>26</v>
      </c>
      <c r="D146" s="253" t="s">
        <v>40</v>
      </c>
      <c r="E146" s="257" t="s">
        <v>336</v>
      </c>
      <c r="F146" s="257"/>
      <c r="G146" s="257" t="s">
        <v>345</v>
      </c>
      <c r="H146" s="255" t="str">
        <f>VLOOKUP(A146,'2. Status Detalhe Campos'!$A$7:$G$574,7,0)</f>
        <v>3. Pendente de outros desenvolvimentos</v>
      </c>
      <c r="I146" s="229" t="s">
        <v>38</v>
      </c>
      <c r="J146" s="153">
        <v>45614</v>
      </c>
      <c r="K146" s="153">
        <v>45596</v>
      </c>
      <c r="L146" s="280">
        <f t="array" ref="L146">MIN(IF(V146:CH146&gt;0,$V$16:$CH$16))</f>
        <v>45618</v>
      </c>
      <c r="M146" s="279">
        <f t="array" ref="M146">MAX(IF(V146:CH146&gt;0,$V$16:$CH$16))</f>
        <v>45618</v>
      </c>
      <c r="N146" s="277">
        <f>VLOOKUP(H146,Auxiliar!$B$16:$E$24,4,0)</f>
        <v>0</v>
      </c>
      <c r="O146" s="277">
        <f t="shared" ca="1" si="35"/>
        <v>0</v>
      </c>
      <c r="P146" s="276">
        <f t="shared" ref="P146:P209" ca="1" si="37">N146-O146</f>
        <v>0</v>
      </c>
      <c r="Q146" s="276"/>
      <c r="R146" s="230"/>
      <c r="S146" s="224">
        <v>4.0999999999999996</v>
      </c>
      <c r="T146" s="224">
        <f t="shared" si="25"/>
        <v>0.5</v>
      </c>
      <c r="U146" s="224">
        <f t="shared" si="36"/>
        <v>0</v>
      </c>
      <c r="V146" s="79"/>
      <c r="W146" s="79"/>
      <c r="X146" s="79"/>
      <c r="Y146" s="79"/>
      <c r="Z146" s="79"/>
      <c r="AA146" s="79"/>
      <c r="AB146" s="227"/>
      <c r="AC146" s="92"/>
      <c r="AD146" s="79"/>
      <c r="AE146" s="79"/>
      <c r="AF146" s="79"/>
      <c r="AG146" s="79"/>
      <c r="AH146" s="79"/>
      <c r="AI146" s="79"/>
      <c r="AJ146" s="79"/>
      <c r="AK146" s="79"/>
      <c r="AL146" s="79"/>
      <c r="AM146" s="79"/>
      <c r="AN146" s="231"/>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4"/>
        <v>lt003_entitypure_capex_ccm</v>
      </c>
      <c r="B147" s="142" t="s">
        <v>26</v>
      </c>
      <c r="C147" s="138" t="s">
        <v>26</v>
      </c>
      <c r="D147" s="253" t="s">
        <v>40</v>
      </c>
      <c r="E147" s="257" t="s">
        <v>336</v>
      </c>
      <c r="F147" s="257"/>
      <c r="G147" s="257" t="s">
        <v>346</v>
      </c>
      <c r="H147" s="255" t="str">
        <f>VLOOKUP(A147,'2. Status Detalhe Campos'!$A$7:$G$574,7,0)</f>
        <v>3. Pendente de outros desenvolvimentos</v>
      </c>
      <c r="I147" s="229" t="s">
        <v>38</v>
      </c>
      <c r="J147" s="153">
        <v>45614</v>
      </c>
      <c r="K147" s="153">
        <v>45596</v>
      </c>
      <c r="L147" s="280">
        <f t="array" ref="L147">MIN(IF(V147:CH147&gt;0,$V$16:$CH$16))</f>
        <v>45618</v>
      </c>
      <c r="M147" s="279">
        <f t="array" ref="M147">MAX(IF(V147:CH147&gt;0,$V$16:$CH$16))</f>
        <v>45618</v>
      </c>
      <c r="N147" s="277">
        <f>VLOOKUP(H147,Auxiliar!$B$16:$E$24,4,0)</f>
        <v>0</v>
      </c>
      <c r="O147" s="277">
        <f t="shared" ca="1" si="35"/>
        <v>0</v>
      </c>
      <c r="P147" s="276">
        <f t="shared" ca="1" si="37"/>
        <v>0</v>
      </c>
      <c r="Q147" s="276"/>
      <c r="R147" s="230"/>
      <c r="S147" s="224">
        <v>4.0999999999999996</v>
      </c>
      <c r="T147" s="224">
        <f t="shared" si="25"/>
        <v>0.5</v>
      </c>
      <c r="U147" s="224">
        <f t="shared" si="36"/>
        <v>0</v>
      </c>
      <c r="V147" s="79"/>
      <c r="W147" s="79"/>
      <c r="X147" s="79"/>
      <c r="Y147" s="79"/>
      <c r="Z147" s="79"/>
      <c r="AA147" s="79"/>
      <c r="AB147" s="227"/>
      <c r="AC147" s="92"/>
      <c r="AD147" s="79"/>
      <c r="AE147" s="79"/>
      <c r="AF147" s="79"/>
      <c r="AG147" s="79"/>
      <c r="AH147" s="79"/>
      <c r="AI147" s="79"/>
      <c r="AJ147" s="79"/>
      <c r="AK147" s="79"/>
      <c r="AL147" s="79"/>
      <c r="AM147" s="79"/>
      <c r="AN147" s="231"/>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4"/>
        <v>lt003_entityenblng_trnvr_ccm</v>
      </c>
      <c r="B148" s="142" t="s">
        <v>26</v>
      </c>
      <c r="C148" s="138" t="s">
        <v>26</v>
      </c>
      <c r="D148" s="253" t="s">
        <v>40</v>
      </c>
      <c r="E148" s="257" t="s">
        <v>336</v>
      </c>
      <c r="F148" s="257"/>
      <c r="G148" s="257" t="s">
        <v>348</v>
      </c>
      <c r="H148" s="255" t="str">
        <f>VLOOKUP(A148,'2. Status Detalhe Campos'!$A$7:$G$574,7,0)</f>
        <v>3. Pendente de outros desenvolvimentos</v>
      </c>
      <c r="I148" s="229" t="s">
        <v>38</v>
      </c>
      <c r="J148" s="153">
        <v>45614</v>
      </c>
      <c r="K148" s="153">
        <v>45596</v>
      </c>
      <c r="L148" s="280">
        <f t="array" ref="L148">MIN(IF(V148:CH148&gt;0,$V$16:$CH$16))</f>
        <v>45621</v>
      </c>
      <c r="M148" s="279">
        <f t="array" ref="M148">MAX(IF(V148:CH148&gt;0,$V$16:$CH$16))</f>
        <v>45621</v>
      </c>
      <c r="N148" s="277">
        <f>VLOOKUP(H148,Auxiliar!$B$16:$E$24,4,0)</f>
        <v>0</v>
      </c>
      <c r="O148" s="277">
        <f t="shared" ca="1" si="35"/>
        <v>0</v>
      </c>
      <c r="P148" s="276">
        <f t="shared" ca="1" si="37"/>
        <v>0</v>
      </c>
      <c r="Q148" s="276"/>
      <c r="R148" s="230"/>
      <c r="S148" s="224">
        <v>4.0999999999999996</v>
      </c>
      <c r="T148" s="224">
        <f t="shared" si="25"/>
        <v>0.5</v>
      </c>
      <c r="U148" s="224">
        <f t="shared" si="36"/>
        <v>0</v>
      </c>
      <c r="V148" s="79"/>
      <c r="W148" s="79"/>
      <c r="X148" s="79"/>
      <c r="Y148" s="79"/>
      <c r="Z148" s="79"/>
      <c r="AA148" s="79"/>
      <c r="AB148" s="227"/>
      <c r="AC148" s="92"/>
      <c r="AD148" s="79"/>
      <c r="AE148" s="79"/>
      <c r="AF148" s="79"/>
      <c r="AG148" s="79"/>
      <c r="AH148" s="79"/>
      <c r="AI148" s="79"/>
      <c r="AJ148" s="79"/>
      <c r="AK148" s="79"/>
      <c r="AL148" s="79"/>
      <c r="AM148" s="79"/>
      <c r="AN148" s="231"/>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4"/>
        <v>lt003_entityenblng_trnvr_cca</v>
      </c>
      <c r="B149" s="142" t="s">
        <v>26</v>
      </c>
      <c r="C149" s="138" t="s">
        <v>26</v>
      </c>
      <c r="D149" s="253" t="s">
        <v>40</v>
      </c>
      <c r="E149" s="257" t="s">
        <v>336</v>
      </c>
      <c r="F149" s="257"/>
      <c r="G149" s="257" t="s">
        <v>349</v>
      </c>
      <c r="H149" s="255" t="str">
        <f>VLOOKUP(A149,'2. Status Detalhe Campos'!$A$7:$G$574,7,0)</f>
        <v>3. Pendente de outros desenvolvimentos</v>
      </c>
      <c r="I149" s="229" t="s">
        <v>38</v>
      </c>
      <c r="J149" s="153">
        <v>45614</v>
      </c>
      <c r="K149" s="153">
        <v>45596</v>
      </c>
      <c r="L149" s="280">
        <f t="array" ref="L149">MIN(IF(V149:CH149&gt;0,$V$16:$CH$16))</f>
        <v>45621</v>
      </c>
      <c r="M149" s="279">
        <f t="array" ref="M149">MAX(IF(V149:CH149&gt;0,$V$16:$CH$16))</f>
        <v>45621</v>
      </c>
      <c r="N149" s="277">
        <f>VLOOKUP(H149,Auxiliar!$B$16:$E$24,4,0)</f>
        <v>0</v>
      </c>
      <c r="O149" s="277">
        <f t="shared" ca="1" si="35"/>
        <v>0</v>
      </c>
      <c r="P149" s="276">
        <f t="shared" ca="1" si="37"/>
        <v>0</v>
      </c>
      <c r="Q149" s="276"/>
      <c r="R149" s="230"/>
      <c r="S149" s="224">
        <v>4.0999999999999996</v>
      </c>
      <c r="T149" s="224">
        <f t="shared" si="25"/>
        <v>0.5</v>
      </c>
      <c r="U149" s="224">
        <f t="shared" si="36"/>
        <v>0</v>
      </c>
      <c r="V149" s="79"/>
      <c r="W149" s="79"/>
      <c r="X149" s="79"/>
      <c r="Y149" s="79"/>
      <c r="Z149" s="79"/>
      <c r="AA149" s="79"/>
      <c r="AB149" s="227"/>
      <c r="AC149" s="92"/>
      <c r="AD149" s="79"/>
      <c r="AE149" s="79"/>
      <c r="AF149" s="79"/>
      <c r="AG149" s="79"/>
      <c r="AH149" s="79"/>
      <c r="AI149" s="79"/>
      <c r="AJ149" s="79"/>
      <c r="AK149" s="79"/>
      <c r="AL149" s="79"/>
      <c r="AM149" s="79"/>
      <c r="AN149" s="231"/>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4"/>
        <v>lt003_entitytrnstnl_trnvr</v>
      </c>
      <c r="B150" s="142" t="s">
        <v>26</v>
      </c>
      <c r="C150" s="138" t="s">
        <v>26</v>
      </c>
      <c r="D150" s="253" t="s">
        <v>40</v>
      </c>
      <c r="E150" s="257" t="s">
        <v>336</v>
      </c>
      <c r="F150" s="257"/>
      <c r="G150" s="257" t="s">
        <v>350</v>
      </c>
      <c r="H150" s="255" t="str">
        <f>VLOOKUP(A150,'2. Status Detalhe Campos'!$A$7:$G$574,7,0)</f>
        <v>3. Pendente de outros desenvolvimentos</v>
      </c>
      <c r="I150" s="229" t="s">
        <v>38</v>
      </c>
      <c r="J150" s="153">
        <v>45614</v>
      </c>
      <c r="K150" s="153">
        <v>45596</v>
      </c>
      <c r="L150" s="280">
        <f t="array" ref="L150">MIN(IF(V150:CH150&gt;0,$V$16:$CH$16))</f>
        <v>45622</v>
      </c>
      <c r="M150" s="279">
        <f t="array" ref="M150">MAX(IF(V150:CH150&gt;0,$V$16:$CH$16))</f>
        <v>45622</v>
      </c>
      <c r="N150" s="277">
        <f>VLOOKUP(H150,Auxiliar!$B$16:$E$24,4,0)</f>
        <v>0</v>
      </c>
      <c r="O150" s="277">
        <f t="shared" ca="1" si="35"/>
        <v>0</v>
      </c>
      <c r="P150" s="276">
        <f t="shared" ca="1" si="37"/>
        <v>0</v>
      </c>
      <c r="Q150" s="276"/>
      <c r="R150" s="230"/>
      <c r="S150" s="224">
        <v>4.0999999999999996</v>
      </c>
      <c r="T150" s="224">
        <f t="shared" si="25"/>
        <v>0.5</v>
      </c>
      <c r="U150" s="224">
        <f t="shared" si="36"/>
        <v>0</v>
      </c>
      <c r="V150" s="79"/>
      <c r="W150" s="79"/>
      <c r="X150" s="79"/>
      <c r="Y150" s="79"/>
      <c r="Z150" s="79"/>
      <c r="AA150" s="79"/>
      <c r="AB150" s="227"/>
      <c r="AC150" s="92"/>
      <c r="AD150" s="79"/>
      <c r="AE150" s="79"/>
      <c r="AF150" s="79"/>
      <c r="AG150" s="79"/>
      <c r="AH150" s="79"/>
      <c r="AI150" s="79"/>
      <c r="AJ150" s="79"/>
      <c r="AK150" s="79"/>
      <c r="AL150" s="79"/>
      <c r="AM150" s="79"/>
      <c r="AN150" s="231"/>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4"/>
        <v>lt003_entitypure_trnvr_ccm</v>
      </c>
      <c r="B151" s="142" t="s">
        <v>26</v>
      </c>
      <c r="C151" s="138" t="s">
        <v>26</v>
      </c>
      <c r="D151" s="253" t="s">
        <v>40</v>
      </c>
      <c r="E151" s="257" t="s">
        <v>336</v>
      </c>
      <c r="F151" s="257"/>
      <c r="G151" s="257" t="s">
        <v>351</v>
      </c>
      <c r="H151" s="255" t="str">
        <f>VLOOKUP(A151,'2. Status Detalhe Campos'!$A$7:$G$574,7,0)</f>
        <v>3. Pendente de outros desenvolvimentos</v>
      </c>
      <c r="I151" s="229" t="s">
        <v>38</v>
      </c>
      <c r="J151" s="153">
        <v>45614</v>
      </c>
      <c r="K151" s="153">
        <v>45596</v>
      </c>
      <c r="L151" s="280">
        <f t="array" ref="L151">MIN(IF(V151:CH151&gt;0,$V$16:$CH$16))</f>
        <v>45622</v>
      </c>
      <c r="M151" s="279">
        <f t="array" ref="M151">MAX(IF(V151:CH151&gt;0,$V$16:$CH$16))</f>
        <v>45622</v>
      </c>
      <c r="N151" s="277">
        <f>VLOOKUP(H151,Auxiliar!$B$16:$E$24,4,0)</f>
        <v>0</v>
      </c>
      <c r="O151" s="277">
        <f t="shared" ca="1" si="35"/>
        <v>0</v>
      </c>
      <c r="P151" s="276">
        <f t="shared" ca="1" si="37"/>
        <v>0</v>
      </c>
      <c r="Q151" s="276"/>
      <c r="R151" s="230"/>
      <c r="S151" s="224">
        <v>4.0999999999999996</v>
      </c>
      <c r="T151" s="224">
        <f t="shared" si="25"/>
        <v>0.5</v>
      </c>
      <c r="U151" s="224">
        <f t="shared" si="36"/>
        <v>0</v>
      </c>
      <c r="V151" s="79"/>
      <c r="W151" s="79"/>
      <c r="X151" s="79"/>
      <c r="Y151" s="79"/>
      <c r="Z151" s="79"/>
      <c r="AA151" s="79"/>
      <c r="AB151" s="227"/>
      <c r="AC151" s="92"/>
      <c r="AD151" s="79"/>
      <c r="AE151" s="79"/>
      <c r="AF151" s="79"/>
      <c r="AG151" s="79"/>
      <c r="AH151" s="79"/>
      <c r="AI151" s="79"/>
      <c r="AJ151" s="79"/>
      <c r="AK151" s="79"/>
      <c r="AL151" s="79"/>
      <c r="AM151" s="79"/>
      <c r="AN151" s="231"/>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4"/>
        <v>lt003_entitypure_trnvr_cca</v>
      </c>
      <c r="B152" s="142" t="s">
        <v>26</v>
      </c>
      <c r="C152" s="138" t="s">
        <v>26</v>
      </c>
      <c r="D152" s="253" t="s">
        <v>40</v>
      </c>
      <c r="E152" s="257" t="s">
        <v>336</v>
      </c>
      <c r="F152" s="257"/>
      <c r="G152" s="257" t="s">
        <v>352</v>
      </c>
      <c r="H152" s="255" t="str">
        <f>VLOOKUP(A152,'2. Status Detalhe Campos'!$A$7:$G$574,7,0)</f>
        <v>3. Pendente de outros desenvolvimentos</v>
      </c>
      <c r="I152" s="229" t="s">
        <v>38</v>
      </c>
      <c r="J152" s="153">
        <v>45614</v>
      </c>
      <c r="K152" s="153">
        <v>45596</v>
      </c>
      <c r="L152" s="280">
        <f t="array" ref="L152">MIN(IF(V152:CH152&gt;0,$V$16:$CH$16))</f>
        <v>45624</v>
      </c>
      <c r="M152" s="279">
        <f t="array" ref="M152">MAX(IF(V152:CH152&gt;0,$V$16:$CH$16))</f>
        <v>45624</v>
      </c>
      <c r="N152" s="277">
        <f>VLOOKUP(H152,Auxiliar!$B$16:$E$24,4,0)</f>
        <v>0</v>
      </c>
      <c r="O152" s="277">
        <f t="shared" ca="1" si="35"/>
        <v>0</v>
      </c>
      <c r="P152" s="276">
        <f t="shared" ca="1" si="37"/>
        <v>0</v>
      </c>
      <c r="Q152" s="276"/>
      <c r="R152" s="230"/>
      <c r="S152" s="224">
        <v>4.0999999999999996</v>
      </c>
      <c r="T152" s="224">
        <f t="shared" si="25"/>
        <v>0.5</v>
      </c>
      <c r="U152" s="224">
        <f t="shared" si="36"/>
        <v>0</v>
      </c>
      <c r="V152" s="79"/>
      <c r="W152" s="79"/>
      <c r="X152" s="79"/>
      <c r="Y152" s="79"/>
      <c r="Z152" s="79"/>
      <c r="AA152" s="79"/>
      <c r="AB152" s="227"/>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8">E153&amp;G153</f>
        <v>lt003_entityflg_excldd_eu_prs_algnd_bnchmrk</v>
      </c>
      <c r="B153" s="142" t="s">
        <v>26</v>
      </c>
      <c r="C153" s="138" t="s">
        <v>26</v>
      </c>
      <c r="D153" s="253" t="s">
        <v>40</v>
      </c>
      <c r="E153" s="257" t="s">
        <v>336</v>
      </c>
      <c r="F153" s="257"/>
      <c r="G153" s="257" t="s">
        <v>357</v>
      </c>
      <c r="H153" s="255" t="str">
        <f>VLOOKUP(A153,'2. Status Detalhe Campos'!$A$7:$G$574,7,0)</f>
        <v>3. Pendente de outros desenvolvimentos</v>
      </c>
      <c r="I153" s="229" t="s">
        <v>38</v>
      </c>
      <c r="J153" s="153">
        <v>45614</v>
      </c>
      <c r="K153" s="153">
        <v>45596</v>
      </c>
      <c r="L153" s="280">
        <f t="array" ref="L153">MIN(IF(V153:CH153&gt;0,$V$16:$CH$16))</f>
        <v>45629</v>
      </c>
      <c r="M153" s="279">
        <f t="array" ref="M153">MAX(IF(V153:CH153&gt;0,$V$16:$CH$16))</f>
        <v>45629</v>
      </c>
      <c r="N153" s="277">
        <f>VLOOKUP(H153,Auxiliar!$B$16:$E$24,4,0)</f>
        <v>0</v>
      </c>
      <c r="O153" s="277">
        <f t="shared" ca="1" si="35"/>
        <v>0</v>
      </c>
      <c r="P153" s="276">
        <f t="shared" ca="1" si="37"/>
        <v>0</v>
      </c>
      <c r="Q153" s="276"/>
      <c r="R153" s="230"/>
      <c r="S153" s="224">
        <v>4.0999999999999996</v>
      </c>
      <c r="T153" s="224">
        <f t="shared" ref="T153:T160" si="39">ROUND(S153/8,1)</f>
        <v>0.5</v>
      </c>
      <c r="U153" s="224">
        <f t="shared" si="36"/>
        <v>0</v>
      </c>
      <c r="V153" s="79"/>
      <c r="W153" s="79"/>
      <c r="X153" s="79"/>
      <c r="Y153" s="79"/>
      <c r="Z153" s="79"/>
      <c r="AA153" s="79"/>
      <c r="AB153" s="227"/>
      <c r="AC153" s="92"/>
      <c r="AD153" s="79"/>
      <c r="AE153" s="79"/>
      <c r="AF153" s="79"/>
      <c r="AG153" s="79"/>
      <c r="AH153" s="79"/>
      <c r="AI153" s="79"/>
      <c r="AJ153" s="79"/>
      <c r="AK153" s="79"/>
      <c r="AL153" s="79"/>
      <c r="AM153" s="79"/>
      <c r="AN153" s="231"/>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8"/>
        <v>lt003_entityflg_act_physcl_rsk</v>
      </c>
      <c r="B154" s="142" t="s">
        <v>26</v>
      </c>
      <c r="C154" s="138" t="s">
        <v>26</v>
      </c>
      <c r="D154" s="253" t="s">
        <v>40</v>
      </c>
      <c r="E154" s="257" t="s">
        <v>336</v>
      </c>
      <c r="F154" s="257"/>
      <c r="G154" s="257" t="s">
        <v>358</v>
      </c>
      <c r="H154" s="255" t="str">
        <f>VLOOKUP(A154,'2. Status Detalhe Campos'!$A$7:$G$574,7,0)</f>
        <v>3. Pendente de outros desenvolvimentos</v>
      </c>
      <c r="I154" s="229">
        <v>45589</v>
      </c>
      <c r="J154" s="235">
        <v>45596</v>
      </c>
      <c r="K154" s="153">
        <v>45596</v>
      </c>
      <c r="L154" s="280">
        <f t="array" ref="L154">MIN(IF(V154:CH154&gt;0,$V$16:$CH$16))</f>
        <v>45630</v>
      </c>
      <c r="M154" s="279">
        <f t="array" ref="M154">MAX(IF(V154:CH154&gt;0,$V$16:$CH$16))</f>
        <v>45630</v>
      </c>
      <c r="N154" s="277">
        <f>VLOOKUP(H154,Auxiliar!$B$16:$E$24,4,0)</f>
        <v>0</v>
      </c>
      <c r="O154" s="277">
        <f t="shared" ca="1" si="35"/>
        <v>0</v>
      </c>
      <c r="P154" s="276">
        <f t="shared" ca="1" si="37"/>
        <v>0</v>
      </c>
      <c r="Q154" s="276"/>
      <c r="R154" s="230"/>
      <c r="S154" s="224">
        <v>4.0999999999999996</v>
      </c>
      <c r="T154" s="224">
        <f t="shared" si="39"/>
        <v>0.5</v>
      </c>
      <c r="U154" s="224">
        <f t="shared" si="36"/>
        <v>0</v>
      </c>
      <c r="V154" s="79"/>
      <c r="W154" s="79"/>
      <c r="X154" s="79"/>
      <c r="Y154" s="79"/>
      <c r="Z154" s="79"/>
      <c r="AA154" s="79"/>
      <c r="AB154" s="227"/>
      <c r="AC154" s="92"/>
      <c r="AD154" s="79"/>
      <c r="AE154" s="79"/>
      <c r="AF154" s="79"/>
      <c r="AG154" s="79"/>
      <c r="AH154" s="79"/>
      <c r="AI154" s="79"/>
      <c r="AJ154" s="79"/>
      <c r="AK154" s="79"/>
      <c r="AL154" s="79"/>
      <c r="AM154" s="79"/>
      <c r="AN154" s="79"/>
      <c r="AO154" s="79"/>
      <c r="AP154" s="79"/>
      <c r="AQ154" s="79"/>
      <c r="AR154" s="79"/>
      <c r="AS154" s="79"/>
      <c r="AT154" s="79"/>
      <c r="AU154" s="79"/>
      <c r="AV154" s="231"/>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8"/>
        <v>lt003_entityflg_chrnc_physcl_rsk</v>
      </c>
      <c r="B155" s="142" t="s">
        <v>26</v>
      </c>
      <c r="C155" s="138" t="s">
        <v>26</v>
      </c>
      <c r="D155" s="253" t="s">
        <v>40</v>
      </c>
      <c r="E155" s="257" t="s">
        <v>336</v>
      </c>
      <c r="F155" s="257"/>
      <c r="G155" s="257" t="s">
        <v>359</v>
      </c>
      <c r="H155" s="255" t="str">
        <f>VLOOKUP(A155,'2. Status Detalhe Campos'!$A$7:$G$574,7,0)</f>
        <v>3. Pendente de outros desenvolvimentos</v>
      </c>
      <c r="I155" s="229">
        <v>45589</v>
      </c>
      <c r="J155" s="235">
        <v>45596</v>
      </c>
      <c r="K155" s="153">
        <v>45596</v>
      </c>
      <c r="L155" s="280">
        <f t="array" ref="L155">MIN(IF(V155:CH155&gt;0,$V$16:$CH$16))</f>
        <v>45630</v>
      </c>
      <c r="M155" s="279">
        <f t="array" ref="M155">MAX(IF(V155:CH155&gt;0,$V$16:$CH$16))</f>
        <v>45630</v>
      </c>
      <c r="N155" s="277">
        <f>VLOOKUP(H155,Auxiliar!$B$16:$E$24,4,0)</f>
        <v>0</v>
      </c>
      <c r="O155" s="277">
        <f t="shared" ca="1" si="35"/>
        <v>0</v>
      </c>
      <c r="P155" s="276">
        <f t="shared" ca="1" si="37"/>
        <v>0</v>
      </c>
      <c r="Q155" s="276"/>
      <c r="R155" s="230"/>
      <c r="S155" s="224">
        <v>4.0999999999999996</v>
      </c>
      <c r="T155" s="224">
        <f t="shared" si="39"/>
        <v>0.5</v>
      </c>
      <c r="U155" s="224">
        <f t="shared" si="36"/>
        <v>0</v>
      </c>
      <c r="V155" s="79"/>
      <c r="W155" s="79"/>
      <c r="X155" s="79"/>
      <c r="Y155" s="79"/>
      <c r="Z155" s="79"/>
      <c r="AA155" s="79"/>
      <c r="AB155" s="227"/>
      <c r="AC155" s="92"/>
      <c r="AD155" s="79"/>
      <c r="AE155" s="79"/>
      <c r="AF155" s="79"/>
      <c r="AG155" s="79"/>
      <c r="AH155" s="79"/>
      <c r="AI155" s="79"/>
      <c r="AJ155" s="79"/>
      <c r="AK155" s="79"/>
      <c r="AL155" s="79"/>
      <c r="AM155" s="79"/>
      <c r="AN155" s="79"/>
      <c r="AO155" s="79"/>
      <c r="AP155" s="79"/>
      <c r="AQ155" s="79"/>
      <c r="AR155" s="79"/>
      <c r="AS155" s="79"/>
      <c r="AT155" s="79"/>
      <c r="AU155" s="79"/>
      <c r="AV155" s="231"/>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8"/>
        <v>lt003_entitypst_cd</v>
      </c>
      <c r="B156" s="142" t="s">
        <v>26</v>
      </c>
      <c r="C156" s="138" t="s">
        <v>26</v>
      </c>
      <c r="D156" s="253" t="s">
        <v>40</v>
      </c>
      <c r="E156" s="257" t="s">
        <v>336</v>
      </c>
      <c r="F156" s="257"/>
      <c r="G156" s="257" t="s">
        <v>360</v>
      </c>
      <c r="H156" s="255" t="str">
        <f>VLOOKUP(A156,'2. Status Detalhe Campos'!$A$7:$G$574,7,0)</f>
        <v>1. Concluído</v>
      </c>
      <c r="I156" s="229" t="s">
        <v>38</v>
      </c>
      <c r="J156" s="153">
        <v>45596</v>
      </c>
      <c r="K156" s="153">
        <v>45596</v>
      </c>
      <c r="L156" s="280">
        <f t="array" ref="L156">MIN(IF(V156:CH156&gt;0,$V$16:$CH$16))</f>
        <v>45600</v>
      </c>
      <c r="M156" s="279">
        <f t="array" ref="M156">MAX(IF(V156:CH156&gt;0,$V$16:$CH$16))</f>
        <v>45600</v>
      </c>
      <c r="N156" s="277">
        <f>VLOOKUP(H156,Auxiliar!$B$16:$E$24,4,0)</f>
        <v>1</v>
      </c>
      <c r="O156" s="277">
        <f t="shared" ca="1" si="35"/>
        <v>1</v>
      </c>
      <c r="P156" s="276">
        <f t="shared" ca="1" si="37"/>
        <v>0</v>
      </c>
      <c r="Q156" s="276"/>
      <c r="R156" s="230" t="s">
        <v>1308</v>
      </c>
      <c r="S156" s="224">
        <v>4.0999999999999996</v>
      </c>
      <c r="T156" s="224">
        <f t="shared" si="39"/>
        <v>0.5</v>
      </c>
      <c r="U156" s="224">
        <f t="shared" si="36"/>
        <v>0</v>
      </c>
      <c r="V156" s="79"/>
      <c r="W156" s="79"/>
      <c r="X156" s="79"/>
      <c r="Y156" s="79"/>
      <c r="Z156" s="79"/>
      <c r="AA156" s="79"/>
      <c r="AB156" s="227"/>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8"/>
        <v>lt003_entityflg_grp_nfrd_applcblty</v>
      </c>
      <c r="B157" s="142" t="s">
        <v>26</v>
      </c>
      <c r="C157" s="138" t="s">
        <v>26</v>
      </c>
      <c r="D157" s="253" t="s">
        <v>40</v>
      </c>
      <c r="E157" s="257" t="s">
        <v>336</v>
      </c>
      <c r="F157" s="257"/>
      <c r="G157" s="257" t="s">
        <v>365</v>
      </c>
      <c r="H157" s="255" t="str">
        <f>VLOOKUP(A157,'2. Status Detalhe Campos'!$A$7:$G$574,7,0)</f>
        <v>3. Pendente de outros desenvolvimentos</v>
      </c>
      <c r="I157" s="153">
        <v>45588</v>
      </c>
      <c r="J157" s="235">
        <v>45596</v>
      </c>
      <c r="K157" s="153">
        <v>45596</v>
      </c>
      <c r="L157" s="280">
        <f t="array" ref="L157">MIN(IF(V157:CH157&gt;0,$V$16:$CH$16))</f>
        <v>45632</v>
      </c>
      <c r="M157" s="279">
        <f t="array" ref="M157">MAX(IF(V157:CH157&gt;0,$V$16:$CH$16))</f>
        <v>45632</v>
      </c>
      <c r="N157" s="277">
        <f>VLOOKUP(H157,Auxiliar!$B$16:$E$24,4,0)</f>
        <v>0</v>
      </c>
      <c r="O157" s="277">
        <f t="shared" ca="1" si="35"/>
        <v>0</v>
      </c>
      <c r="P157" s="276">
        <f t="shared" ca="1" si="37"/>
        <v>0</v>
      </c>
      <c r="Q157" s="276"/>
      <c r="R157" s="230"/>
      <c r="S157" s="224">
        <v>4.0999999999999996</v>
      </c>
      <c r="T157" s="224">
        <f t="shared" si="39"/>
        <v>0.5</v>
      </c>
      <c r="U157" s="224">
        <f t="shared" si="36"/>
        <v>0</v>
      </c>
      <c r="V157" s="237"/>
      <c r="W157" s="79"/>
      <c r="X157" s="79"/>
      <c r="Y157" s="79"/>
      <c r="Z157" s="79"/>
      <c r="AA157" s="79"/>
      <c r="AB157" s="227"/>
      <c r="AC157" s="92"/>
      <c r="AD157" s="79"/>
      <c r="AE157" s="79"/>
      <c r="AF157" s="79"/>
      <c r="AG157" s="79"/>
      <c r="AH157" s="79"/>
      <c r="AI157" s="79"/>
      <c r="AJ157" s="79"/>
      <c r="AK157" s="79"/>
      <c r="AL157" s="79"/>
      <c r="AM157" s="79"/>
      <c r="AN157" s="231"/>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8"/>
        <v>lt003_entitygrp_emssns_scp1</v>
      </c>
      <c r="B158" s="142" t="s">
        <v>26</v>
      </c>
      <c r="C158" s="138" t="s">
        <v>26</v>
      </c>
      <c r="D158" s="253" t="s">
        <v>40</v>
      </c>
      <c r="E158" s="257" t="s">
        <v>336</v>
      </c>
      <c r="F158" s="257"/>
      <c r="G158" s="257" t="s">
        <v>366</v>
      </c>
      <c r="H158" s="255" t="str">
        <f>VLOOKUP(A158,'2. Status Detalhe Campos'!$A$7:$G$574,7,0)</f>
        <v>3. Pendente de outros desenvolvimentos</v>
      </c>
      <c r="I158" s="153">
        <v>45588</v>
      </c>
      <c r="J158" s="235">
        <v>45596</v>
      </c>
      <c r="K158" s="153">
        <v>45596</v>
      </c>
      <c r="L158" s="280">
        <f t="array" ref="L158">MIN(IF(V158:CH158&gt;0,$V$16:$CH$16))</f>
        <v>45632</v>
      </c>
      <c r="M158" s="279">
        <f t="array" ref="M158">MAX(IF(V158:CH158&gt;0,$V$16:$CH$16))</f>
        <v>45632</v>
      </c>
      <c r="N158" s="277">
        <f>VLOOKUP(H158,Auxiliar!$B$16:$E$24,4,0)</f>
        <v>0</v>
      </c>
      <c r="O158" s="277">
        <f t="shared" ca="1" si="35"/>
        <v>0</v>
      </c>
      <c r="P158" s="276">
        <f t="shared" ca="1" si="37"/>
        <v>0</v>
      </c>
      <c r="Q158" s="276"/>
      <c r="R158" s="230"/>
      <c r="S158" s="224">
        <v>4.0999999999999996</v>
      </c>
      <c r="T158" s="224">
        <f t="shared" si="39"/>
        <v>0.5</v>
      </c>
      <c r="U158" s="224">
        <f t="shared" si="36"/>
        <v>0</v>
      </c>
      <c r="V158" s="237"/>
      <c r="W158" s="79"/>
      <c r="X158" s="79"/>
      <c r="Y158" s="79"/>
      <c r="Z158" s="79"/>
      <c r="AA158" s="79"/>
      <c r="AB158" s="227"/>
      <c r="AC158" s="92"/>
      <c r="AD158" s="79"/>
      <c r="AE158" s="79"/>
      <c r="AF158" s="79"/>
      <c r="AG158" s="79"/>
      <c r="AH158" s="79"/>
      <c r="AI158" s="79"/>
      <c r="AJ158" s="79"/>
      <c r="AK158" s="79"/>
      <c r="AL158" s="79"/>
      <c r="AM158" s="79"/>
      <c r="AN158" s="79"/>
      <c r="AO158" s="79"/>
      <c r="AP158" s="79"/>
      <c r="AQ158" s="79"/>
      <c r="AR158" s="79"/>
      <c r="AS158" s="231"/>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8"/>
        <v>lt003_entitygrp_emssns_scp2</v>
      </c>
      <c r="B159" s="142" t="s">
        <v>26</v>
      </c>
      <c r="C159" s="138" t="s">
        <v>26</v>
      </c>
      <c r="D159" s="253" t="s">
        <v>40</v>
      </c>
      <c r="E159" s="257" t="s">
        <v>336</v>
      </c>
      <c r="F159" s="257"/>
      <c r="G159" s="257" t="s">
        <v>367</v>
      </c>
      <c r="H159" s="255" t="str">
        <f>VLOOKUP(A159,'2. Status Detalhe Campos'!$A$7:$G$574,7,0)</f>
        <v>3. Pendente de outros desenvolvimentos</v>
      </c>
      <c r="I159" s="153">
        <v>45588</v>
      </c>
      <c r="J159" s="235">
        <v>45596</v>
      </c>
      <c r="K159" s="153">
        <v>45596</v>
      </c>
      <c r="L159" s="280">
        <f t="array" ref="L159">MIN(IF(V159:CH159&gt;0,$V$16:$CH$16))</f>
        <v>45635</v>
      </c>
      <c r="M159" s="279">
        <f t="array" ref="M159">MAX(IF(V159:CH159&gt;0,$V$16:$CH$16))</f>
        <v>45635</v>
      </c>
      <c r="N159" s="277">
        <f>VLOOKUP(H159,Auxiliar!$B$16:$E$24,4,0)</f>
        <v>0</v>
      </c>
      <c r="O159" s="277">
        <f t="shared" ca="1" si="35"/>
        <v>0</v>
      </c>
      <c r="P159" s="276">
        <f t="shared" ca="1" si="37"/>
        <v>0</v>
      </c>
      <c r="Q159" s="276"/>
      <c r="R159" s="230"/>
      <c r="S159" s="224">
        <v>4.0999999999999996</v>
      </c>
      <c r="T159" s="224">
        <f t="shared" si="39"/>
        <v>0.5</v>
      </c>
      <c r="U159" s="224">
        <f t="shared" si="36"/>
        <v>0</v>
      </c>
      <c r="V159" s="237"/>
      <c r="W159" s="79"/>
      <c r="X159" s="79"/>
      <c r="Y159" s="79"/>
      <c r="Z159" s="79"/>
      <c r="AA159" s="79"/>
      <c r="AB159" s="227"/>
      <c r="AC159" s="92"/>
      <c r="AD159" s="79"/>
      <c r="AE159" s="79"/>
      <c r="AF159" s="79"/>
      <c r="AG159" s="79"/>
      <c r="AH159" s="79"/>
      <c r="AI159" s="79"/>
      <c r="AJ159" s="79"/>
      <c r="AK159" s="79"/>
      <c r="AL159" s="79"/>
      <c r="AM159" s="79"/>
      <c r="AN159" s="79"/>
      <c r="AO159" s="79"/>
      <c r="AP159" s="79"/>
      <c r="AQ159" s="79"/>
      <c r="AR159" s="79"/>
      <c r="AS159" s="231"/>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8"/>
        <v>lt003_entitygrp_emssns_scp3</v>
      </c>
      <c r="B160" s="142" t="s">
        <v>26</v>
      </c>
      <c r="C160" s="138" t="s">
        <v>26</v>
      </c>
      <c r="D160" s="253" t="s">
        <v>40</v>
      </c>
      <c r="E160" s="257" t="s">
        <v>336</v>
      </c>
      <c r="F160" s="257"/>
      <c r="G160" s="257" t="s">
        <v>368</v>
      </c>
      <c r="H160" s="255" t="str">
        <f>VLOOKUP(A160,'2. Status Detalhe Campos'!$A$7:$G$574,7,0)</f>
        <v>3. Pendente de outros desenvolvimentos</v>
      </c>
      <c r="I160" s="153">
        <v>45588</v>
      </c>
      <c r="J160" s="235">
        <v>45596</v>
      </c>
      <c r="K160" s="153">
        <v>45596</v>
      </c>
      <c r="L160" s="280">
        <f t="array" ref="L160">MIN(IF(V160:CH160&gt;0,$V$16:$CH$16))</f>
        <v>45635</v>
      </c>
      <c r="M160" s="279">
        <f t="array" ref="M160">MAX(IF(V160:CH160&gt;0,$V$16:$CH$16))</f>
        <v>45635</v>
      </c>
      <c r="N160" s="277">
        <f>VLOOKUP(H160,Auxiliar!$B$16:$E$24,4,0)</f>
        <v>0</v>
      </c>
      <c r="O160" s="277">
        <f t="shared" ca="1" si="35"/>
        <v>0</v>
      </c>
      <c r="P160" s="276">
        <f t="shared" ca="1" si="37"/>
        <v>0</v>
      </c>
      <c r="Q160" s="276"/>
      <c r="R160" s="230"/>
      <c r="S160" s="224">
        <v>4.0999999999999996</v>
      </c>
      <c r="T160" s="224">
        <f t="shared" si="39"/>
        <v>0.5</v>
      </c>
      <c r="U160" s="224">
        <f t="shared" si="36"/>
        <v>0</v>
      </c>
      <c r="V160" s="237"/>
      <c r="W160" s="79"/>
      <c r="X160" s="79"/>
      <c r="Y160" s="79"/>
      <c r="Z160" s="79"/>
      <c r="AA160" s="79"/>
      <c r="AB160" s="227"/>
      <c r="AC160" s="92"/>
      <c r="AD160" s="79"/>
      <c r="AE160" s="79"/>
      <c r="AF160" s="79"/>
      <c r="AG160" s="79"/>
      <c r="AH160" s="79"/>
      <c r="AI160" s="79"/>
      <c r="AJ160" s="79"/>
      <c r="AK160" s="79"/>
      <c r="AL160" s="79"/>
      <c r="AM160" s="79"/>
      <c r="AN160" s="79"/>
      <c r="AO160" s="79"/>
      <c r="AP160" s="79"/>
      <c r="AQ160" s="79"/>
      <c r="AR160" s="79"/>
      <c r="AS160" s="231"/>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3" t="s">
        <v>336</v>
      </c>
      <c r="F161" s="260" t="s">
        <v>2010</v>
      </c>
      <c r="G161" s="261">
        <f>COUNTA(G162:G166)</f>
        <v>5</v>
      </c>
      <c r="H161" s="136"/>
      <c r="I161" s="259">
        <f>MAX(I162:I166)</f>
        <v>45590</v>
      </c>
      <c r="J161" s="258">
        <f>MIN(J162:J166)</f>
        <v>45611</v>
      </c>
      <c r="K161" s="258"/>
      <c r="L161" s="258">
        <f>MIN(L162:L166)</f>
        <v>45614</v>
      </c>
      <c r="M161" s="259">
        <f>MAX(M162:M166)</f>
        <v>45631</v>
      </c>
      <c r="N161" s="282">
        <f>SUMPRODUCT(N162:N166,T162:T166)/SUM(T162:T166)</f>
        <v>0</v>
      </c>
      <c r="O161" s="282">
        <f ca="1">SUMPRODUCT(O162:O166,T162:T166)/SUM(T162:T166)</f>
        <v>0</v>
      </c>
      <c r="P161" s="276">
        <f t="shared" ca="1" si="37"/>
        <v>0</v>
      </c>
      <c r="Q161" s="288" t="s">
        <v>38</v>
      </c>
      <c r="R161" s="230"/>
      <c r="S161" s="224"/>
      <c r="T161" s="224"/>
      <c r="U161" s="224"/>
      <c r="V161" s="79"/>
      <c r="W161" s="79"/>
      <c r="X161" s="79"/>
      <c r="Y161" s="79"/>
      <c r="Z161" s="79"/>
      <c r="AA161" s="79"/>
      <c r="AB161" s="79"/>
      <c r="AC161" s="92"/>
      <c r="AD161" s="79"/>
      <c r="AE161" s="79"/>
      <c r="AF161" s="79"/>
      <c r="AG161" s="79"/>
      <c r="AH161" s="79"/>
      <c r="AI161" s="79"/>
      <c r="AJ161" s="79"/>
      <c r="AK161" s="79"/>
      <c r="AL161" s="79"/>
      <c r="AM161" s="231"/>
      <c r="AN161" s="79"/>
      <c r="AO161" s="79"/>
      <c r="AP161" s="79"/>
      <c r="AQ161" s="79"/>
      <c r="AR161" s="79"/>
      <c r="AS161" s="79"/>
      <c r="AT161" s="79"/>
      <c r="AU161" s="79"/>
      <c r="AV161" s="79"/>
      <c r="AW161" s="79"/>
      <c r="AX161" s="79"/>
      <c r="AY161" s="79"/>
      <c r="AZ161" s="79"/>
      <c r="BA161" s="79"/>
      <c r="BB161" s="266"/>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4"/>
        <v>lt003_entityflg_nfrd_applcblty</v>
      </c>
      <c r="B162" s="142" t="s">
        <v>26</v>
      </c>
      <c r="C162" s="138" t="s">
        <v>26</v>
      </c>
      <c r="D162" s="253" t="s">
        <v>40</v>
      </c>
      <c r="E162" s="257" t="s">
        <v>336</v>
      </c>
      <c r="F162" s="257"/>
      <c r="G162" s="257" t="s">
        <v>353</v>
      </c>
      <c r="H162" s="255" t="str">
        <f>VLOOKUP(A162,'2. Status Detalhe Campos'!$A$7:$G$574,7,0)</f>
        <v>6. Em implementação (re-especificação)</v>
      </c>
      <c r="I162" s="229">
        <v>45589</v>
      </c>
      <c r="J162" s="236">
        <v>45611</v>
      </c>
      <c r="K162" s="229"/>
      <c r="L162" s="280">
        <f t="array" ref="L162">MIN(IF(V162:CH162&gt;0,$V$16:$CH$16))</f>
        <v>45624</v>
      </c>
      <c r="M162" s="279">
        <f t="array" ref="M162">MAX(IF(V162:CH162&gt;0,$V$16:$CH$16))</f>
        <v>45624</v>
      </c>
      <c r="N162" s="277">
        <f>VLOOKUP(H162,Auxiliar!$B$16:$E$24,4,0)</f>
        <v>0</v>
      </c>
      <c r="O162" s="277">
        <f t="shared" ref="O162:O166" ca="1" si="40">IF(TODAY()&lt;=L162,0,MIN((TODAY()-L162)/(M162-L162+1),100%))</f>
        <v>0</v>
      </c>
      <c r="P162" s="276">
        <f t="shared" ca="1" si="37"/>
        <v>0</v>
      </c>
      <c r="Q162" s="288" t="s">
        <v>38</v>
      </c>
      <c r="R162" s="230"/>
      <c r="S162" s="224">
        <v>4.0999999999999996</v>
      </c>
      <c r="T162" s="224">
        <f t="shared" si="25"/>
        <v>0.5</v>
      </c>
      <c r="U162" s="224">
        <f>SUM(V162:CH162)-T162</f>
        <v>0</v>
      </c>
      <c r="V162" s="79"/>
      <c r="W162" s="79"/>
      <c r="X162" s="79"/>
      <c r="Y162" s="79"/>
      <c r="Z162" s="79"/>
      <c r="AA162" s="79"/>
      <c r="AB162" s="79"/>
      <c r="AC162" s="92"/>
      <c r="AD162" s="79"/>
      <c r="AE162" s="79"/>
      <c r="AF162" s="79"/>
      <c r="AG162" s="79"/>
      <c r="AH162" s="79"/>
      <c r="AI162" s="79"/>
      <c r="AJ162" s="79"/>
      <c r="AK162" s="79"/>
      <c r="AL162" s="79"/>
      <c r="AM162" s="231"/>
      <c r="AN162" s="23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3" t="s">
        <v>40</v>
      </c>
      <c r="E163" s="257" t="s">
        <v>336</v>
      </c>
      <c r="F163" s="257"/>
      <c r="G163" s="257" t="s">
        <v>347</v>
      </c>
      <c r="H163" s="255" t="str">
        <f>VLOOKUP(A163,'2. Status Detalhe Campos'!$A$7:$G$574,7,0)</f>
        <v>6. Em implementação (re-especificação)</v>
      </c>
      <c r="I163" s="229" t="s">
        <v>38</v>
      </c>
      <c r="J163" s="235">
        <v>45611</v>
      </c>
      <c r="K163" s="153"/>
      <c r="L163" s="280">
        <f t="array" ref="L163">MIN(IF(V163:CH163&gt;0,$V$16:$CH$16))</f>
        <v>45623</v>
      </c>
      <c r="M163" s="279">
        <f t="array" ref="M163">MAX(IF(V163:CH163&gt;0,$V$16:$CH$16))</f>
        <v>45623</v>
      </c>
      <c r="N163" s="277">
        <f>VLOOKUP(H163,Auxiliar!$B$16:$E$24,4,0)</f>
        <v>0</v>
      </c>
      <c r="O163" s="277">
        <f t="shared" ca="1" si="40"/>
        <v>0</v>
      </c>
      <c r="P163" s="276">
        <f t="shared" ca="1" si="37"/>
        <v>0</v>
      </c>
      <c r="Q163" s="288" t="s">
        <v>38</v>
      </c>
      <c r="R163" s="230"/>
      <c r="S163" s="224">
        <v>4.0999999999999996</v>
      </c>
      <c r="T163" s="224">
        <f>ROUND(S163/8,1)</f>
        <v>0.5</v>
      </c>
      <c r="U163" s="224">
        <f>SUM(V163:CH163)-T163</f>
        <v>0</v>
      </c>
      <c r="V163" s="79"/>
      <c r="W163" s="79"/>
      <c r="X163" s="79"/>
      <c r="Y163" s="79"/>
      <c r="Z163" s="79"/>
      <c r="AA163" s="79"/>
      <c r="AB163" s="79"/>
      <c r="AC163" s="92"/>
      <c r="AD163" s="79"/>
      <c r="AE163" s="79"/>
      <c r="AF163" s="79"/>
      <c r="AG163" s="79"/>
      <c r="AH163" s="79"/>
      <c r="AI163" s="79"/>
      <c r="AJ163" s="79"/>
      <c r="AK163" s="79"/>
      <c r="AL163" s="79"/>
      <c r="AM163" s="231"/>
      <c r="AN163" s="23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3" t="s">
        <v>40</v>
      </c>
      <c r="E164" s="257" t="s">
        <v>336</v>
      </c>
      <c r="F164" s="257"/>
      <c r="G164" s="257" t="s">
        <v>361</v>
      </c>
      <c r="H164" s="255" t="str">
        <f>VLOOKUP(A164,'2. Status Detalhe Campos'!$A$7:$G$574,7,0)</f>
        <v>6. Em implementação (re-especificação)</v>
      </c>
      <c r="I164" s="229">
        <v>45583</v>
      </c>
      <c r="J164" s="236">
        <v>45611</v>
      </c>
      <c r="K164" s="229"/>
      <c r="L164" s="280">
        <f t="array" ref="L164">MIN(IF(V164:CH164&gt;0,$V$16:$CH$16))</f>
        <v>45631</v>
      </c>
      <c r="M164" s="279">
        <f t="array" ref="M164">MAX(IF(V164:CH164&gt;0,$V$16:$CH$16))</f>
        <v>45631</v>
      </c>
      <c r="N164" s="277">
        <f>VLOOKUP(H164,Auxiliar!$B$16:$E$24,4,0)</f>
        <v>0</v>
      </c>
      <c r="O164" s="277">
        <f t="shared" ca="1" si="40"/>
        <v>0</v>
      </c>
      <c r="P164" s="276">
        <f t="shared" ca="1" si="37"/>
        <v>0</v>
      </c>
      <c r="Q164" s="288" t="s">
        <v>38</v>
      </c>
      <c r="R164" s="230"/>
      <c r="S164" s="224">
        <v>4.0999999999999996</v>
      </c>
      <c r="T164" s="224">
        <f>ROUND(S164/8,1)</f>
        <v>0.5</v>
      </c>
      <c r="U164" s="224">
        <f>SUM(V164:CH164)-T164</f>
        <v>0</v>
      </c>
      <c r="V164" s="79"/>
      <c r="W164" s="79"/>
      <c r="X164" s="79"/>
      <c r="Y164" s="79"/>
      <c r="Z164" s="79"/>
      <c r="AA164" s="79"/>
      <c r="AB164" s="79"/>
      <c r="AC164" s="92"/>
      <c r="AD164" s="79"/>
      <c r="AE164" s="79"/>
      <c r="AF164" s="79"/>
      <c r="AG164" s="79"/>
      <c r="AH164" s="79"/>
      <c r="AI164" s="79"/>
      <c r="AJ164" s="79"/>
      <c r="AK164" s="79"/>
      <c r="AL164" s="79"/>
      <c r="AM164" s="231"/>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3" t="s">
        <v>40</v>
      </c>
      <c r="E165" s="257" t="s">
        <v>336</v>
      </c>
      <c r="F165" s="257"/>
      <c r="G165" s="257" t="s">
        <v>363</v>
      </c>
      <c r="H165" s="255" t="str">
        <f>VLOOKUP(A165,'2. Status Detalhe Campos'!$A$7:$G$574,7,0)</f>
        <v>6. Em implementação (re-especificação)</v>
      </c>
      <c r="I165" s="153">
        <v>45590</v>
      </c>
      <c r="J165" s="236">
        <v>45611</v>
      </c>
      <c r="K165" s="229"/>
      <c r="L165" s="280">
        <f t="array" ref="L165">MIN(IF(V165:CH165&gt;0,$V$16:$CH$16))</f>
        <v>45614</v>
      </c>
      <c r="M165" s="279">
        <f t="array" ref="M165">MAX(IF(V165:CH165&gt;0,$V$16:$CH$16))</f>
        <v>45614</v>
      </c>
      <c r="N165" s="277">
        <f>VLOOKUP(H165,Auxiliar!$B$16:$E$24,4,0)</f>
        <v>0</v>
      </c>
      <c r="O165" s="277">
        <f t="shared" ca="1" si="40"/>
        <v>0</v>
      </c>
      <c r="P165" s="276">
        <f t="shared" ca="1" si="37"/>
        <v>0</v>
      </c>
      <c r="Q165" s="288" t="s">
        <v>38</v>
      </c>
      <c r="R165" s="230"/>
      <c r="S165" s="224">
        <v>4.0999999999999996</v>
      </c>
      <c r="T165" s="224">
        <f>ROUND(S165/8,1)</f>
        <v>0.5</v>
      </c>
      <c r="U165" s="224">
        <f>SUM(V165:CH165)-T165</f>
        <v>0</v>
      </c>
      <c r="V165" s="79"/>
      <c r="W165" s="79"/>
      <c r="X165" s="237"/>
      <c r="Y165" s="79"/>
      <c r="Z165" s="79"/>
      <c r="AA165" s="79"/>
      <c r="AB165" s="79"/>
      <c r="AC165" s="92"/>
      <c r="AD165" s="79"/>
      <c r="AE165" s="79"/>
      <c r="AF165" s="79"/>
      <c r="AG165" s="79"/>
      <c r="AH165" s="79"/>
      <c r="AI165" s="79"/>
      <c r="AJ165" s="79"/>
      <c r="AK165" s="79"/>
      <c r="AL165" s="79"/>
      <c r="AM165" s="231"/>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3" t="s">
        <v>40</v>
      </c>
      <c r="E166" s="257" t="s">
        <v>336</v>
      </c>
      <c r="F166" s="257"/>
      <c r="G166" s="257" t="s">
        <v>364</v>
      </c>
      <c r="H166" s="255" t="str">
        <f>VLOOKUP(A166,'2. Status Detalhe Campos'!$A$7:$G$574,7,0)</f>
        <v>6. Em implementação (re-especificação)</v>
      </c>
      <c r="I166" s="153">
        <v>45590</v>
      </c>
      <c r="J166" s="236">
        <v>45611</v>
      </c>
      <c r="K166" s="229"/>
      <c r="L166" s="280">
        <f t="array" ref="L166">MIN(IF(V166:CH166&gt;0,$V$16:$CH$16))</f>
        <v>45614</v>
      </c>
      <c r="M166" s="279">
        <f t="array" ref="M166">MAX(IF(V166:CH166&gt;0,$V$16:$CH$16))</f>
        <v>45614</v>
      </c>
      <c r="N166" s="277">
        <f>VLOOKUP(H166,Auxiliar!$B$16:$E$24,4,0)</f>
        <v>0</v>
      </c>
      <c r="O166" s="277">
        <f t="shared" ca="1" si="40"/>
        <v>0</v>
      </c>
      <c r="P166" s="276">
        <f t="shared" ca="1" si="37"/>
        <v>0</v>
      </c>
      <c r="Q166" s="288" t="s">
        <v>38</v>
      </c>
      <c r="R166" s="230"/>
      <c r="S166" s="224">
        <v>4.0999999999999996</v>
      </c>
      <c r="T166" s="224">
        <f>ROUND(S166/8,1)</f>
        <v>0.5</v>
      </c>
      <c r="U166" s="224">
        <f>SUM(V166:CH166)-T166</f>
        <v>0</v>
      </c>
      <c r="V166" s="79"/>
      <c r="W166" s="79"/>
      <c r="X166" s="237"/>
      <c r="Y166" s="79"/>
      <c r="Z166" s="79"/>
      <c r="AA166" s="79"/>
      <c r="AB166" s="79"/>
      <c r="AC166" s="92"/>
      <c r="AD166" s="79"/>
      <c r="AE166" s="79"/>
      <c r="AF166" s="79"/>
      <c r="AG166" s="79"/>
      <c r="AH166" s="79"/>
      <c r="AI166" s="79"/>
      <c r="AJ166" s="79"/>
      <c r="AK166" s="79"/>
      <c r="AL166" s="79"/>
      <c r="AM166" s="231"/>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3" t="s">
        <v>336</v>
      </c>
      <c r="F167" s="260" t="s">
        <v>2011</v>
      </c>
      <c r="G167" s="261">
        <f>COUNTA(G168:G170)</f>
        <v>3</v>
      </c>
      <c r="H167" s="136"/>
      <c r="I167" s="259" t="s">
        <v>38</v>
      </c>
      <c r="J167" s="258">
        <f>MIN(J168:J170)</f>
        <v>45621</v>
      </c>
      <c r="K167" s="259">
        <f>MIN(K168:K170)</f>
        <v>45596</v>
      </c>
      <c r="L167" s="258">
        <f>MIN(L168:L170)</f>
        <v>45625</v>
      </c>
      <c r="M167" s="259">
        <f>MAX(M168:M170)</f>
        <v>45629</v>
      </c>
      <c r="N167" s="282">
        <f>SUMPRODUCT(N168:N170,T168:T170)/SUM(T168:T170)</f>
        <v>0</v>
      </c>
      <c r="O167" s="282">
        <f ca="1">SUMPRODUCT(O168:O170,T168:T170)/SUM(T168:T170)</f>
        <v>0</v>
      </c>
      <c r="P167" s="276">
        <f t="shared" ca="1" si="37"/>
        <v>0</v>
      </c>
      <c r="Q167" s="288" t="s">
        <v>38</v>
      </c>
      <c r="R167" s="230"/>
      <c r="S167" s="224"/>
      <c r="T167" s="224"/>
      <c r="U167" s="224"/>
      <c r="V167" s="79"/>
      <c r="W167" s="79"/>
      <c r="X167" s="79"/>
      <c r="Y167" s="79"/>
      <c r="Z167" s="79"/>
      <c r="AA167" s="79"/>
      <c r="AB167" s="227"/>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6"/>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4"/>
        <v>lt003_entitycntrprty_emssns_scp1</v>
      </c>
      <c r="B168" s="142" t="s">
        <v>26</v>
      </c>
      <c r="C168" s="138" t="s">
        <v>26</v>
      </c>
      <c r="D168" s="253" t="s">
        <v>40</v>
      </c>
      <c r="E168" s="257" t="s">
        <v>336</v>
      </c>
      <c r="F168" s="257"/>
      <c r="G168" s="257" t="s">
        <v>354</v>
      </c>
      <c r="H168" s="255" t="str">
        <f>VLOOKUP(A168,'2. Status Detalhe Campos'!$A$7:$G$574,7,0)</f>
        <v>3. Pendente de outros desenvolvimentos</v>
      </c>
      <c r="I168" s="229" t="s">
        <v>38</v>
      </c>
      <c r="J168" s="153">
        <v>45621</v>
      </c>
      <c r="K168" s="153">
        <v>45596</v>
      </c>
      <c r="L168" s="280">
        <f t="array" ref="L168">MIN(IF(V168:CH168&gt;0,$V$16:$CH$16))</f>
        <v>45625</v>
      </c>
      <c r="M168" s="279">
        <f t="array" ref="M168">MAX(IF(V168:CH168&gt;0,$V$16:$CH$16))</f>
        <v>45625</v>
      </c>
      <c r="N168" s="277">
        <f>VLOOKUP(H168,Auxiliar!$B$16:$E$24,4,0)</f>
        <v>0</v>
      </c>
      <c r="O168" s="277">
        <f t="shared" ref="O168:O170" ca="1" si="41">IF(TODAY()&lt;=L168,0,MIN((TODAY()-L168)/(M168-L168+1),100%))</f>
        <v>0</v>
      </c>
      <c r="P168" s="276">
        <f t="shared" ca="1" si="37"/>
        <v>0</v>
      </c>
      <c r="Q168" s="288" t="s">
        <v>38</v>
      </c>
      <c r="R168" s="230"/>
      <c r="S168" s="224">
        <v>4.0999999999999996</v>
      </c>
      <c r="T168" s="224">
        <f t="shared" si="25"/>
        <v>0.5</v>
      </c>
      <c r="U168" s="224">
        <f>SUM(V168:CH168)-T168</f>
        <v>0</v>
      </c>
      <c r="V168" s="79"/>
      <c r="W168" s="79"/>
      <c r="X168" s="79"/>
      <c r="Y168" s="79"/>
      <c r="Z168" s="79"/>
      <c r="AA168" s="79"/>
      <c r="AB168" s="227"/>
      <c r="AC168" s="92"/>
      <c r="AD168" s="79"/>
      <c r="AE168" s="79"/>
      <c r="AF168" s="79"/>
      <c r="AG168" s="79"/>
      <c r="AH168" s="79"/>
      <c r="AI168" s="79"/>
      <c r="AJ168" s="79"/>
      <c r="AK168" s="79"/>
      <c r="AL168" s="79"/>
      <c r="AM168" s="79"/>
      <c r="AN168" s="79"/>
      <c r="AO168" s="79"/>
      <c r="AP168" s="79"/>
      <c r="AQ168" s="79"/>
      <c r="AR168" s="79"/>
      <c r="AS168" s="231"/>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2">E169&amp;G169</f>
        <v>lt003_entitycntrprty_emssns_scp2</v>
      </c>
      <c r="B169" s="142" t="s">
        <v>26</v>
      </c>
      <c r="C169" s="138" t="s">
        <v>26</v>
      </c>
      <c r="D169" s="253" t="s">
        <v>40</v>
      </c>
      <c r="E169" s="257" t="s">
        <v>336</v>
      </c>
      <c r="F169" s="257"/>
      <c r="G169" s="257" t="s">
        <v>355</v>
      </c>
      <c r="H169" s="255" t="str">
        <f>VLOOKUP(A169,'2. Status Detalhe Campos'!$A$7:$G$574,7,0)</f>
        <v>3. Pendente de outros desenvolvimentos</v>
      </c>
      <c r="I169" s="229" t="s">
        <v>38</v>
      </c>
      <c r="J169" s="153">
        <v>45621</v>
      </c>
      <c r="K169" s="153">
        <v>45596</v>
      </c>
      <c r="L169" s="280">
        <f t="array" ref="L169">MIN(IF(V169:CH169&gt;0,$V$16:$CH$16))</f>
        <v>45625</v>
      </c>
      <c r="M169" s="279">
        <f t="array" ref="M169">MAX(IF(V169:CH169&gt;0,$V$16:$CH$16))</f>
        <v>45625</v>
      </c>
      <c r="N169" s="277">
        <f>VLOOKUP(H169,Auxiliar!$B$16:$E$24,4,0)</f>
        <v>0</v>
      </c>
      <c r="O169" s="277">
        <f t="shared" ca="1" si="41"/>
        <v>0</v>
      </c>
      <c r="P169" s="276">
        <f t="shared" ca="1" si="37"/>
        <v>0</v>
      </c>
      <c r="Q169" s="288" t="s">
        <v>38</v>
      </c>
      <c r="R169" s="230"/>
      <c r="S169" s="224">
        <v>4.0999999999999996</v>
      </c>
      <c r="T169" s="224">
        <f t="shared" si="25"/>
        <v>0.5</v>
      </c>
      <c r="U169" s="224">
        <f>SUM(V169:CH169)-T169</f>
        <v>0</v>
      </c>
      <c r="V169" s="79"/>
      <c r="W169" s="79"/>
      <c r="X169" s="79"/>
      <c r="Y169" s="79"/>
      <c r="Z169" s="79"/>
      <c r="AA169" s="79"/>
      <c r="AB169" s="227"/>
      <c r="AC169" s="92"/>
      <c r="AD169" s="79"/>
      <c r="AE169" s="79"/>
      <c r="AF169" s="79"/>
      <c r="AG169" s="79"/>
      <c r="AH169" s="79"/>
      <c r="AI169" s="79"/>
      <c r="AJ169" s="79"/>
      <c r="AK169" s="79"/>
      <c r="AL169" s="79"/>
      <c r="AM169" s="79"/>
      <c r="AN169" s="79"/>
      <c r="AO169" s="79"/>
      <c r="AP169" s="79"/>
      <c r="AQ169" s="79"/>
      <c r="AR169" s="79"/>
      <c r="AS169" s="231"/>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2"/>
        <v>lt003_entitycntrprty_emssns_scp3</v>
      </c>
      <c r="B170" s="142" t="s">
        <v>26</v>
      </c>
      <c r="C170" s="138" t="s">
        <v>26</v>
      </c>
      <c r="D170" s="253" t="s">
        <v>40</v>
      </c>
      <c r="E170" s="257" t="s">
        <v>336</v>
      </c>
      <c r="F170" s="257"/>
      <c r="G170" s="257" t="s">
        <v>356</v>
      </c>
      <c r="H170" s="255" t="str">
        <f>VLOOKUP(A170,'2. Status Detalhe Campos'!$A$7:$G$574,7,0)</f>
        <v>3. Pendente de outros desenvolvimentos</v>
      </c>
      <c r="I170" s="229" t="s">
        <v>38</v>
      </c>
      <c r="J170" s="153">
        <v>45621</v>
      </c>
      <c r="K170" s="153">
        <v>45596</v>
      </c>
      <c r="L170" s="280">
        <f t="array" ref="L170">MIN(IF(V170:CH170&gt;0,$V$16:$CH$16))</f>
        <v>45629</v>
      </c>
      <c r="M170" s="279">
        <f t="array" ref="M170">MAX(IF(V170:CH170&gt;0,$V$16:$CH$16))</f>
        <v>45629</v>
      </c>
      <c r="N170" s="277">
        <f>VLOOKUP(H170,Auxiliar!$B$16:$E$24,4,0)</f>
        <v>0</v>
      </c>
      <c r="O170" s="277">
        <f t="shared" ca="1" si="41"/>
        <v>0</v>
      </c>
      <c r="P170" s="276">
        <f t="shared" ca="1" si="37"/>
        <v>0</v>
      </c>
      <c r="Q170" s="288" t="s">
        <v>38</v>
      </c>
      <c r="R170" s="230"/>
      <c r="S170" s="224">
        <v>4.0999999999999996</v>
      </c>
      <c r="T170" s="224">
        <f t="shared" ref="T170:T234" si="43">ROUND(S170/8,1)</f>
        <v>0.5</v>
      </c>
      <c r="U170" s="224">
        <f>SUM(V170:CH170)-T170</f>
        <v>0</v>
      </c>
      <c r="V170" s="79"/>
      <c r="W170" s="79"/>
      <c r="X170" s="79"/>
      <c r="Y170" s="79"/>
      <c r="Z170" s="79"/>
      <c r="AA170" s="79"/>
      <c r="AB170" s="227"/>
      <c r="AC170" s="92"/>
      <c r="AD170" s="79"/>
      <c r="AE170" s="79"/>
      <c r="AF170" s="79"/>
      <c r="AG170" s="79"/>
      <c r="AH170" s="79"/>
      <c r="AI170" s="79"/>
      <c r="AJ170" s="79"/>
      <c r="AK170" s="79"/>
      <c r="AL170" s="79"/>
      <c r="AM170" s="79"/>
      <c r="AN170" s="79"/>
      <c r="AO170" s="79"/>
      <c r="AP170" s="79"/>
      <c r="AQ170" s="79"/>
      <c r="AR170" s="79"/>
      <c r="AS170" s="231"/>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3" t="s">
        <v>336</v>
      </c>
      <c r="F171" s="260" t="s">
        <v>2012</v>
      </c>
      <c r="G171" s="261">
        <f>COUNTA(G172)</f>
        <v>1</v>
      </c>
      <c r="H171" s="136"/>
      <c r="I171" s="259">
        <f>MAX(I172)</f>
        <v>45590</v>
      </c>
      <c r="J171" s="258">
        <f>MIN(J172)</f>
        <v>45624</v>
      </c>
      <c r="K171" s="229"/>
      <c r="L171" s="258">
        <f>MIN(L172)</f>
        <v>45631</v>
      </c>
      <c r="M171" s="259">
        <f>MAX(M172)</f>
        <v>45631</v>
      </c>
      <c r="N171" s="282">
        <f>N172</f>
        <v>0</v>
      </c>
      <c r="O171" s="282">
        <f ca="1">O172</f>
        <v>0</v>
      </c>
      <c r="P171" s="276">
        <f t="shared" ca="1" si="37"/>
        <v>0</v>
      </c>
      <c r="Q171" s="288" t="s">
        <v>38</v>
      </c>
      <c r="R171" s="230"/>
      <c r="S171" s="224"/>
      <c r="T171" s="224"/>
      <c r="U171" s="224"/>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1"/>
      <c r="AW171" s="79"/>
      <c r="AX171" s="79"/>
      <c r="AY171" s="79"/>
      <c r="AZ171" s="79"/>
      <c r="BA171" s="79"/>
      <c r="BB171" s="266"/>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2"/>
        <v>lt003_entityttl_lblty</v>
      </c>
      <c r="B172" s="142" t="s">
        <v>26</v>
      </c>
      <c r="C172" s="138" t="s">
        <v>26</v>
      </c>
      <c r="D172" s="253" t="s">
        <v>40</v>
      </c>
      <c r="E172" s="257" t="s">
        <v>336</v>
      </c>
      <c r="F172" s="257"/>
      <c r="G172" s="257" t="s">
        <v>362</v>
      </c>
      <c r="H172" s="255" t="str">
        <f>VLOOKUP(A172,'2. Status Detalhe Campos'!$A$7:$G$574,7,0)</f>
        <v>6. Em implementação (re-especificação)</v>
      </c>
      <c r="I172" s="153">
        <v>45590</v>
      </c>
      <c r="J172" s="235">
        <v>45624</v>
      </c>
      <c r="K172" s="229"/>
      <c r="L172" s="280">
        <f t="array" ref="L172">MIN(IF(V172:CH172&gt;0,$V$16:$CH$16))</f>
        <v>45631</v>
      </c>
      <c r="M172" s="279">
        <f t="array" ref="M172">MAX(IF(V172:CH172&gt;0,$V$16:$CH$16))</f>
        <v>45631</v>
      </c>
      <c r="N172" s="277">
        <f>VLOOKUP(H172,Auxiliar!$B$16:$E$24,4,0)</f>
        <v>0</v>
      </c>
      <c r="O172" s="277">
        <f t="shared" ref="O172" ca="1" si="44">IF(TODAY()&lt;=L172,0,MIN((TODAY()-L172)/(M172-L172+1),100%))</f>
        <v>0</v>
      </c>
      <c r="P172" s="276">
        <f t="shared" ca="1" si="37"/>
        <v>0</v>
      </c>
      <c r="Q172" s="288" t="s">
        <v>38</v>
      </c>
      <c r="R172" s="230"/>
      <c r="S172" s="224">
        <v>4.0999999999999996</v>
      </c>
      <c r="T172" s="224">
        <f t="shared" si="43"/>
        <v>0.5</v>
      </c>
      <c r="U172" s="224">
        <f>SUM(V172:CH172)-T172</f>
        <v>0</v>
      </c>
      <c r="V172" s="79"/>
      <c r="W172" s="79"/>
      <c r="X172" s="237"/>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1"/>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3" t="s">
        <v>336</v>
      </c>
      <c r="F173" s="260" t="s">
        <v>2024</v>
      </c>
      <c r="G173" s="261">
        <f>COUNTA(G174)</f>
        <v>1</v>
      </c>
      <c r="H173" s="136"/>
      <c r="I173" s="264">
        <f>MAX(I174)</f>
        <v>45603</v>
      </c>
      <c r="J173" s="238"/>
      <c r="K173" s="239"/>
      <c r="L173" s="258">
        <f>MIN(L174)</f>
        <v>45663</v>
      </c>
      <c r="M173" s="259">
        <f>MAX(M174)</f>
        <v>45663</v>
      </c>
      <c r="N173" s="282">
        <f>N174</f>
        <v>0</v>
      </c>
      <c r="O173" s="282">
        <f ca="1">O174</f>
        <v>0</v>
      </c>
      <c r="P173" s="276">
        <f t="shared" ca="1" si="37"/>
        <v>0</v>
      </c>
      <c r="Q173" s="288" t="s">
        <v>2028</v>
      </c>
      <c r="R173" s="230"/>
      <c r="S173" s="224"/>
      <c r="T173" s="224"/>
      <c r="U173" s="224"/>
      <c r="V173" s="79"/>
      <c r="W173" s="79"/>
      <c r="X173" s="79"/>
      <c r="Y173" s="79"/>
      <c r="Z173" s="79"/>
      <c r="AA173" s="79"/>
      <c r="AB173" s="79"/>
      <c r="AC173" s="92"/>
      <c r="AD173" s="79"/>
      <c r="AE173" s="79"/>
      <c r="AF173" s="79"/>
      <c r="AG173" s="237"/>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6"/>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3" t="s">
        <v>40</v>
      </c>
      <c r="E174" s="257" t="s">
        <v>336</v>
      </c>
      <c r="F174" s="257"/>
      <c r="G174" s="257" t="s">
        <v>239</v>
      </c>
      <c r="H174" s="255" t="str">
        <f>VLOOKUP(A174,'2. Status Detalhe Campos'!$A$7:$G$574,7,0)</f>
        <v>6. Em implementação (re-especificação)</v>
      </c>
      <c r="I174" s="240">
        <v>45603</v>
      </c>
      <c r="J174" s="238" t="s">
        <v>1962</v>
      </c>
      <c r="K174" s="229"/>
      <c r="L174" s="280">
        <f t="array" ref="L174">MIN(IF(V174:CH174&gt;0,$V$16:$CH$16))</f>
        <v>45663</v>
      </c>
      <c r="M174" s="279">
        <f t="array" ref="M174">MAX(IF(V174:CH174&gt;0,$V$16:$CH$16))</f>
        <v>45663</v>
      </c>
      <c r="N174" s="277">
        <f>VLOOKUP(H174,Auxiliar!$B$16:$E$24,4,0)</f>
        <v>0</v>
      </c>
      <c r="O174" s="277">
        <f t="shared" ref="O174" ca="1" si="45">IF(TODAY()&lt;=L174,0,MIN((TODAY()-L174)/(M174-L174+1),100%))</f>
        <v>0</v>
      </c>
      <c r="P174" s="276">
        <f t="shared" ca="1" si="37"/>
        <v>0</v>
      </c>
      <c r="Q174" s="276"/>
      <c r="R174" s="230"/>
      <c r="S174" s="224">
        <v>4.0999999999999996</v>
      </c>
      <c r="T174" s="224">
        <f>ROUND(S174/8,1)</f>
        <v>0.5</v>
      </c>
      <c r="U174" s="224">
        <f>SUM(V174:CH174)-T174</f>
        <v>0</v>
      </c>
      <c r="V174" s="237"/>
      <c r="W174" s="79"/>
      <c r="X174" s="79"/>
      <c r="Y174" s="79"/>
      <c r="Z174" s="79"/>
      <c r="AA174" s="79"/>
      <c r="AB174" s="79"/>
      <c r="AC174" s="92"/>
      <c r="AD174" s="79"/>
      <c r="AE174" s="79"/>
      <c r="AF174" s="79"/>
      <c r="AG174" s="237"/>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3" t="s">
        <v>369</v>
      </c>
      <c r="F175" s="260" t="s">
        <v>1989</v>
      </c>
      <c r="G175" s="261">
        <f>COUNTA(G176:G180)</f>
        <v>5</v>
      </c>
      <c r="H175" s="136"/>
      <c r="I175" s="259" t="s">
        <v>38</v>
      </c>
      <c r="J175" s="258">
        <f>MIN(J176:J180)</f>
        <v>45596</v>
      </c>
      <c r="K175" s="258">
        <f>MIN(K176:K180)</f>
        <v>45596</v>
      </c>
      <c r="L175" s="258">
        <f>MIN(L176:L180)</f>
        <v>45602</v>
      </c>
      <c r="M175" s="259">
        <f>MAX(M176:M180)</f>
        <v>45629</v>
      </c>
      <c r="N175" s="282">
        <f>SUMPRODUCT(N176:N180,T176:T180)/SUM(T176:T180)</f>
        <v>0.15</v>
      </c>
      <c r="O175" s="282">
        <f ca="1">SUMPRODUCT(O176:O180,T176:T180)/SUM(T176:T180)</f>
        <v>0.6</v>
      </c>
      <c r="P175" s="276">
        <f t="shared" ca="1" si="37"/>
        <v>-0.44999999999999996</v>
      </c>
      <c r="Q175" s="288" t="s">
        <v>2023</v>
      </c>
      <c r="R175" s="230"/>
      <c r="S175" s="224"/>
      <c r="T175" s="224"/>
      <c r="U175" s="224"/>
      <c r="V175" s="79"/>
      <c r="W175" s="79"/>
      <c r="X175" s="79"/>
      <c r="Y175" s="79"/>
      <c r="Z175" s="79"/>
      <c r="AA175" s="79"/>
      <c r="AB175" s="227"/>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6"/>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c r="A176" s="30" t="str">
        <f t="shared" ref="A176:A198" si="46">E176&amp;G176</f>
        <v>lt004_protectionep_scr</v>
      </c>
      <c r="B176" s="142" t="s">
        <v>26</v>
      </c>
      <c r="C176" s="138" t="s">
        <v>26</v>
      </c>
      <c r="D176" s="253" t="s">
        <v>40</v>
      </c>
      <c r="E176" s="257" t="s">
        <v>369</v>
      </c>
      <c r="F176" s="257"/>
      <c r="G176" s="267" t="s">
        <v>371</v>
      </c>
      <c r="H176" s="255" t="str">
        <f>VLOOKUP(A176,'2. Status Detalhe Campos'!$A$7:$G$574,7,0)</f>
        <v>2.1 Em Teste</v>
      </c>
      <c r="I176" s="229" t="s">
        <v>38</v>
      </c>
      <c r="J176" s="153">
        <v>45596</v>
      </c>
      <c r="K176" s="153">
        <v>45596</v>
      </c>
      <c r="L176" s="280">
        <f t="array" ref="L176">MIN(IF(V176:CH176&gt;0,$V$16:$CH$16))</f>
        <v>45602</v>
      </c>
      <c r="M176" s="279">
        <f t="array" ref="M176">MAX(IF(V176:CH176&gt;0,$V$16:$CH$16))</f>
        <v>45602</v>
      </c>
      <c r="N176" s="277">
        <f>VLOOKUP(H176,Auxiliar!$B$16:$E$24,4,0)</f>
        <v>0.25</v>
      </c>
      <c r="O176" s="277">
        <f t="shared" ref="O176:O180" ca="1" si="47">IF(TODAY()&lt;=L176,0,MIN((TODAY()-L176)/(M176-L176+1),100%))</f>
        <v>1</v>
      </c>
      <c r="P176" s="276">
        <f t="shared" ca="1" si="37"/>
        <v>-0.75</v>
      </c>
      <c r="Q176" s="276"/>
      <c r="R176" s="230" t="s">
        <v>1963</v>
      </c>
      <c r="S176" s="224">
        <v>4.0999999999999996</v>
      </c>
      <c r="T176" s="224">
        <f t="shared" si="43"/>
        <v>0.5</v>
      </c>
      <c r="U176" s="224">
        <f>SUM(V176:CH176)-T176</f>
        <v>0</v>
      </c>
      <c r="V176" s="79"/>
      <c r="W176" s="79"/>
      <c r="X176" s="79"/>
      <c r="Y176" s="79"/>
      <c r="Z176" s="79"/>
      <c r="AA176" s="79"/>
      <c r="AB176" s="227"/>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c r="A177" s="30" t="str">
        <f t="shared" si="46"/>
        <v>lt004_protectiontyp_epc_lbl</v>
      </c>
      <c r="B177" s="142" t="s">
        <v>26</v>
      </c>
      <c r="C177" s="138" t="s">
        <v>26</v>
      </c>
      <c r="D177" s="253" t="s">
        <v>40</v>
      </c>
      <c r="E177" s="257" t="s">
        <v>369</v>
      </c>
      <c r="F177" s="257"/>
      <c r="G177" s="267" t="s">
        <v>372</v>
      </c>
      <c r="H177" s="255" t="str">
        <f>VLOOKUP(A177,'2. Status Detalhe Campos'!$A$7:$G$574,7,0)</f>
        <v>2.1 Em Teste</v>
      </c>
      <c r="I177" s="229" t="s">
        <v>38</v>
      </c>
      <c r="J177" s="153">
        <v>45596</v>
      </c>
      <c r="K177" s="153">
        <v>45596</v>
      </c>
      <c r="L177" s="280">
        <f t="array" ref="L177">MIN(IF(V177:CH177&gt;0,$V$16:$CH$16))</f>
        <v>45602</v>
      </c>
      <c r="M177" s="279">
        <f t="array" ref="M177">MAX(IF(V177:CH177&gt;0,$V$16:$CH$16))</f>
        <v>45602</v>
      </c>
      <c r="N177" s="277">
        <f>VLOOKUP(H177,Auxiliar!$B$16:$E$24,4,0)</f>
        <v>0.25</v>
      </c>
      <c r="O177" s="277">
        <f t="shared" ca="1" si="47"/>
        <v>1</v>
      </c>
      <c r="P177" s="276">
        <f t="shared" ca="1" si="37"/>
        <v>-0.75</v>
      </c>
      <c r="Q177" s="276"/>
      <c r="R177" s="230" t="s">
        <v>1963</v>
      </c>
      <c r="S177" s="224">
        <v>4.0999999999999996</v>
      </c>
      <c r="T177" s="224">
        <f t="shared" si="43"/>
        <v>0.5</v>
      </c>
      <c r="U177" s="224">
        <f>SUM(V177:CH177)-T177</f>
        <v>0</v>
      </c>
      <c r="V177" s="79"/>
      <c r="W177" s="79"/>
      <c r="X177" s="79"/>
      <c r="Y177" s="79"/>
      <c r="Z177" s="79"/>
      <c r="AA177" s="79"/>
      <c r="AB177" s="227"/>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c r="A178" s="30" t="str">
        <f t="shared" si="46"/>
        <v>lt004_protectionepc_lbl</v>
      </c>
      <c r="B178" s="142" t="s">
        <v>26</v>
      </c>
      <c r="C178" s="138" t="s">
        <v>26</v>
      </c>
      <c r="D178" s="253" t="s">
        <v>40</v>
      </c>
      <c r="E178" s="257" t="s">
        <v>369</v>
      </c>
      <c r="F178" s="257"/>
      <c r="G178" s="267" t="s">
        <v>373</v>
      </c>
      <c r="H178" s="255" t="str">
        <f>VLOOKUP(A178,'2. Status Detalhe Campos'!$A$7:$G$574,7,0)</f>
        <v>2.1 Em Teste</v>
      </c>
      <c r="I178" s="229" t="s">
        <v>38</v>
      </c>
      <c r="J178" s="153">
        <v>45596</v>
      </c>
      <c r="K178" s="153">
        <v>45596</v>
      </c>
      <c r="L178" s="280">
        <f t="array" ref="L178">MIN(IF(V178:CH178&gt;0,$V$16:$CH$16))</f>
        <v>45603</v>
      </c>
      <c r="M178" s="279">
        <f t="array" ref="M178">MAX(IF(V178:CH178&gt;0,$V$16:$CH$16))</f>
        <v>45603</v>
      </c>
      <c r="N178" s="277">
        <f>VLOOKUP(H178,Auxiliar!$B$16:$E$24,4,0)</f>
        <v>0.25</v>
      </c>
      <c r="O178" s="277">
        <f t="shared" ca="1" si="47"/>
        <v>1</v>
      </c>
      <c r="P178" s="276">
        <f t="shared" ca="1" si="37"/>
        <v>-0.75</v>
      </c>
      <c r="Q178" s="276"/>
      <c r="R178" s="230" t="s">
        <v>1963</v>
      </c>
      <c r="S178" s="224">
        <v>4.0999999999999996</v>
      </c>
      <c r="T178" s="224">
        <f t="shared" si="43"/>
        <v>0.5</v>
      </c>
      <c r="U178" s="224">
        <f>SUM(V178:CH178)-T178</f>
        <v>0</v>
      </c>
      <c r="V178" s="79"/>
      <c r="W178" s="79"/>
      <c r="X178" s="79"/>
      <c r="Y178" s="79"/>
      <c r="Z178" s="79"/>
      <c r="AA178" s="79"/>
      <c r="AB178" s="227"/>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c r="A179" s="30" t="str">
        <f t="shared" si="46"/>
        <v>lt004_protectionflg_act_physcl_rsk</v>
      </c>
      <c r="B179" s="142" t="s">
        <v>26</v>
      </c>
      <c r="C179" s="138" t="s">
        <v>26</v>
      </c>
      <c r="D179" s="253" t="s">
        <v>40</v>
      </c>
      <c r="E179" s="257" t="s">
        <v>369</v>
      </c>
      <c r="F179" s="257"/>
      <c r="G179" s="267" t="s">
        <v>358</v>
      </c>
      <c r="H179" s="255" t="str">
        <f>VLOOKUP(A179,'2. Status Detalhe Campos'!$A$7:$G$574,7,0)</f>
        <v>3. Pendente de outros desenvolvimentos</v>
      </c>
      <c r="I179" s="229" t="s">
        <v>38</v>
      </c>
      <c r="J179" s="153">
        <v>45596</v>
      </c>
      <c r="K179" s="153">
        <v>45596</v>
      </c>
      <c r="L179" s="280">
        <f t="array" ref="L179">MIN(IF(V179:CH179&gt;0,$V$16:$CH$16))</f>
        <v>45629</v>
      </c>
      <c r="M179" s="279">
        <f t="array" ref="M179">MAX(IF(V179:CH179&gt;0,$V$16:$CH$16))</f>
        <v>45629</v>
      </c>
      <c r="N179" s="277">
        <f>VLOOKUP(H179,Auxiliar!$B$16:$E$24,4,0)</f>
        <v>0</v>
      </c>
      <c r="O179" s="277">
        <f t="shared" ca="1" si="47"/>
        <v>0</v>
      </c>
      <c r="P179" s="276">
        <f t="shared" ca="1" si="37"/>
        <v>0</v>
      </c>
      <c r="Q179" s="276"/>
      <c r="R179" s="230"/>
      <c r="S179" s="224">
        <v>4.0999999999999996</v>
      </c>
      <c r="T179" s="224">
        <f t="shared" si="43"/>
        <v>0.5</v>
      </c>
      <c r="U179" s="224">
        <f>SUM(V179:CH179)-T179</f>
        <v>0</v>
      </c>
      <c r="V179" s="79"/>
      <c r="W179" s="79"/>
      <c r="X179" s="79"/>
      <c r="Y179" s="79"/>
      <c r="Z179" s="79"/>
      <c r="AA179" s="79"/>
      <c r="AB179" s="227"/>
      <c r="AC179" s="92"/>
      <c r="AD179" s="79"/>
      <c r="AE179" s="79"/>
      <c r="AF179" s="79"/>
      <c r="AG179" s="79"/>
      <c r="AH179" s="79"/>
      <c r="AI179" s="79"/>
      <c r="AJ179" s="79"/>
      <c r="AK179" s="79"/>
      <c r="AL179" s="79"/>
      <c r="AM179" s="79"/>
      <c r="AN179" s="79"/>
      <c r="AO179" s="79"/>
      <c r="AP179" s="79"/>
      <c r="AQ179" s="79"/>
      <c r="AR179" s="79"/>
      <c r="AS179" s="79"/>
      <c r="AT179" s="79"/>
      <c r="AU179" s="79"/>
      <c r="AV179" s="231"/>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c r="A180" s="30" t="str">
        <f t="shared" si="46"/>
        <v>lt004_protectionflg_chrnc_physcl_rsk</v>
      </c>
      <c r="B180" s="142" t="s">
        <v>26</v>
      </c>
      <c r="C180" s="138" t="s">
        <v>26</v>
      </c>
      <c r="D180" s="253" t="s">
        <v>40</v>
      </c>
      <c r="E180" s="257" t="s">
        <v>369</v>
      </c>
      <c r="F180" s="257"/>
      <c r="G180" s="267" t="s">
        <v>359</v>
      </c>
      <c r="H180" s="255" t="str">
        <f>VLOOKUP(A180,'2. Status Detalhe Campos'!$A$7:$G$574,7,0)</f>
        <v>3. Pendente de outros desenvolvimentos</v>
      </c>
      <c r="I180" s="229" t="s">
        <v>38</v>
      </c>
      <c r="J180" s="153">
        <v>45596</v>
      </c>
      <c r="K180" s="153">
        <v>45596</v>
      </c>
      <c r="L180" s="280">
        <f t="array" ref="L180">MIN(IF(V180:CH180&gt;0,$V$16:$CH$16))</f>
        <v>45629</v>
      </c>
      <c r="M180" s="279">
        <f t="array" ref="M180">MAX(IF(V180:CH180&gt;0,$V$16:$CH$16))</f>
        <v>45629</v>
      </c>
      <c r="N180" s="277">
        <f>VLOOKUP(H180,Auxiliar!$B$16:$E$24,4,0)</f>
        <v>0</v>
      </c>
      <c r="O180" s="277">
        <f t="shared" ca="1" si="47"/>
        <v>0</v>
      </c>
      <c r="P180" s="276">
        <f t="shared" ca="1" si="37"/>
        <v>0</v>
      </c>
      <c r="Q180" s="276"/>
      <c r="R180" s="230"/>
      <c r="S180" s="224">
        <v>4.0999999999999996</v>
      </c>
      <c r="T180" s="224">
        <f t="shared" si="43"/>
        <v>0.5</v>
      </c>
      <c r="U180" s="224">
        <f>SUM(V180:CH180)-T180</f>
        <v>0</v>
      </c>
      <c r="V180" s="79"/>
      <c r="W180" s="79"/>
      <c r="X180" s="79"/>
      <c r="Y180" s="79"/>
      <c r="Z180" s="79"/>
      <c r="AA180" s="79"/>
      <c r="AB180" s="227"/>
      <c r="AC180" s="92"/>
      <c r="AD180" s="79"/>
      <c r="AE180" s="79"/>
      <c r="AF180" s="79"/>
      <c r="AG180" s="79"/>
      <c r="AH180" s="79"/>
      <c r="AI180" s="79"/>
      <c r="AJ180" s="79"/>
      <c r="AK180" s="79"/>
      <c r="AL180" s="79"/>
      <c r="AM180" s="79"/>
      <c r="AN180" s="79"/>
      <c r="AO180" s="79"/>
      <c r="AP180" s="79"/>
      <c r="AQ180" s="79"/>
      <c r="AR180" s="79"/>
      <c r="AS180" s="79"/>
      <c r="AT180" s="79"/>
      <c r="AU180" s="79"/>
      <c r="AV180" s="231"/>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c r="A181" s="30"/>
      <c r="B181" s="142" t="s">
        <v>26</v>
      </c>
      <c r="C181" s="138" t="s">
        <v>26</v>
      </c>
      <c r="D181" s="134"/>
      <c r="E181" s="263" t="s">
        <v>369</v>
      </c>
      <c r="F181" s="260" t="s">
        <v>2014</v>
      </c>
      <c r="G181" s="261">
        <f>COUNTA(G182:G186)</f>
        <v>5</v>
      </c>
      <c r="H181" s="136"/>
      <c r="I181" s="264">
        <f>MIN(I182:I186)</f>
        <v>45603</v>
      </c>
      <c r="J181" s="262">
        <f>MIN(J182:J187)</f>
        <v>45596</v>
      </c>
      <c r="K181" s="262">
        <f>MIN(K182:K187)</f>
        <v>45596</v>
      </c>
      <c r="L181" s="259">
        <f>MIN(L182:L187)</f>
        <v>45649</v>
      </c>
      <c r="M181" s="259">
        <f>MAX(M182:M187)</f>
        <v>45649</v>
      </c>
      <c r="N181" s="282">
        <f>SUMPRODUCT(N182:N187,T182:T187)/SUM(T182:T187)</f>
        <v>0</v>
      </c>
      <c r="O181" s="282">
        <f ca="1">SUMPRODUCT(O182:O187,T182:T187)/SUM(T182:T187)</f>
        <v>0</v>
      </c>
      <c r="P181" s="276">
        <f t="shared" ca="1" si="37"/>
        <v>0</v>
      </c>
      <c r="Q181" s="288" t="s">
        <v>2029</v>
      </c>
      <c r="R181" s="230"/>
      <c r="S181" s="224"/>
      <c r="T181" s="224"/>
      <c r="U181" s="224"/>
      <c r="V181" s="79"/>
      <c r="W181" s="79"/>
      <c r="X181" s="79"/>
      <c r="Y181" s="79"/>
      <c r="Z181" s="79"/>
      <c r="AA181" s="79"/>
      <c r="AB181" s="227"/>
      <c r="AC181" s="92"/>
      <c r="AD181" s="79"/>
      <c r="AE181" s="79"/>
      <c r="AF181" s="79"/>
      <c r="AG181" s="237"/>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6"/>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8">E182&amp;G182</f>
        <v>lt004_protectionemssns_scp1_prtctn</v>
      </c>
      <c r="B182" s="142" t="s">
        <v>26</v>
      </c>
      <c r="C182" s="138" t="s">
        <v>26</v>
      </c>
      <c r="D182" s="253" t="s">
        <v>40</v>
      </c>
      <c r="E182" s="257" t="s">
        <v>369</v>
      </c>
      <c r="F182" s="257"/>
      <c r="G182" s="267" t="s">
        <v>374</v>
      </c>
      <c r="H182" s="255" t="str">
        <f>VLOOKUP(A182,'2. Status Detalhe Campos'!$A$7:$G$574,7,0)</f>
        <v>6. Em implementação (re-especificação)</v>
      </c>
      <c r="I182" s="265">
        <v>45603</v>
      </c>
      <c r="J182" s="238">
        <v>45596</v>
      </c>
      <c r="K182" s="238">
        <v>45596</v>
      </c>
      <c r="L182" s="280">
        <f t="array" ref="L182">MIN(IF(V182:CH182&gt;0,$V$16:$CH$16))</f>
        <v>45649</v>
      </c>
      <c r="M182" s="279">
        <f t="array" ref="M182">MAX(IF(V182:CH182&gt;0,$V$16:$CH$16))</f>
        <v>45649</v>
      </c>
      <c r="N182" s="277">
        <f>VLOOKUP(H182,Auxiliar!$B$16:$E$24,4,0)</f>
        <v>0</v>
      </c>
      <c r="O182" s="277">
        <f t="shared" ref="O182:O187" ca="1" si="49">IF(TODAY()&lt;=L182,0,MIN((TODAY()-L182)/(M182-L182+1),100%))</f>
        <v>0</v>
      </c>
      <c r="P182" s="276">
        <f t="shared" ca="1" si="37"/>
        <v>0</v>
      </c>
      <c r="Q182" s="288" t="s">
        <v>38</v>
      </c>
      <c r="R182" s="230" t="s">
        <v>1964</v>
      </c>
      <c r="S182" s="224">
        <v>4.0999999999999996</v>
      </c>
      <c r="T182" s="224">
        <f t="shared" ref="T182:T187" si="50">ROUND(S182/8,1)</f>
        <v>0.5</v>
      </c>
      <c r="U182" s="224">
        <f t="shared" ref="U182:U187" si="51">SUM(V182:CH182)-T182</f>
        <v>0</v>
      </c>
      <c r="V182" s="79"/>
      <c r="W182" s="79"/>
      <c r="X182" s="79"/>
      <c r="Y182" s="79"/>
      <c r="Z182" s="79"/>
      <c r="AA182" s="79"/>
      <c r="AB182" s="227"/>
      <c r="AC182" s="92"/>
      <c r="AD182" s="79"/>
      <c r="AE182" s="79"/>
      <c r="AF182" s="79"/>
      <c r="AG182" s="237"/>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8"/>
        <v>lt004_protectionemssns_scp2_prtctn</v>
      </c>
      <c r="B183" s="142" t="s">
        <v>26</v>
      </c>
      <c r="C183" s="138" t="s">
        <v>26</v>
      </c>
      <c r="D183" s="253" t="s">
        <v>40</v>
      </c>
      <c r="E183" s="257" t="s">
        <v>369</v>
      </c>
      <c r="F183" s="257"/>
      <c r="G183" s="267" t="s">
        <v>375</v>
      </c>
      <c r="H183" s="255" t="str">
        <f>VLOOKUP(A183,'2. Status Detalhe Campos'!$A$7:$G$574,7,0)</f>
        <v>6. Em implementação (re-especificação)</v>
      </c>
      <c r="I183" s="265">
        <v>45603</v>
      </c>
      <c r="J183" s="238">
        <v>45596</v>
      </c>
      <c r="K183" s="238">
        <v>45596</v>
      </c>
      <c r="L183" s="280">
        <f t="array" ref="L183">MIN(IF(V183:CH183&gt;0,$V$16:$CH$16))</f>
        <v>45649</v>
      </c>
      <c r="M183" s="279">
        <f t="array" ref="M183">MAX(IF(V183:CH183&gt;0,$V$16:$CH$16))</f>
        <v>45649</v>
      </c>
      <c r="N183" s="277">
        <f>VLOOKUP(H183,Auxiliar!$B$16:$E$24,4,0)</f>
        <v>0</v>
      </c>
      <c r="O183" s="277">
        <f t="shared" ca="1" si="49"/>
        <v>0</v>
      </c>
      <c r="P183" s="276">
        <f t="shared" ca="1" si="37"/>
        <v>0</v>
      </c>
      <c r="Q183" s="288" t="s">
        <v>38</v>
      </c>
      <c r="R183" s="230" t="s">
        <v>1964</v>
      </c>
      <c r="S183" s="224">
        <v>4.0999999999999996</v>
      </c>
      <c r="T183" s="224">
        <f t="shared" si="50"/>
        <v>0.5</v>
      </c>
      <c r="U183" s="224">
        <f t="shared" si="51"/>
        <v>0</v>
      </c>
      <c r="V183" s="79"/>
      <c r="W183" s="79"/>
      <c r="X183" s="79"/>
      <c r="Y183" s="79"/>
      <c r="Z183" s="79"/>
      <c r="AA183" s="79"/>
      <c r="AB183" s="227"/>
      <c r="AC183" s="92"/>
      <c r="AD183" s="79"/>
      <c r="AE183" s="79"/>
      <c r="AF183" s="79"/>
      <c r="AG183" s="237"/>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8"/>
        <v>lt004_protectionemssns_scp3_prtctn</v>
      </c>
      <c r="B184" s="142" t="s">
        <v>26</v>
      </c>
      <c r="C184" s="138" t="s">
        <v>26</v>
      </c>
      <c r="D184" s="253" t="s">
        <v>40</v>
      </c>
      <c r="E184" s="257" t="s">
        <v>369</v>
      </c>
      <c r="F184" s="257"/>
      <c r="G184" s="267" t="s">
        <v>376</v>
      </c>
      <c r="H184" s="255" t="str">
        <f>VLOOKUP(A184,'2. Status Detalhe Campos'!$A$7:$G$574,7,0)</f>
        <v>6. Em implementação (re-especificação)</v>
      </c>
      <c r="I184" s="265">
        <v>45603</v>
      </c>
      <c r="J184" s="238">
        <v>45596</v>
      </c>
      <c r="K184" s="238">
        <v>45596</v>
      </c>
      <c r="L184" s="280">
        <f t="array" ref="L184">MIN(IF(V184:CH184&gt;0,$V$16:$CH$16))</f>
        <v>45649</v>
      </c>
      <c r="M184" s="279">
        <f t="array" ref="M184">MAX(IF(V184:CH184&gt;0,$V$16:$CH$16))</f>
        <v>45649</v>
      </c>
      <c r="N184" s="277">
        <f>VLOOKUP(H184,Auxiliar!$B$16:$E$24,4,0)</f>
        <v>0</v>
      </c>
      <c r="O184" s="277">
        <f t="shared" ca="1" si="49"/>
        <v>0</v>
      </c>
      <c r="P184" s="276">
        <f t="shared" ca="1" si="37"/>
        <v>0</v>
      </c>
      <c r="Q184" s="288" t="s">
        <v>38</v>
      </c>
      <c r="R184" s="230" t="s">
        <v>1964</v>
      </c>
      <c r="S184" s="224">
        <v>4.0999999999999996</v>
      </c>
      <c r="T184" s="224">
        <f t="shared" si="50"/>
        <v>0.5</v>
      </c>
      <c r="U184" s="224">
        <f t="shared" si="51"/>
        <v>0</v>
      </c>
      <c r="V184" s="79"/>
      <c r="W184" s="79"/>
      <c r="X184" s="79"/>
      <c r="Y184" s="79"/>
      <c r="Z184" s="79"/>
      <c r="AA184" s="79"/>
      <c r="AB184" s="227"/>
      <c r="AC184" s="92"/>
      <c r="AD184" s="79"/>
      <c r="AE184" s="79"/>
      <c r="AF184" s="79"/>
      <c r="AG184" s="237"/>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8"/>
        <v>lt004_protectionmthd_usd_prtctn_scp_1</v>
      </c>
      <c r="B185" s="142" t="s">
        <v>26</v>
      </c>
      <c r="C185" s="138" t="s">
        <v>26</v>
      </c>
      <c r="D185" s="253" t="s">
        <v>40</v>
      </c>
      <c r="E185" s="257" t="s">
        <v>369</v>
      </c>
      <c r="F185" s="257"/>
      <c r="G185" s="267" t="s">
        <v>377</v>
      </c>
      <c r="H185" s="255" t="str">
        <f>VLOOKUP(A185,'2. Status Detalhe Campos'!$A$7:$G$574,7,0)</f>
        <v>6. Em implementação (re-especificação)</v>
      </c>
      <c r="I185" s="265">
        <v>45603</v>
      </c>
      <c r="J185" s="238">
        <v>45596</v>
      </c>
      <c r="K185" s="238">
        <v>45596</v>
      </c>
      <c r="L185" s="280">
        <f t="array" ref="L185">MIN(IF(V185:CH185&gt;0,$V$16:$CH$16))</f>
        <v>45649</v>
      </c>
      <c r="M185" s="279">
        <f t="array" ref="M185">MAX(IF(V185:CH185&gt;0,$V$16:$CH$16))</f>
        <v>45649</v>
      </c>
      <c r="N185" s="277">
        <f>VLOOKUP(H185,Auxiliar!$B$16:$E$24,4,0)</f>
        <v>0</v>
      </c>
      <c r="O185" s="277">
        <f t="shared" ca="1" si="49"/>
        <v>0</v>
      </c>
      <c r="P185" s="276">
        <f t="shared" ca="1" si="37"/>
        <v>0</v>
      </c>
      <c r="Q185" s="288" t="s">
        <v>38</v>
      </c>
      <c r="R185" s="230" t="s">
        <v>1964</v>
      </c>
      <c r="S185" s="224">
        <v>4.0999999999999996</v>
      </c>
      <c r="T185" s="224">
        <f t="shared" si="50"/>
        <v>0.5</v>
      </c>
      <c r="U185" s="224">
        <f t="shared" si="51"/>
        <v>0</v>
      </c>
      <c r="V185" s="79"/>
      <c r="W185" s="79"/>
      <c r="X185" s="79"/>
      <c r="Y185" s="79"/>
      <c r="Z185" s="79"/>
      <c r="AA185" s="79"/>
      <c r="AB185" s="227"/>
      <c r="AC185" s="92"/>
      <c r="AD185" s="79"/>
      <c r="AE185" s="79"/>
      <c r="AF185" s="79"/>
      <c r="AG185" s="237"/>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8"/>
        <v>lt004_protectionmthd_usd_prtctn_scp_2</v>
      </c>
      <c r="B186" s="142" t="s">
        <v>26</v>
      </c>
      <c r="C186" s="138" t="s">
        <v>26</v>
      </c>
      <c r="D186" s="253" t="s">
        <v>40</v>
      </c>
      <c r="E186" s="257" t="s">
        <v>369</v>
      </c>
      <c r="F186" s="257"/>
      <c r="G186" s="267" t="s">
        <v>378</v>
      </c>
      <c r="H186" s="255" t="str">
        <f>VLOOKUP(A186,'2. Status Detalhe Campos'!$A$7:$G$574,7,0)</f>
        <v>6. Em implementação (re-especificação)</v>
      </c>
      <c r="I186" s="265">
        <v>45603</v>
      </c>
      <c r="J186" s="238">
        <v>45596</v>
      </c>
      <c r="K186" s="238">
        <v>45596</v>
      </c>
      <c r="L186" s="280">
        <f t="array" ref="L186">MIN(IF(V186:CH186&gt;0,$V$16:$CH$16))</f>
        <v>45649</v>
      </c>
      <c r="M186" s="279">
        <f t="array" ref="M186">MAX(IF(V186:CH186&gt;0,$V$16:$CH$16))</f>
        <v>45649</v>
      </c>
      <c r="N186" s="277">
        <f>VLOOKUP(H186,Auxiliar!$B$16:$E$24,4,0)</f>
        <v>0</v>
      </c>
      <c r="O186" s="277">
        <f t="shared" ca="1" si="49"/>
        <v>0</v>
      </c>
      <c r="P186" s="276">
        <f t="shared" ca="1" si="37"/>
        <v>0</v>
      </c>
      <c r="Q186" s="288" t="s">
        <v>38</v>
      </c>
      <c r="R186" s="230" t="s">
        <v>1964</v>
      </c>
      <c r="S186" s="224">
        <v>4.0999999999999996</v>
      </c>
      <c r="T186" s="224">
        <f t="shared" si="50"/>
        <v>0.5</v>
      </c>
      <c r="U186" s="224">
        <f t="shared" si="51"/>
        <v>0</v>
      </c>
      <c r="V186" s="79"/>
      <c r="W186" s="79"/>
      <c r="X186" s="79"/>
      <c r="Y186" s="79"/>
      <c r="Z186" s="79"/>
      <c r="AA186" s="79"/>
      <c r="AB186" s="227"/>
      <c r="AC186" s="92"/>
      <c r="AD186" s="79"/>
      <c r="AE186" s="79"/>
      <c r="AF186" s="79"/>
      <c r="AG186" s="237"/>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8"/>
        <v>lt004_protectionmthd_usd_prtctn_scp_3</v>
      </c>
      <c r="B187" s="142" t="s">
        <v>26</v>
      </c>
      <c r="C187" s="138" t="s">
        <v>26</v>
      </c>
      <c r="D187" s="253" t="s">
        <v>40</v>
      </c>
      <c r="E187" s="257" t="s">
        <v>369</v>
      </c>
      <c r="F187" s="257"/>
      <c r="G187" s="267" t="s">
        <v>379</v>
      </c>
      <c r="H187" s="255" t="str">
        <f>VLOOKUP(A187,'2. Status Detalhe Campos'!$A$7:$G$574,7,0)</f>
        <v>6. Em implementação (re-especificação)</v>
      </c>
      <c r="I187" s="265">
        <v>45603</v>
      </c>
      <c r="J187" s="238">
        <v>45596</v>
      </c>
      <c r="K187" s="238">
        <v>45596</v>
      </c>
      <c r="L187" s="280">
        <f t="array" ref="L187">MIN(IF(V187:CH187&gt;0,$V$16:$CH$16))</f>
        <v>45649</v>
      </c>
      <c r="M187" s="279">
        <f t="array" ref="M187">MAX(IF(V187:CH187&gt;0,$V$16:$CH$16))</f>
        <v>45649</v>
      </c>
      <c r="N187" s="277">
        <f>VLOOKUP(H187,Auxiliar!$B$16:$E$24,4,0)</f>
        <v>0</v>
      </c>
      <c r="O187" s="277">
        <f t="shared" ca="1" si="49"/>
        <v>0</v>
      </c>
      <c r="P187" s="276">
        <f t="shared" ca="1" si="37"/>
        <v>0</v>
      </c>
      <c r="Q187" s="288" t="s">
        <v>38</v>
      </c>
      <c r="R187" s="230" t="s">
        <v>1964</v>
      </c>
      <c r="S187" s="224">
        <v>4.0999999999999996</v>
      </c>
      <c r="T187" s="224">
        <f t="shared" si="50"/>
        <v>0.5</v>
      </c>
      <c r="U187" s="224">
        <f t="shared" si="51"/>
        <v>0</v>
      </c>
      <c r="V187" s="79"/>
      <c r="W187" s="79"/>
      <c r="X187" s="79"/>
      <c r="Y187" s="79"/>
      <c r="Z187" s="79"/>
      <c r="AA187" s="79"/>
      <c r="AB187" s="227"/>
      <c r="AC187" s="92"/>
      <c r="AD187" s="79"/>
      <c r="AE187" s="79"/>
      <c r="AF187" s="79"/>
      <c r="AG187" s="237"/>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3" t="s">
        <v>369</v>
      </c>
      <c r="F188" s="260" t="s">
        <v>2010</v>
      </c>
      <c r="G188" s="261">
        <f>COUNTA(G189:G192)</f>
        <v>4</v>
      </c>
      <c r="H188" s="136"/>
      <c r="I188" s="259">
        <f>MAX(I189:I192)</f>
        <v>45595</v>
      </c>
      <c r="J188" s="258">
        <f>MIN(J189:J192)</f>
        <v>45611</v>
      </c>
      <c r="K188" s="229"/>
      <c r="L188" s="258">
        <f>MIN(L189:L192)</f>
        <v>45614</v>
      </c>
      <c r="M188" s="259">
        <f>MAX(M189:M192)</f>
        <v>45614</v>
      </c>
      <c r="N188" s="282">
        <f>SUMPRODUCT(N189:N192,T189:T192)/SUM(T189:T192)</f>
        <v>0</v>
      </c>
      <c r="O188" s="282">
        <f ca="1">SUMPRODUCT(O189:O192,T189:T192)/SUM(T189:T192)</f>
        <v>0</v>
      </c>
      <c r="P188" s="276">
        <f t="shared" ca="1" si="37"/>
        <v>0</v>
      </c>
      <c r="Q188" s="288" t="s">
        <v>38</v>
      </c>
      <c r="R188" s="230"/>
      <c r="S188" s="224"/>
      <c r="T188" s="224"/>
      <c r="U188" s="224"/>
      <c r="V188" s="79"/>
      <c r="W188" s="79"/>
      <c r="X188" s="79"/>
      <c r="Y188" s="79"/>
      <c r="Z188" s="79"/>
      <c r="AA188" s="79"/>
      <c r="AB188" s="79"/>
      <c r="AC188" s="92"/>
      <c r="AD188" s="79"/>
      <c r="AE188" s="79"/>
      <c r="AF188" s="79"/>
      <c r="AG188" s="79"/>
      <c r="AH188" s="79"/>
      <c r="AI188" s="79"/>
      <c r="AJ188" s="79"/>
      <c r="AK188" s="79"/>
      <c r="AL188" s="79"/>
      <c r="AM188" s="231"/>
      <c r="AN188" s="79"/>
      <c r="AO188" s="79"/>
      <c r="AP188" s="79"/>
      <c r="AQ188" s="79"/>
      <c r="AR188" s="266"/>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hidden="1" outlineLevel="1">
      <c r="A189" s="30" t="str">
        <f t="shared" si="46"/>
        <v>lt004_protectionprtctn_id</v>
      </c>
      <c r="B189" s="142" t="s">
        <v>26</v>
      </c>
      <c r="C189" s="138" t="s">
        <v>26</v>
      </c>
      <c r="D189" s="253" t="s">
        <v>40</v>
      </c>
      <c r="E189" s="257" t="s">
        <v>369</v>
      </c>
      <c r="F189" s="257"/>
      <c r="G189" s="267" t="s">
        <v>434</v>
      </c>
      <c r="H189" s="255" t="str">
        <f>VLOOKUP(A189,'2. Status Detalhe Campos'!$A$7:$G$574,7,0)</f>
        <v>6. Em implementação (re-especificação)</v>
      </c>
      <c r="I189" s="153">
        <v>45588</v>
      </c>
      <c r="J189" s="235">
        <v>45611</v>
      </c>
      <c r="K189" s="229"/>
      <c r="L189" s="280">
        <f t="array" ref="L189">MIN(IF(V189:CH189&gt;0,$V$16:$CH$16))</f>
        <v>45614</v>
      </c>
      <c r="M189" s="279">
        <f t="array" ref="M189">MAX(IF(V189:CH189&gt;0,$V$16:$CH$16))</f>
        <v>45614</v>
      </c>
      <c r="N189" s="277">
        <f>VLOOKUP(H189,Auxiliar!$B$16:$E$24,4,0)</f>
        <v>0</v>
      </c>
      <c r="O189" s="277">
        <f t="shared" ref="O189:O192" ca="1" si="52">IF(TODAY()&lt;=L189,0,MIN((TODAY()-L189)/(M189-L189+1),100%))</f>
        <v>0</v>
      </c>
      <c r="P189" s="276">
        <f t="shared" ca="1" si="37"/>
        <v>0</v>
      </c>
      <c r="Q189" s="288" t="s">
        <v>38</v>
      </c>
      <c r="R189" s="230"/>
      <c r="S189" s="224">
        <v>0.1</v>
      </c>
      <c r="T189" s="224">
        <f t="shared" ref="T189:T198" si="53">ROUND(S189/8,1)</f>
        <v>0</v>
      </c>
      <c r="U189" s="233">
        <f>SUM(V189:CH189)-T189</f>
        <v>0.1</v>
      </c>
      <c r="V189" s="237"/>
      <c r="W189" s="79"/>
      <c r="X189" s="79"/>
      <c r="Y189" s="79"/>
      <c r="Z189" s="79"/>
      <c r="AA189" s="79"/>
      <c r="AB189" s="79"/>
      <c r="AC189" s="92"/>
      <c r="AD189" s="79"/>
      <c r="AE189" s="79"/>
      <c r="AF189" s="79"/>
      <c r="AG189" s="79"/>
      <c r="AH189" s="79"/>
      <c r="AI189" s="79"/>
      <c r="AJ189" s="79"/>
      <c r="AK189" s="79"/>
      <c r="AL189" s="79"/>
      <c r="AM189" s="231"/>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hidden="1" outlineLevel="1">
      <c r="A190" s="30" t="str">
        <f t="shared" si="46"/>
        <v>lt004_protectionrl_estt_clltrl_lctn</v>
      </c>
      <c r="B190" s="142" t="s">
        <v>26</v>
      </c>
      <c r="C190" s="138" t="s">
        <v>26</v>
      </c>
      <c r="D190" s="253" t="s">
        <v>40</v>
      </c>
      <c r="E190" s="257" t="s">
        <v>369</v>
      </c>
      <c r="F190" s="257"/>
      <c r="G190" s="267" t="s">
        <v>435</v>
      </c>
      <c r="H190" s="255" t="str">
        <f>VLOOKUP(A190,'2. Status Detalhe Campos'!$A$7:$G$574,7,0)</f>
        <v>6. Em implementação (re-especificação)</v>
      </c>
      <c r="I190" s="153">
        <v>45588</v>
      </c>
      <c r="J190" s="235">
        <v>45611</v>
      </c>
      <c r="K190" s="229"/>
      <c r="L190" s="280">
        <f t="array" ref="L190">MIN(IF(V190:CH190&gt;0,$V$16:$CH$16))</f>
        <v>45614</v>
      </c>
      <c r="M190" s="279">
        <f t="array" ref="M190">MAX(IF(V190:CH190&gt;0,$V$16:$CH$16))</f>
        <v>45614</v>
      </c>
      <c r="N190" s="277">
        <f>VLOOKUP(H190,Auxiliar!$B$16:$E$24,4,0)</f>
        <v>0</v>
      </c>
      <c r="O190" s="277">
        <f t="shared" ca="1" si="52"/>
        <v>0</v>
      </c>
      <c r="P190" s="276">
        <f t="shared" ca="1" si="37"/>
        <v>0</v>
      </c>
      <c r="Q190" s="288" t="s">
        <v>38</v>
      </c>
      <c r="R190" s="230"/>
      <c r="S190" s="224">
        <v>0.1</v>
      </c>
      <c r="T190" s="224">
        <f t="shared" si="53"/>
        <v>0</v>
      </c>
      <c r="U190" s="233">
        <f>SUM(V190:CH190)-T190</f>
        <v>0.1</v>
      </c>
      <c r="V190" s="237"/>
      <c r="W190" s="79"/>
      <c r="X190" s="79"/>
      <c r="Y190" s="79"/>
      <c r="Z190" s="79"/>
      <c r="AA190" s="79"/>
      <c r="AB190" s="79"/>
      <c r="AC190" s="92"/>
      <c r="AD190" s="79"/>
      <c r="AE190" s="79"/>
      <c r="AF190" s="79"/>
      <c r="AG190" s="79"/>
      <c r="AH190" s="79"/>
      <c r="AI190" s="79"/>
      <c r="AJ190" s="79"/>
      <c r="AK190" s="79"/>
      <c r="AL190" s="79"/>
      <c r="AM190" s="231"/>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hidden="1" outlineLevel="1">
      <c r="A191" s="30" t="str">
        <f t="shared" si="46"/>
        <v>lt004_protectionrl_estt_pst_cd</v>
      </c>
      <c r="B191" s="142" t="s">
        <v>26</v>
      </c>
      <c r="C191" s="138" t="s">
        <v>26</v>
      </c>
      <c r="D191" s="253" t="s">
        <v>40</v>
      </c>
      <c r="E191" s="257" t="s">
        <v>369</v>
      </c>
      <c r="F191" s="257"/>
      <c r="G191" s="267" t="s">
        <v>436</v>
      </c>
      <c r="H191" s="255" t="str">
        <f>VLOOKUP(A191,'2. Status Detalhe Campos'!$A$7:$G$574,7,0)</f>
        <v>6. Em implementação (re-especificação)</v>
      </c>
      <c r="I191" s="153">
        <v>45588</v>
      </c>
      <c r="J191" s="235">
        <v>45611</v>
      </c>
      <c r="K191" s="229"/>
      <c r="L191" s="280">
        <f t="array" ref="L191">MIN(IF(V191:CH191&gt;0,$V$16:$CH$16))</f>
        <v>45614</v>
      </c>
      <c r="M191" s="279">
        <f t="array" ref="M191">MAX(IF(V191:CH191&gt;0,$V$16:$CH$16))</f>
        <v>45614</v>
      </c>
      <c r="N191" s="277">
        <f>VLOOKUP(H191,Auxiliar!$B$16:$E$24,4,0)</f>
        <v>0</v>
      </c>
      <c r="O191" s="277">
        <f t="shared" ca="1" si="52"/>
        <v>0</v>
      </c>
      <c r="P191" s="276">
        <f t="shared" ca="1" si="37"/>
        <v>0</v>
      </c>
      <c r="Q191" s="288" t="s">
        <v>38</v>
      </c>
      <c r="R191" s="230"/>
      <c r="S191" s="224">
        <v>0.1</v>
      </c>
      <c r="T191" s="224">
        <f t="shared" si="53"/>
        <v>0</v>
      </c>
      <c r="U191" s="233">
        <f>SUM(V191:CH191)-T191</f>
        <v>0.1</v>
      </c>
      <c r="V191" s="237"/>
      <c r="W191" s="79"/>
      <c r="X191" s="79"/>
      <c r="Y191" s="79"/>
      <c r="Z191" s="79"/>
      <c r="AA191" s="79"/>
      <c r="AB191" s="79"/>
      <c r="AC191" s="92"/>
      <c r="AD191" s="79"/>
      <c r="AE191" s="79"/>
      <c r="AF191" s="79"/>
      <c r="AG191" s="79"/>
      <c r="AH191" s="79"/>
      <c r="AI191" s="79"/>
      <c r="AJ191" s="79"/>
      <c r="AK191" s="79"/>
      <c r="AL191" s="79"/>
      <c r="AM191" s="231"/>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hidden="1" outlineLevel="1">
      <c r="A192" s="30" t="str">
        <f t="shared" si="46"/>
        <v>lt004_protectionorgnl_prtctn_vl</v>
      </c>
      <c r="B192" s="142" t="s">
        <v>26</v>
      </c>
      <c r="C192" s="138" t="s">
        <v>26</v>
      </c>
      <c r="D192" s="253" t="s">
        <v>40</v>
      </c>
      <c r="E192" s="257" t="s">
        <v>369</v>
      </c>
      <c r="F192" s="257"/>
      <c r="G192" s="267" t="s">
        <v>438</v>
      </c>
      <c r="H192" s="255" t="str">
        <f>VLOOKUP(A192,'2. Status Detalhe Campos'!$A$7:$G$574,7,0)</f>
        <v>6. Em implementação (re-especificação)</v>
      </c>
      <c r="I192" s="153">
        <v>45595</v>
      </c>
      <c r="J192" s="235">
        <v>45611</v>
      </c>
      <c r="K192" s="229"/>
      <c r="L192" s="280">
        <f t="array" ref="L192">MIN(IF(V192:CH192&gt;0,$V$16:$CH$16))</f>
        <v>45614</v>
      </c>
      <c r="M192" s="279">
        <f t="array" ref="M192">MAX(IF(V192:CH192&gt;0,$V$16:$CH$16))</f>
        <v>45614</v>
      </c>
      <c r="N192" s="277">
        <f>VLOOKUP(H192,Auxiliar!$B$16:$E$24,4,0)</f>
        <v>0</v>
      </c>
      <c r="O192" s="277">
        <f t="shared" ca="1" si="52"/>
        <v>0</v>
      </c>
      <c r="P192" s="276">
        <f t="shared" ca="1" si="37"/>
        <v>0</v>
      </c>
      <c r="Q192" s="288" t="s">
        <v>38</v>
      </c>
      <c r="R192" s="230"/>
      <c r="S192" s="241">
        <v>1</v>
      </c>
      <c r="T192" s="224">
        <f t="shared" si="53"/>
        <v>0.1</v>
      </c>
      <c r="U192" s="224">
        <f>SUM(V192:CH192)-T192</f>
        <v>0</v>
      </c>
      <c r="V192" s="79"/>
      <c r="W192" s="79"/>
      <c r="X192" s="79"/>
      <c r="Y192" s="79"/>
      <c r="Z192" s="79"/>
      <c r="AA192" s="237"/>
      <c r="AB192" s="79"/>
      <c r="AC192" s="92"/>
      <c r="AD192" s="79"/>
      <c r="AE192" s="79"/>
      <c r="AF192" s="79"/>
      <c r="AG192" s="79"/>
      <c r="AH192" s="79"/>
      <c r="AI192" s="79"/>
      <c r="AJ192" s="79"/>
      <c r="AK192" s="79"/>
      <c r="AL192" s="79"/>
      <c r="AM192" s="231"/>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ollapsed="1">
      <c r="A193" s="30"/>
      <c r="B193" s="142" t="s">
        <v>26</v>
      </c>
      <c r="C193" s="138" t="s">
        <v>26</v>
      </c>
      <c r="D193" s="134"/>
      <c r="E193" s="263" t="s">
        <v>369</v>
      </c>
      <c r="F193" s="260" t="s">
        <v>2011</v>
      </c>
      <c r="G193" s="261">
        <f>COUNTA(G194:G198)</f>
        <v>5</v>
      </c>
      <c r="H193" s="136"/>
      <c r="I193" s="259">
        <f>MAX(I194:I198)</f>
        <v>45593</v>
      </c>
      <c r="J193" s="258">
        <f>MIN(J194:J198)</f>
        <v>45624</v>
      </c>
      <c r="K193" s="229"/>
      <c r="L193" s="258">
        <f>MIN(L194:L198)</f>
        <v>45646</v>
      </c>
      <c r="M193" s="259">
        <f>MAX(M194:M198)</f>
        <v>45649</v>
      </c>
      <c r="N193" s="282">
        <f>SUMPRODUCT(N194:N198,T194:T198)/SUM(T194:T198)</f>
        <v>0</v>
      </c>
      <c r="O193" s="282">
        <f ca="1">SUMPRODUCT(O194:O198,T194:T198)/SUM(T194:T198)</f>
        <v>0</v>
      </c>
      <c r="P193" s="276">
        <f t="shared" ca="1" si="37"/>
        <v>0</v>
      </c>
      <c r="Q193" s="288" t="s">
        <v>38</v>
      </c>
      <c r="R193" s="230"/>
      <c r="S193" s="224"/>
      <c r="T193" s="224"/>
      <c r="U193" s="224"/>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1"/>
      <c r="AW193" s="79"/>
      <c r="AX193" s="79"/>
      <c r="AY193" s="79"/>
      <c r="AZ193" s="79"/>
      <c r="BA193" s="79"/>
      <c r="BB193" s="79"/>
      <c r="BC193" s="79"/>
      <c r="BD193" s="79"/>
      <c r="BE193" s="79"/>
      <c r="BF193" s="79"/>
      <c r="BG193" s="79"/>
      <c r="BH193" s="79"/>
      <c r="BI193" s="79"/>
      <c r="BJ193" s="79"/>
      <c r="BK193" s="79"/>
      <c r="BL193" s="79"/>
      <c r="BM193" s="266"/>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c r="A194" s="30" t="str">
        <f t="shared" si="46"/>
        <v>lt004_protectionprtctn_vl</v>
      </c>
      <c r="B194" s="142" t="s">
        <v>26</v>
      </c>
      <c r="C194" s="138" t="s">
        <v>26</v>
      </c>
      <c r="D194" s="253" t="s">
        <v>40</v>
      </c>
      <c r="E194" s="257" t="s">
        <v>369</v>
      </c>
      <c r="F194" s="257"/>
      <c r="G194" s="257" t="s">
        <v>439</v>
      </c>
      <c r="H194" s="255" t="str">
        <f>VLOOKUP(A194,'2. Status Detalhe Campos'!$A$7:$G$574,7,0)</f>
        <v>6. Em implementação (re-especificação)</v>
      </c>
      <c r="I194" s="153">
        <v>45588</v>
      </c>
      <c r="J194" s="235">
        <v>45624</v>
      </c>
      <c r="K194" s="229"/>
      <c r="L194" s="280">
        <f t="array" ref="L194">MIN(IF(V194:CH194&gt;0,$V$16:$CH$16))</f>
        <v>45646</v>
      </c>
      <c r="M194" s="279">
        <f t="array" ref="M194">MAX(IF(V194:CH194&gt;0,$V$16:$CH$16))</f>
        <v>45646</v>
      </c>
      <c r="N194" s="277">
        <f>VLOOKUP(H194,Auxiliar!$B$16:$E$24,4,0)</f>
        <v>0</v>
      </c>
      <c r="O194" s="277">
        <f t="shared" ref="O194:O198" ca="1" si="54">IF(TODAY()&lt;=L194,0,MIN((TODAY()-L194)/(M194-L194+1),100%))</f>
        <v>0</v>
      </c>
      <c r="P194" s="276">
        <f t="shared" ca="1" si="37"/>
        <v>0</v>
      </c>
      <c r="Q194" s="288" t="s">
        <v>38</v>
      </c>
      <c r="R194" s="230"/>
      <c r="S194" s="233">
        <v>4.0999999999999996</v>
      </c>
      <c r="T194" s="224">
        <f t="shared" si="53"/>
        <v>0.5</v>
      </c>
      <c r="U194" s="224">
        <f>SUM(V194:CH194)-T194</f>
        <v>0</v>
      </c>
      <c r="V194" s="237"/>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1"/>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6"/>
        <v>lt004_protectionflg_fin</v>
      </c>
      <c r="B195" s="142" t="s">
        <v>26</v>
      </c>
      <c r="C195" s="138" t="s">
        <v>26</v>
      </c>
      <c r="D195" s="253" t="s">
        <v>40</v>
      </c>
      <c r="E195" s="257" t="s">
        <v>369</v>
      </c>
      <c r="F195" s="257"/>
      <c r="G195" s="257" t="s">
        <v>481</v>
      </c>
      <c r="H195" s="255" t="str">
        <f>VLOOKUP(A195,'2. Status Detalhe Campos'!$A$7:$G$574,7,0)</f>
        <v>6. Em implementação (re-especificação)</v>
      </c>
      <c r="I195" s="229">
        <v>45593</v>
      </c>
      <c r="J195" s="235">
        <v>45624</v>
      </c>
      <c r="K195" s="229"/>
      <c r="L195" s="280">
        <f t="array" ref="L195">MIN(IF(V195:CH195&gt;0,$V$16:$CH$16))</f>
        <v>45646</v>
      </c>
      <c r="M195" s="279">
        <f t="array" ref="M195">MAX(IF(V195:CH195&gt;0,$V$16:$CH$16))</f>
        <v>45646</v>
      </c>
      <c r="N195" s="277">
        <f>VLOOKUP(H195,Auxiliar!$B$16:$E$24,4,0)</f>
        <v>0</v>
      </c>
      <c r="O195" s="277">
        <f t="shared" ca="1" si="54"/>
        <v>0</v>
      </c>
      <c r="P195" s="276">
        <f t="shared" ca="1" si="37"/>
        <v>0</v>
      </c>
      <c r="Q195" s="288" t="s">
        <v>38</v>
      </c>
      <c r="R195" s="230"/>
      <c r="S195" s="224">
        <v>4.0999999999999996</v>
      </c>
      <c r="T195" s="224">
        <f t="shared" si="53"/>
        <v>0.5</v>
      </c>
      <c r="U195" s="224">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1"/>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6"/>
        <v>lt004_protectionflg_exec</v>
      </c>
      <c r="B196" s="142" t="s">
        <v>26</v>
      </c>
      <c r="C196" s="138" t="s">
        <v>26</v>
      </c>
      <c r="D196" s="253" t="s">
        <v>40</v>
      </c>
      <c r="E196" s="257" t="s">
        <v>369</v>
      </c>
      <c r="F196" s="257"/>
      <c r="G196" s="257" t="s">
        <v>1364</v>
      </c>
      <c r="H196" s="255" t="str">
        <f>VLOOKUP(A196,'2. Status Detalhe Campos'!$A$7:$G$574,7,0)</f>
        <v>6. Em implementação (re-especificação)</v>
      </c>
      <c r="I196" s="229">
        <v>45593</v>
      </c>
      <c r="J196" s="235">
        <v>45624</v>
      </c>
      <c r="K196" s="229"/>
      <c r="L196" s="280">
        <f t="array" ref="L196">MIN(IF(V196:CH196&gt;0,$V$16:$CH$16))</f>
        <v>45646</v>
      </c>
      <c r="M196" s="279">
        <f t="array" ref="M196">MAX(IF(V196:CH196&gt;0,$V$16:$CH$16))</f>
        <v>45646</v>
      </c>
      <c r="N196" s="277">
        <f>VLOOKUP(H196,Auxiliar!$B$16:$E$24,4,0)</f>
        <v>0</v>
      </c>
      <c r="O196" s="277">
        <f t="shared" ca="1" si="54"/>
        <v>0</v>
      </c>
      <c r="P196" s="276">
        <f t="shared" ca="1" si="37"/>
        <v>0</v>
      </c>
      <c r="Q196" s="288" t="s">
        <v>38</v>
      </c>
      <c r="R196" s="230"/>
      <c r="S196" s="224">
        <v>4.0999999999999996</v>
      </c>
      <c r="T196" s="224">
        <f t="shared" si="53"/>
        <v>0.5</v>
      </c>
      <c r="U196" s="224">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1"/>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6"/>
        <v>lt004_protectionflg_col</v>
      </c>
      <c r="B197" s="142" t="s">
        <v>26</v>
      </c>
      <c r="C197" s="138" t="s">
        <v>26</v>
      </c>
      <c r="D197" s="253" t="s">
        <v>40</v>
      </c>
      <c r="E197" s="257" t="s">
        <v>369</v>
      </c>
      <c r="F197" s="257"/>
      <c r="G197" s="257" t="s">
        <v>480</v>
      </c>
      <c r="H197" s="255" t="str">
        <f>VLOOKUP(A197,'2. Status Detalhe Campos'!$A$7:$G$574,7,0)</f>
        <v>6. Em implementação (re-especificação)</v>
      </c>
      <c r="I197" s="229">
        <v>45593</v>
      </c>
      <c r="J197" s="235">
        <v>45624</v>
      </c>
      <c r="K197" s="229"/>
      <c r="L197" s="280">
        <f t="array" ref="L197">MIN(IF(V197:CH197&gt;0,$V$16:$CH$16))</f>
        <v>45646</v>
      </c>
      <c r="M197" s="279">
        <f t="array" ref="M197">MAX(IF(V197:CH197&gt;0,$V$16:$CH$16))</f>
        <v>45646</v>
      </c>
      <c r="N197" s="277">
        <f>VLOOKUP(H197,Auxiliar!$B$16:$E$24,4,0)</f>
        <v>0</v>
      </c>
      <c r="O197" s="277">
        <f t="shared" ca="1" si="54"/>
        <v>0</v>
      </c>
      <c r="P197" s="276">
        <f t="shared" ca="1" si="37"/>
        <v>0</v>
      </c>
      <c r="Q197" s="288" t="s">
        <v>38</v>
      </c>
      <c r="R197" s="230"/>
      <c r="S197" s="224">
        <v>4.0999999999999996</v>
      </c>
      <c r="T197" s="224">
        <f t="shared" si="53"/>
        <v>0.5</v>
      </c>
      <c r="U197" s="224">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1"/>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6"/>
        <v>lt004_protectionflg_pro</v>
      </c>
      <c r="B198" s="142" t="s">
        <v>26</v>
      </c>
      <c r="C198" s="138" t="s">
        <v>26</v>
      </c>
      <c r="D198" s="253" t="s">
        <v>40</v>
      </c>
      <c r="E198" s="257" t="s">
        <v>369</v>
      </c>
      <c r="F198" s="257"/>
      <c r="G198" s="257" t="s">
        <v>482</v>
      </c>
      <c r="H198" s="255" t="str">
        <f>VLOOKUP(A198,'2. Status Detalhe Campos'!$A$7:$G$574,7,0)</f>
        <v>6. Em implementação (re-especificação)</v>
      </c>
      <c r="I198" s="229">
        <v>45593</v>
      </c>
      <c r="J198" s="235">
        <v>45624</v>
      </c>
      <c r="K198" s="229"/>
      <c r="L198" s="280">
        <f t="array" ref="L198">MIN(IF(V198:CH198&gt;0,$V$16:$CH$16))</f>
        <v>45649</v>
      </c>
      <c r="M198" s="279">
        <f t="array" ref="M198">MAX(IF(V198:CH198&gt;0,$V$16:$CH$16))</f>
        <v>45649</v>
      </c>
      <c r="N198" s="277">
        <f>VLOOKUP(H198,Auxiliar!$B$16:$E$24,4,0)</f>
        <v>0</v>
      </c>
      <c r="O198" s="277">
        <f t="shared" ca="1" si="54"/>
        <v>0</v>
      </c>
      <c r="P198" s="276">
        <f t="shared" ca="1" si="37"/>
        <v>0</v>
      </c>
      <c r="Q198" s="288" t="s">
        <v>38</v>
      </c>
      <c r="R198" s="230"/>
      <c r="S198" s="224">
        <v>4.0999999999999996</v>
      </c>
      <c r="T198" s="224">
        <f t="shared" si="53"/>
        <v>0.5</v>
      </c>
      <c r="U198" s="224">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1"/>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c r="A199" s="30"/>
      <c r="B199" s="142" t="s">
        <v>26</v>
      </c>
      <c r="C199" s="138" t="s">
        <v>26</v>
      </c>
      <c r="D199" s="134"/>
      <c r="E199" s="263" t="s">
        <v>369</v>
      </c>
      <c r="F199" s="260" t="s">
        <v>2025</v>
      </c>
      <c r="G199" s="261">
        <f>COUNTA(G200)</f>
        <v>1</v>
      </c>
      <c r="H199" s="136"/>
      <c r="I199" s="264">
        <f>MIN(I200)</f>
        <v>45603</v>
      </c>
      <c r="J199" s="238"/>
      <c r="K199" s="239"/>
      <c r="L199" s="258">
        <f>MIN(L200)</f>
        <v>45663</v>
      </c>
      <c r="M199" s="259">
        <f>MAX(M200)</f>
        <v>45663</v>
      </c>
      <c r="N199" s="282">
        <f>N200</f>
        <v>0</v>
      </c>
      <c r="O199" s="282">
        <f ca="1">O200</f>
        <v>0</v>
      </c>
      <c r="P199" s="276">
        <f t="shared" ca="1" si="37"/>
        <v>0</v>
      </c>
      <c r="Q199" s="288" t="s">
        <v>2030</v>
      </c>
      <c r="R199" s="230"/>
      <c r="S199" s="224"/>
      <c r="T199" s="224"/>
      <c r="U199" s="224"/>
      <c r="V199" s="79"/>
      <c r="W199" s="79"/>
      <c r="X199" s="79"/>
      <c r="Y199" s="79"/>
      <c r="Z199" s="79"/>
      <c r="AA199" s="79"/>
      <c r="AB199" s="79"/>
      <c r="AC199" s="92"/>
      <c r="AD199" s="79"/>
      <c r="AE199" s="79"/>
      <c r="AF199" s="79"/>
      <c r="AG199" s="237"/>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6"/>
      <c r="BY199" s="79"/>
      <c r="BZ199" s="79"/>
      <c r="CA199" s="79"/>
      <c r="CB199" s="79"/>
      <c r="CC199" s="79"/>
      <c r="CD199" s="79"/>
      <c r="CE199" s="79"/>
      <c r="CF199" s="79"/>
      <c r="CG199" s="79"/>
      <c r="CH199" s="79"/>
    </row>
    <row r="200" spans="1:86" ht="16.2" hidden="1" outlineLevel="1">
      <c r="A200" s="30" t="str">
        <f>E200&amp;G200</f>
        <v>lt004_protectiontyp_prtctn</v>
      </c>
      <c r="B200" s="142" t="s">
        <v>26</v>
      </c>
      <c r="C200" s="138" t="s">
        <v>26</v>
      </c>
      <c r="D200" s="253" t="s">
        <v>40</v>
      </c>
      <c r="E200" s="257" t="s">
        <v>369</v>
      </c>
      <c r="F200" s="257"/>
      <c r="G200" s="257" t="s">
        <v>437</v>
      </c>
      <c r="H200" s="255" t="str">
        <f>VLOOKUP(A200,'2. Status Detalhe Campos'!$A$7:$G$574,7,0)</f>
        <v>6. Em implementação (re-especificação)</v>
      </c>
      <c r="I200" s="240">
        <v>45603</v>
      </c>
      <c r="J200" s="238" t="s">
        <v>1962</v>
      </c>
      <c r="K200" s="239"/>
      <c r="L200" s="280">
        <f t="array" ref="L200">MIN(IF(V200:CH200&gt;0,$V$16:$CH$16))</f>
        <v>45663</v>
      </c>
      <c r="M200" s="279">
        <f t="array" ref="M200">MAX(IF(V200:CH200&gt;0,$V$16:$CH$16))</f>
        <v>45663</v>
      </c>
      <c r="N200" s="277">
        <f>VLOOKUP(H200,Auxiliar!$B$16:$E$24,4,0)</f>
        <v>0</v>
      </c>
      <c r="O200" s="277">
        <f t="shared" ref="O200" ca="1" si="55">IF(TODAY()&lt;=L200,0,MIN((TODAY()-L200)/(M200-L200+1),100%))</f>
        <v>0</v>
      </c>
      <c r="P200" s="276">
        <f t="shared" ca="1" si="37"/>
        <v>0</v>
      </c>
      <c r="Q200" s="288" t="s">
        <v>38</v>
      </c>
      <c r="R200" s="230"/>
      <c r="S200" s="233">
        <v>4.0999999999999996</v>
      </c>
      <c r="T200" s="224">
        <f>ROUND(S200/8,1)</f>
        <v>0.5</v>
      </c>
      <c r="U200" s="224">
        <f>SUM(V200:CH200)-T200</f>
        <v>0</v>
      </c>
      <c r="V200" s="79"/>
      <c r="W200" s="79"/>
      <c r="X200" s="79"/>
      <c r="Y200" s="79"/>
      <c r="Z200" s="79"/>
      <c r="AA200" s="237"/>
      <c r="AB200" s="79"/>
      <c r="AC200" s="92"/>
      <c r="AD200" s="79"/>
      <c r="AE200" s="79"/>
      <c r="AF200" s="79"/>
      <c r="AG200" s="237"/>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c r="A201" s="30"/>
      <c r="B201" s="142" t="s">
        <v>26</v>
      </c>
      <c r="C201" s="138" t="s">
        <v>26</v>
      </c>
      <c r="D201" s="134"/>
      <c r="E201" s="263" t="s">
        <v>380</v>
      </c>
      <c r="F201" s="260" t="s">
        <v>1989</v>
      </c>
      <c r="G201" s="261">
        <f>COUNTA(G202)</f>
        <v>1</v>
      </c>
      <c r="H201" s="136"/>
      <c r="I201" s="259">
        <f>MAX(I202)</f>
        <v>45583</v>
      </c>
      <c r="J201" s="258">
        <f>MIN(J202)</f>
        <v>45589</v>
      </c>
      <c r="K201" s="258">
        <f>MIN(K202)</f>
        <v>45589</v>
      </c>
      <c r="L201" s="258">
        <f>MIN(L202)</f>
        <v>45593</v>
      </c>
      <c r="M201" s="259">
        <f>MAX(M202)</f>
        <v>45593</v>
      </c>
      <c r="N201" s="282">
        <f>N202</f>
        <v>1</v>
      </c>
      <c r="O201" s="282">
        <f ca="1">O202</f>
        <v>1</v>
      </c>
      <c r="P201" s="276">
        <f t="shared" ca="1" si="37"/>
        <v>0</v>
      </c>
      <c r="Q201" s="288" t="s">
        <v>38</v>
      </c>
      <c r="R201" s="230"/>
      <c r="S201" s="224"/>
      <c r="T201" s="224"/>
      <c r="U201" s="224"/>
      <c r="V201" s="79"/>
      <c r="W201" s="227"/>
      <c r="X201" s="79"/>
      <c r="Y201" s="266"/>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c r="A202" s="30" t="str">
        <f>E202&amp;G202</f>
        <v>lt002_instrumentlns_clltrlzd_clssfctn</v>
      </c>
      <c r="B202" s="142" t="s">
        <v>26</v>
      </c>
      <c r="C202" s="138" t="s">
        <v>26</v>
      </c>
      <c r="D202" s="253" t="s">
        <v>40</v>
      </c>
      <c r="E202" s="257" t="s">
        <v>380</v>
      </c>
      <c r="F202" s="257"/>
      <c r="G202" s="257" t="s">
        <v>385</v>
      </c>
      <c r="H202" s="255" t="str">
        <f>VLOOKUP(A202,'2. Status Detalhe Campos'!$A$7:$G$574,7,0)</f>
        <v>1. Concluído</v>
      </c>
      <c r="I202" s="229">
        <v>45583</v>
      </c>
      <c r="J202" s="153">
        <v>45589</v>
      </c>
      <c r="K202" s="153">
        <v>45589</v>
      </c>
      <c r="L202" s="280">
        <f t="array" ref="L202">MIN(IF(V202:CH202&gt;0,$V$16:$CH$16))</f>
        <v>45593</v>
      </c>
      <c r="M202" s="279">
        <f t="array" ref="M202">MAX(IF(V202:CH202&gt;0,$V$16:$CH$16))</f>
        <v>45593</v>
      </c>
      <c r="N202" s="277">
        <f>VLOOKUP(H202,Auxiliar!$B$16:$E$24,4,0)</f>
        <v>1</v>
      </c>
      <c r="O202" s="277">
        <f t="shared" ref="O202" ca="1" si="56">IF(TODAY()&lt;=L202,0,MIN((TODAY()-L202)/(M202-L202+1),100%))</f>
        <v>1</v>
      </c>
      <c r="P202" s="276">
        <f t="shared" ca="1" si="37"/>
        <v>0</v>
      </c>
      <c r="Q202" s="288" t="s">
        <v>38</v>
      </c>
      <c r="R202" s="230"/>
      <c r="S202" s="224">
        <v>4.0999999999999996</v>
      </c>
      <c r="T202" s="224">
        <f>ROUND(S202/8,1)</f>
        <v>0.5</v>
      </c>
      <c r="U202" s="224">
        <f>SUM(V202:CH202)-T202</f>
        <v>0</v>
      </c>
      <c r="V202" s="79"/>
      <c r="W202" s="227"/>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c r="A203" s="30"/>
      <c r="B203" s="142" t="s">
        <v>26</v>
      </c>
      <c r="C203" s="138" t="s">
        <v>26</v>
      </c>
      <c r="D203" s="134"/>
      <c r="E203" s="263" t="s">
        <v>380</v>
      </c>
      <c r="F203" s="260" t="s">
        <v>2010</v>
      </c>
      <c r="G203" s="261">
        <f>COUNTA(G204:G205)</f>
        <v>2</v>
      </c>
      <c r="H203" s="136"/>
      <c r="I203" s="259">
        <f>MAX(I204:I205)</f>
        <v>45595</v>
      </c>
      <c r="J203" s="258">
        <f>MIN(J204:J205)</f>
        <v>45611</v>
      </c>
      <c r="K203" s="258"/>
      <c r="L203" s="258">
        <f>MIN(L204:L205)</f>
        <v>45614</v>
      </c>
      <c r="M203" s="259">
        <f>MAX(M204:M205)</f>
        <v>45621</v>
      </c>
      <c r="N203" s="282">
        <f>SUMPRODUCT(N204:N205,T204:T205)/SUM(T204:T205)</f>
        <v>0</v>
      </c>
      <c r="O203" s="282">
        <f ca="1">SUMPRODUCT(O204:O205,T204:T205)/SUM(T204:T205)</f>
        <v>0</v>
      </c>
      <c r="P203" s="276">
        <f t="shared" ca="1" si="37"/>
        <v>0</v>
      </c>
      <c r="Q203" s="288" t="s">
        <v>38</v>
      </c>
      <c r="R203" s="230"/>
      <c r="S203" s="224"/>
      <c r="T203" s="224"/>
      <c r="U203" s="224"/>
      <c r="V203" s="79"/>
      <c r="W203" s="79"/>
      <c r="X203" s="79"/>
      <c r="Y203" s="79"/>
      <c r="Z203" s="79"/>
      <c r="AA203" s="79"/>
      <c r="AB203" s="79"/>
      <c r="AC203" s="92"/>
      <c r="AD203" s="79"/>
      <c r="AE203" s="79"/>
      <c r="AF203" s="79"/>
      <c r="AG203" s="79"/>
      <c r="AH203" s="79"/>
      <c r="AI203" s="79"/>
      <c r="AJ203" s="79"/>
      <c r="AK203" s="79"/>
      <c r="AL203" s="79"/>
      <c r="AM203" s="231"/>
      <c r="AN203" s="79"/>
      <c r="AO203" s="79"/>
      <c r="AP203" s="79"/>
      <c r="AQ203" s="79"/>
      <c r="AR203" s="79"/>
      <c r="AS203" s="79"/>
      <c r="AT203" s="79"/>
      <c r="AU203" s="79"/>
      <c r="AV203" s="79"/>
      <c r="AW203" s="266"/>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c r="A204" s="30" t="str">
        <f t="shared" ref="A204:A214" si="57">E204&amp;G204</f>
        <v>lt002_instrumentrsk_mtgtd_cct</v>
      </c>
      <c r="B204" s="142" t="s">
        <v>26</v>
      </c>
      <c r="C204" s="138" t="s">
        <v>26</v>
      </c>
      <c r="D204" s="253" t="s">
        <v>40</v>
      </c>
      <c r="E204" s="257" t="s">
        <v>380</v>
      </c>
      <c r="F204" s="257"/>
      <c r="G204" s="257" t="s">
        <v>381</v>
      </c>
      <c r="H204" s="255" t="str">
        <f>VLOOKUP(A204,'2. Status Detalhe Campos'!$A$7:$G$574,7,0)</f>
        <v>6. Em implementação (re-especificação)</v>
      </c>
      <c r="I204" s="153">
        <v>45595</v>
      </c>
      <c r="J204" s="235">
        <v>45611</v>
      </c>
      <c r="K204" s="229"/>
      <c r="L204" s="280">
        <f t="array" ref="L204">MIN(IF(V204:CH204&gt;0,$V$16:$CH$16))</f>
        <v>45621</v>
      </c>
      <c r="M204" s="279">
        <f t="array" ref="M204">MAX(IF(V204:CH204&gt;0,$V$16:$CH$16))</f>
        <v>45621</v>
      </c>
      <c r="N204" s="277">
        <f>VLOOKUP(H204,Auxiliar!$B$16:$E$24,4,0)</f>
        <v>0</v>
      </c>
      <c r="O204" s="277">
        <f t="shared" ref="O204:O205" ca="1" si="58">IF(TODAY()&lt;=L204,0,MIN((TODAY()-L204)/(M204-L204+1),100%))</f>
        <v>0</v>
      </c>
      <c r="P204" s="276">
        <f t="shared" ca="1" si="37"/>
        <v>0</v>
      </c>
      <c r="Q204" s="288" t="s">
        <v>38</v>
      </c>
      <c r="R204" s="230"/>
      <c r="S204" s="224">
        <v>4.0999999999999996</v>
      </c>
      <c r="T204" s="224">
        <f t="shared" si="43"/>
        <v>0.5</v>
      </c>
      <c r="U204" s="224">
        <f>SUM(V204:CH204)-T204</f>
        <v>0</v>
      </c>
      <c r="V204" s="79"/>
      <c r="W204" s="79"/>
      <c r="X204" s="79"/>
      <c r="Y204" s="79"/>
      <c r="Z204" s="79"/>
      <c r="AA204" s="237"/>
      <c r="AB204" s="79"/>
      <c r="AC204" s="92"/>
      <c r="AD204" s="79"/>
      <c r="AE204" s="79"/>
      <c r="AF204" s="79"/>
      <c r="AG204" s="79"/>
      <c r="AH204" s="79"/>
      <c r="AI204" s="79"/>
      <c r="AJ204" s="79"/>
      <c r="AK204" s="79"/>
      <c r="AL204" s="79"/>
      <c r="AM204" s="231"/>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E205&amp;G205</f>
        <v>lt002_instrumentsstnbl_ctgry_txnmy</v>
      </c>
      <c r="B205" s="142" t="s">
        <v>26</v>
      </c>
      <c r="C205" s="138" t="s">
        <v>26</v>
      </c>
      <c r="D205" s="253" t="s">
        <v>40</v>
      </c>
      <c r="E205" s="257" t="s">
        <v>380</v>
      </c>
      <c r="F205" s="257"/>
      <c r="G205" s="257" t="s">
        <v>389</v>
      </c>
      <c r="H205" s="255" t="str">
        <f>VLOOKUP(A205,'2. Status Detalhe Campos'!$A$7:$G$574,7,0)</f>
        <v>6. Em implementação (re-especificação)</v>
      </c>
      <c r="I205" s="153">
        <v>45590</v>
      </c>
      <c r="J205" s="235">
        <v>45611</v>
      </c>
      <c r="K205" s="229"/>
      <c r="L205" s="280">
        <f t="array" ref="L205">MIN(IF(V205:CH205&gt;0,$V$16:$CH$16))</f>
        <v>45614</v>
      </c>
      <c r="M205" s="279">
        <f t="array" ref="M205">MAX(IF(V205:CH205&gt;0,$V$16:$CH$16))</f>
        <v>45614</v>
      </c>
      <c r="N205" s="277">
        <f>VLOOKUP(H205,Auxiliar!$B$16:$E$24,4,0)</f>
        <v>0</v>
      </c>
      <c r="O205" s="277">
        <f t="shared" ca="1" si="58"/>
        <v>0</v>
      </c>
      <c r="P205" s="276">
        <f t="shared" ca="1" si="37"/>
        <v>0</v>
      </c>
      <c r="Q205" s="288" t="s">
        <v>38</v>
      </c>
      <c r="R205" s="230"/>
      <c r="S205" s="224">
        <v>4.0999999999999996</v>
      </c>
      <c r="T205" s="224">
        <f>ROUND(S205/8,1)</f>
        <v>0.5</v>
      </c>
      <c r="U205" s="224">
        <f>SUM(V205:CH205)-T205</f>
        <v>0</v>
      </c>
      <c r="V205" s="79"/>
      <c r="W205" s="79"/>
      <c r="X205" s="237"/>
      <c r="Y205" s="79"/>
      <c r="Z205" s="79"/>
      <c r="AA205" s="79"/>
      <c r="AB205" s="79"/>
      <c r="AC205" s="92"/>
      <c r="AD205" s="79"/>
      <c r="AE205" s="79"/>
      <c r="AF205" s="79"/>
      <c r="AG205" s="79"/>
      <c r="AH205" s="79"/>
      <c r="AI205" s="79"/>
      <c r="AJ205" s="79"/>
      <c r="AK205" s="79"/>
      <c r="AL205" s="79"/>
      <c r="AM205" s="231"/>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c r="A206" s="30"/>
      <c r="B206" s="142" t="s">
        <v>26</v>
      </c>
      <c r="C206" s="138" t="s">
        <v>26</v>
      </c>
      <c r="D206" s="134"/>
      <c r="E206" s="263" t="s">
        <v>380</v>
      </c>
      <c r="F206" s="260" t="s">
        <v>2013</v>
      </c>
      <c r="G206" s="261">
        <f>COUNTA(G207:G209)</f>
        <v>3</v>
      </c>
      <c r="H206" s="136"/>
      <c r="I206" s="264">
        <f>MAX(I207:I209)</f>
        <v>45603</v>
      </c>
      <c r="J206" s="262">
        <f>MIN(J207:J209)</f>
        <v>45611</v>
      </c>
      <c r="K206" s="262"/>
      <c r="L206" s="259">
        <f>MIN(L207:L209)</f>
        <v>45642</v>
      </c>
      <c r="M206" s="259">
        <f>MAX(M207:M209)</f>
        <v>45643</v>
      </c>
      <c r="N206" s="282">
        <f>SUMPRODUCT(N207:N209,T207:T209)/SUM(T207:T209)</f>
        <v>0</v>
      </c>
      <c r="O206" s="282">
        <f ca="1">SUMPRODUCT(O207:O209,T207:T209)/SUM(T207:T209)</f>
        <v>0</v>
      </c>
      <c r="P206" s="276">
        <f t="shared" ca="1" si="37"/>
        <v>0</v>
      </c>
      <c r="Q206" s="288" t="s">
        <v>2031</v>
      </c>
      <c r="R206" s="230"/>
      <c r="S206" s="224"/>
      <c r="T206" s="224"/>
      <c r="U206" s="224"/>
      <c r="V206" s="79"/>
      <c r="W206" s="79"/>
      <c r="X206" s="79"/>
      <c r="Y206" s="237"/>
      <c r="Z206" s="79"/>
      <c r="AA206" s="79"/>
      <c r="AB206" s="79"/>
      <c r="AC206" s="92"/>
      <c r="AD206" s="79"/>
      <c r="AE206" s="79"/>
      <c r="AF206" s="79"/>
      <c r="AG206" s="237"/>
      <c r="AH206" s="79"/>
      <c r="AI206" s="79"/>
      <c r="AJ206" s="79"/>
      <c r="AK206" s="79"/>
      <c r="AL206" s="79"/>
      <c r="AM206" s="231"/>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c r="A207" s="30" t="str">
        <f>E207&amp;G207</f>
        <v>lt002_instrumentmthd_usd_instrmnt_scp_1</v>
      </c>
      <c r="B207" s="142" t="s">
        <v>26</v>
      </c>
      <c r="C207" s="138" t="s">
        <v>26</v>
      </c>
      <c r="D207" s="253" t="s">
        <v>40</v>
      </c>
      <c r="E207" s="257" t="s">
        <v>380</v>
      </c>
      <c r="F207" s="257"/>
      <c r="G207" s="257" t="s">
        <v>386</v>
      </c>
      <c r="H207" s="255" t="str">
        <f>VLOOKUP(A207,'2. Status Detalhe Campos'!$A$7:$G$574,7,0)</f>
        <v>6. Em implementação (re-especificação)</v>
      </c>
      <c r="I207" s="240">
        <v>45603</v>
      </c>
      <c r="J207" s="238">
        <v>45611</v>
      </c>
      <c r="K207" s="239"/>
      <c r="L207" s="280">
        <f t="array" ref="L207">MIN(IF(V207:CH207&gt;0,$V$16:$CH$16))</f>
        <v>45642</v>
      </c>
      <c r="M207" s="279">
        <f t="array" ref="M207">MAX(IF(V207:CH207&gt;0,$V$16:$CH$16))</f>
        <v>45642</v>
      </c>
      <c r="N207" s="277">
        <f>VLOOKUP(H207,Auxiliar!$B$16:$E$24,4,0)</f>
        <v>0</v>
      </c>
      <c r="O207" s="277">
        <f t="shared" ref="O207:O209" ca="1" si="59">IF(TODAY()&lt;=L207,0,MIN((TODAY()-L207)/(M207-L207+1),100%))</f>
        <v>0</v>
      </c>
      <c r="P207" s="276">
        <f t="shared" ca="1" si="37"/>
        <v>0</v>
      </c>
      <c r="Q207" s="276"/>
      <c r="R207" s="230"/>
      <c r="S207" s="224">
        <v>4.0999999999999996</v>
      </c>
      <c r="T207" s="224">
        <f>ROUND(S207/8,1)</f>
        <v>0.5</v>
      </c>
      <c r="U207" s="224">
        <f>SUM(V207:CH207)-T207</f>
        <v>0</v>
      </c>
      <c r="V207" s="79"/>
      <c r="W207" s="79"/>
      <c r="X207" s="79"/>
      <c r="Y207" s="237"/>
      <c r="Z207" s="79"/>
      <c r="AA207" s="79"/>
      <c r="AB207" s="79"/>
      <c r="AC207" s="92"/>
      <c r="AD207" s="79"/>
      <c r="AE207" s="79"/>
      <c r="AF207" s="79"/>
      <c r="AG207" s="237"/>
      <c r="AH207" s="79"/>
      <c r="AI207" s="79"/>
      <c r="AJ207" s="79"/>
      <c r="AK207" s="79"/>
      <c r="AL207" s="79"/>
      <c r="AM207" s="231"/>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6"/>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lt002_instrumentmthd_usd_instrmnt_scp_2</v>
      </c>
      <c r="B208" s="142" t="s">
        <v>26</v>
      </c>
      <c r="C208" s="138" t="s">
        <v>26</v>
      </c>
      <c r="D208" s="253" t="s">
        <v>40</v>
      </c>
      <c r="E208" s="257" t="s">
        <v>380</v>
      </c>
      <c r="F208" s="257"/>
      <c r="G208" s="257" t="s">
        <v>387</v>
      </c>
      <c r="H208" s="255" t="str">
        <f>VLOOKUP(A208,'2. Status Detalhe Campos'!$A$7:$G$574,7,0)</f>
        <v>6. Em implementação (re-especificação)</v>
      </c>
      <c r="I208" s="240">
        <v>45603</v>
      </c>
      <c r="J208" s="238">
        <v>45611</v>
      </c>
      <c r="K208" s="239"/>
      <c r="L208" s="280">
        <f t="array" ref="L208">MIN(IF(V208:CH208&gt;0,$V$16:$CH$16))</f>
        <v>45643</v>
      </c>
      <c r="M208" s="279">
        <f t="array" ref="M208">MAX(IF(V208:CH208&gt;0,$V$16:$CH$16))</f>
        <v>45643</v>
      </c>
      <c r="N208" s="277">
        <f>VLOOKUP(H208,Auxiliar!$B$16:$E$24,4,0)</f>
        <v>0</v>
      </c>
      <c r="O208" s="277">
        <f t="shared" ca="1" si="59"/>
        <v>0</v>
      </c>
      <c r="P208" s="276">
        <f t="shared" ca="1" si="37"/>
        <v>0</v>
      </c>
      <c r="Q208" s="276"/>
      <c r="R208" s="230"/>
      <c r="S208" s="224">
        <v>4.0999999999999996</v>
      </c>
      <c r="T208" s="224">
        <f>ROUND(S208/8,1)</f>
        <v>0.5</v>
      </c>
      <c r="U208" s="224">
        <f>SUM(V208:CH208)-T208</f>
        <v>0</v>
      </c>
      <c r="V208" s="79"/>
      <c r="W208" s="79"/>
      <c r="X208" s="79"/>
      <c r="Y208" s="237"/>
      <c r="Z208" s="79"/>
      <c r="AA208" s="79"/>
      <c r="AB208" s="79"/>
      <c r="AC208" s="92"/>
      <c r="AD208" s="79"/>
      <c r="AE208" s="79"/>
      <c r="AF208" s="79"/>
      <c r="AG208" s="237"/>
      <c r="AH208" s="79"/>
      <c r="AI208" s="79"/>
      <c r="AJ208" s="79"/>
      <c r="AK208" s="79"/>
      <c r="AL208" s="79"/>
      <c r="AM208" s="231"/>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lt002_instrumentmthd_usd_instrmnt_scp_3</v>
      </c>
      <c r="B209" s="142" t="s">
        <v>26</v>
      </c>
      <c r="C209" s="138" t="s">
        <v>26</v>
      </c>
      <c r="D209" s="253" t="s">
        <v>40</v>
      </c>
      <c r="E209" s="257" t="s">
        <v>380</v>
      </c>
      <c r="F209" s="257"/>
      <c r="G209" s="257" t="s">
        <v>388</v>
      </c>
      <c r="H209" s="255" t="str">
        <f>VLOOKUP(A209,'2. Status Detalhe Campos'!$A$7:$G$574,7,0)</f>
        <v>6. Em implementação (re-especificação)</v>
      </c>
      <c r="I209" s="240">
        <v>45603</v>
      </c>
      <c r="J209" s="238">
        <v>45611</v>
      </c>
      <c r="K209" s="239"/>
      <c r="L209" s="280">
        <f t="array" ref="L209">MIN(IF(V209:CH209&gt;0,$V$16:$CH$16))</f>
        <v>45643</v>
      </c>
      <c r="M209" s="279">
        <f t="array" ref="M209">MAX(IF(V209:CH209&gt;0,$V$16:$CH$16))</f>
        <v>45643</v>
      </c>
      <c r="N209" s="277">
        <f>VLOOKUP(H209,Auxiliar!$B$16:$E$24,4,0)</f>
        <v>0</v>
      </c>
      <c r="O209" s="277">
        <f t="shared" ca="1" si="59"/>
        <v>0</v>
      </c>
      <c r="P209" s="276">
        <f t="shared" ca="1" si="37"/>
        <v>0</v>
      </c>
      <c r="Q209" s="276"/>
      <c r="R209" s="230"/>
      <c r="S209" s="224">
        <v>4.0999999999999996</v>
      </c>
      <c r="T209" s="224">
        <f>ROUND(S209/8,1)</f>
        <v>0.5</v>
      </c>
      <c r="U209" s="224">
        <f>SUM(V209:CH209)-T209</f>
        <v>0</v>
      </c>
      <c r="V209" s="79"/>
      <c r="W209" s="79"/>
      <c r="X209" s="79"/>
      <c r="Y209" s="237"/>
      <c r="Z209" s="79"/>
      <c r="AA209" s="79"/>
      <c r="AB209" s="79"/>
      <c r="AC209" s="92"/>
      <c r="AD209" s="79"/>
      <c r="AE209" s="79"/>
      <c r="AF209" s="79"/>
      <c r="AG209" s="237"/>
      <c r="AH209" s="79"/>
      <c r="AI209" s="79"/>
      <c r="AJ209" s="79"/>
      <c r="AK209" s="79"/>
      <c r="AL209" s="79"/>
      <c r="AM209" s="231"/>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c r="A210" s="30"/>
      <c r="B210" s="142" t="s">
        <v>26</v>
      </c>
      <c r="C210" s="138" t="s">
        <v>26</v>
      </c>
      <c r="D210" s="134"/>
      <c r="E210" s="263" t="s">
        <v>380</v>
      </c>
      <c r="F210" s="260" t="s">
        <v>2011</v>
      </c>
      <c r="G210" s="261">
        <f>COUNTA(G211:G214)</f>
        <v>4</v>
      </c>
      <c r="H210" s="136"/>
      <c r="I210" s="259">
        <f>MAX(I211)</f>
        <v>45595</v>
      </c>
      <c r="J210" s="258">
        <f>MIN(J211)</f>
        <v>45624</v>
      </c>
      <c r="K210" s="258"/>
      <c r="L210" s="258">
        <f>MIN(L211)</f>
        <v>45645</v>
      </c>
      <c r="M210" s="259">
        <f>MAX(M211)</f>
        <v>45645</v>
      </c>
      <c r="N210" s="282">
        <f>SUMPRODUCT(N211:N214,T211:T214)/SUM(T211:T214)</f>
        <v>0.2</v>
      </c>
      <c r="O210" s="282">
        <f ca="1">SUMPRODUCT(O211:O214,T211:T214)/SUM(T211:T214)</f>
        <v>0</v>
      </c>
      <c r="P210" s="276">
        <f t="shared" ref="P210:P232" ca="1" si="60">N210-O210</f>
        <v>0.2</v>
      </c>
      <c r="Q210" s="288" t="s">
        <v>38</v>
      </c>
      <c r="R210" s="230"/>
      <c r="S210" s="224"/>
      <c r="T210" s="224"/>
      <c r="U210" s="224"/>
      <c r="V210" s="79"/>
      <c r="W210" s="79"/>
      <c r="X210" s="79"/>
      <c r="Y210" s="79"/>
      <c r="Z210" s="79"/>
      <c r="AA210" s="237"/>
      <c r="AB210" s="79"/>
      <c r="AC210" s="92"/>
      <c r="AD210" s="79"/>
      <c r="AE210" s="79"/>
      <c r="AF210" s="79"/>
      <c r="AG210" s="79"/>
      <c r="AH210" s="79"/>
      <c r="AI210" s="79"/>
      <c r="AJ210" s="79"/>
      <c r="AK210" s="79"/>
      <c r="AL210" s="79"/>
      <c r="AM210" s="79"/>
      <c r="AN210" s="79"/>
      <c r="AO210" s="79"/>
      <c r="AP210" s="79"/>
      <c r="AQ210" s="79"/>
      <c r="AR210" s="79"/>
      <c r="AS210" s="79"/>
      <c r="AT210" s="79"/>
      <c r="AU210" s="79"/>
      <c r="AV210" s="231"/>
      <c r="AW210" s="79"/>
      <c r="AX210" s="79"/>
      <c r="AY210" s="79"/>
      <c r="AZ210" s="79"/>
      <c r="BA210" s="79"/>
      <c r="BB210" s="79"/>
      <c r="BC210" s="79"/>
      <c r="BD210" s="79"/>
      <c r="BE210" s="79"/>
      <c r="BF210" s="79"/>
      <c r="BG210" s="79"/>
      <c r="BH210" s="79"/>
      <c r="BI210" s="79"/>
      <c r="BJ210" s="79"/>
      <c r="BK210" s="79"/>
      <c r="BL210" s="266"/>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c r="A211" s="30" t="str">
        <f>E211&amp;G211</f>
        <v>lt002_instrumentrsk_mtgtd_ccp</v>
      </c>
      <c r="B211" s="142" t="s">
        <v>26</v>
      </c>
      <c r="C211" s="138" t="s">
        <v>26</v>
      </c>
      <c r="D211" s="253" t="s">
        <v>40</v>
      </c>
      <c r="E211" s="257" t="s">
        <v>380</v>
      </c>
      <c r="F211" s="257"/>
      <c r="G211" s="257" t="s">
        <v>382</v>
      </c>
      <c r="H211" s="255" t="str">
        <f>VLOOKUP(A211,'2. Status Detalhe Campos'!$A$7:$G$574,7,0)</f>
        <v>6. Em implementação (re-especificação)</v>
      </c>
      <c r="I211" s="153">
        <v>45595</v>
      </c>
      <c r="J211" s="235">
        <v>45624</v>
      </c>
      <c r="K211" s="229"/>
      <c r="L211" s="280">
        <f t="array" ref="L211">MIN(IF(V211:CH211&gt;0,$V$16:$CH$16))</f>
        <v>45645</v>
      </c>
      <c r="M211" s="279">
        <f t="array" ref="M211">MAX(IF(V211:CH211&gt;0,$V$16:$CH$16))</f>
        <v>45645</v>
      </c>
      <c r="N211" s="277">
        <f>VLOOKUP(H211,Auxiliar!$B$16:$E$24,4,0)</f>
        <v>0</v>
      </c>
      <c r="O211" s="277">
        <f t="shared" ref="O211:O214" ca="1" si="61">IF(TODAY()&lt;=L211,0,MIN((TODAY()-L211)/(M211-L211+1),100%))</f>
        <v>0</v>
      </c>
      <c r="P211" s="276">
        <f t="shared" ca="1" si="60"/>
        <v>0</v>
      </c>
      <c r="Q211" s="276"/>
      <c r="R211" s="230"/>
      <c r="S211" s="224">
        <v>4.0999999999999996</v>
      </c>
      <c r="T211" s="224">
        <f>ROUND(S211/8,1)</f>
        <v>0.5</v>
      </c>
      <c r="U211" s="224">
        <f>SUM(V211:CH211)-T211</f>
        <v>0</v>
      </c>
      <c r="V211" s="79"/>
      <c r="W211" s="79"/>
      <c r="X211" s="79"/>
      <c r="Y211" s="79"/>
      <c r="Z211" s="79"/>
      <c r="AA211" s="237"/>
      <c r="AB211" s="79"/>
      <c r="AC211" s="92"/>
      <c r="AD211" s="79"/>
      <c r="AE211" s="79"/>
      <c r="AF211" s="79"/>
      <c r="AG211" s="79"/>
      <c r="AH211" s="79"/>
      <c r="AI211" s="79"/>
      <c r="AJ211" s="79"/>
      <c r="AK211" s="79"/>
      <c r="AL211" s="79"/>
      <c r="AM211" s="79"/>
      <c r="AN211" s="79"/>
      <c r="AO211" s="79"/>
      <c r="AP211" s="79"/>
      <c r="AQ211" s="79"/>
      <c r="AR211" s="79"/>
      <c r="AS211" s="79"/>
      <c r="AT211" s="79"/>
      <c r="AU211" s="79"/>
      <c r="AV211" s="231"/>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 t="shared" si="57"/>
        <v>lt002_instrumentgrss_intrst_incm</v>
      </c>
      <c r="B212" s="142" t="s">
        <v>26</v>
      </c>
      <c r="C212" s="138" t="s">
        <v>26</v>
      </c>
      <c r="D212" s="253" t="s">
        <v>40</v>
      </c>
      <c r="E212" s="257" t="s">
        <v>380</v>
      </c>
      <c r="F212" s="257"/>
      <c r="G212" s="257" t="s">
        <v>421</v>
      </c>
      <c r="H212" s="255" t="str">
        <f>VLOOKUP(A212,'2. Status Detalhe Campos'!$A$7:$G$574,7,0)</f>
        <v>2.1 Em Teste</v>
      </c>
      <c r="I212" s="153" t="s">
        <v>38</v>
      </c>
      <c r="J212" s="153" t="s">
        <v>38</v>
      </c>
      <c r="K212" s="229"/>
      <c r="L212" s="280">
        <f t="array" ref="L212">MIN(IF(V212:CH212&gt;0,$V$16:$CH$16))</f>
        <v>45609</v>
      </c>
      <c r="M212" s="279">
        <f t="array" ref="M212">MAX(IF(V212:CH212&gt;0,$V$16:$CH$16))</f>
        <v>45610</v>
      </c>
      <c r="N212" s="277">
        <f>VLOOKUP(H212,Auxiliar!$B$16:$E$24,4,0)</f>
        <v>0.25</v>
      </c>
      <c r="O212" s="277">
        <f t="shared" ca="1" si="61"/>
        <v>0</v>
      </c>
      <c r="P212" s="276">
        <f t="shared" ca="1" si="60"/>
        <v>0.25</v>
      </c>
      <c r="Q212" s="276"/>
      <c r="R212" s="230"/>
      <c r="S212" s="241">
        <v>8</v>
      </c>
      <c r="T212" s="224">
        <f>ROUND(S212/8,1)</f>
        <v>1</v>
      </c>
      <c r="U212" s="224">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7"/>
        <v>lt002_instrumentgrss_cmmssn_incm</v>
      </c>
      <c r="B213" s="142" t="s">
        <v>26</v>
      </c>
      <c r="C213" s="138" t="s">
        <v>26</v>
      </c>
      <c r="D213" s="253" t="s">
        <v>40</v>
      </c>
      <c r="E213" s="257" t="s">
        <v>380</v>
      </c>
      <c r="F213" s="257"/>
      <c r="G213" s="257" t="s">
        <v>422</v>
      </c>
      <c r="H213" s="255" t="str">
        <f>VLOOKUP(A213,'2. Status Detalhe Campos'!$A$7:$G$574,7,0)</f>
        <v>2.1 Em Teste</v>
      </c>
      <c r="I213" s="153" t="s">
        <v>38</v>
      </c>
      <c r="J213" s="153" t="s">
        <v>38</v>
      </c>
      <c r="K213" s="229"/>
      <c r="L213" s="280">
        <f t="array" ref="L213">MIN(IF(V213:CH213&gt;0,$V$16:$CH$16))</f>
        <v>45610</v>
      </c>
      <c r="M213" s="279">
        <f t="array" ref="M213">MAX(IF(V213:CH213&gt;0,$V$16:$CH$16))</f>
        <v>45610</v>
      </c>
      <c r="N213" s="277">
        <f>VLOOKUP(H213,Auxiliar!$B$16:$E$24,4,0)</f>
        <v>0.25</v>
      </c>
      <c r="O213" s="277">
        <f t="shared" ca="1" si="61"/>
        <v>0</v>
      </c>
      <c r="P213" s="276">
        <f t="shared" ca="1" si="60"/>
        <v>0.25</v>
      </c>
      <c r="Q213" s="276"/>
      <c r="R213" s="230"/>
      <c r="S213" s="241">
        <v>4</v>
      </c>
      <c r="T213" s="224">
        <f>ROUND(S213/8,1)</f>
        <v>0.5</v>
      </c>
      <c r="U213" s="224">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7"/>
        <v>lt002_instrumentgrss_cmmssn_incm_off_blnc</v>
      </c>
      <c r="B214" s="142" t="s">
        <v>26</v>
      </c>
      <c r="C214" s="138" t="s">
        <v>26</v>
      </c>
      <c r="D214" s="253" t="s">
        <v>40</v>
      </c>
      <c r="E214" s="257" t="s">
        <v>380</v>
      </c>
      <c r="F214" s="257"/>
      <c r="G214" s="257" t="s">
        <v>423</v>
      </c>
      <c r="H214" s="255" t="str">
        <f>VLOOKUP(A214,'2. Status Detalhe Campos'!$A$7:$G$574,7,0)</f>
        <v>2.1 Em Teste</v>
      </c>
      <c r="I214" s="153" t="s">
        <v>38</v>
      </c>
      <c r="J214" s="153" t="s">
        <v>38</v>
      </c>
      <c r="K214" s="229"/>
      <c r="L214" s="280">
        <f t="array" ref="L214">MIN(IF(V214:CH214&gt;0,$V$16:$CH$16))</f>
        <v>45611</v>
      </c>
      <c r="M214" s="279">
        <f t="array" ref="M214">MAX(IF(V214:CH214&gt;0,$V$16:$CH$16))</f>
        <v>45611</v>
      </c>
      <c r="N214" s="277">
        <f>VLOOKUP(H214,Auxiliar!$B$16:$E$24,4,0)</f>
        <v>0.25</v>
      </c>
      <c r="O214" s="277">
        <f t="shared" ca="1" si="61"/>
        <v>0</v>
      </c>
      <c r="P214" s="276">
        <f t="shared" ca="1" si="60"/>
        <v>0.25</v>
      </c>
      <c r="Q214" s="276"/>
      <c r="R214" s="230"/>
      <c r="S214" s="241">
        <v>4</v>
      </c>
      <c r="T214" s="224">
        <f>ROUND(S214/8,1)</f>
        <v>0.5</v>
      </c>
      <c r="U214" s="224">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c r="A215" s="30"/>
      <c r="B215" s="142" t="s">
        <v>26</v>
      </c>
      <c r="C215" s="138" t="s">
        <v>26</v>
      </c>
      <c r="D215" s="134"/>
      <c r="E215" s="263" t="s">
        <v>1966</v>
      </c>
      <c r="F215" s="260" t="s">
        <v>2014</v>
      </c>
      <c r="G215" s="261">
        <f>COUNTA(G216:G225)</f>
        <v>10</v>
      </c>
      <c r="H215" s="136"/>
      <c r="I215" s="264">
        <f>MAX(I216:I225)</f>
        <v>45603</v>
      </c>
      <c r="J215" s="262">
        <f>MIN(J216:J225)</f>
        <v>45611</v>
      </c>
      <c r="K215" s="239"/>
      <c r="L215" s="259">
        <f>MIN(L216:L225)</f>
        <v>45636</v>
      </c>
      <c r="M215" s="259">
        <f>MAX(M216:M225)</f>
        <v>45642</v>
      </c>
      <c r="N215" s="282">
        <f>SUMPRODUCT(N216:N225,T216:T225)/SUM(T216:T225)</f>
        <v>0</v>
      </c>
      <c r="O215" s="282">
        <f ca="1">SUMPRODUCT(O216:O225,T216:T225)/SUM(T216:T225)</f>
        <v>0</v>
      </c>
      <c r="P215" s="276">
        <f t="shared" ca="1" si="60"/>
        <v>0</v>
      </c>
      <c r="Q215" s="288" t="s">
        <v>2031</v>
      </c>
      <c r="R215" s="230"/>
      <c r="S215" s="224"/>
      <c r="T215" s="224"/>
      <c r="U215" s="224"/>
      <c r="V215" s="79"/>
      <c r="W215" s="79"/>
      <c r="X215" s="79"/>
      <c r="Y215" s="237"/>
      <c r="Z215" s="79"/>
      <c r="AA215" s="79"/>
      <c r="AB215" s="79"/>
      <c r="AC215" s="92"/>
      <c r="AD215" s="79"/>
      <c r="AE215" s="79"/>
      <c r="AF215" s="79"/>
      <c r="AG215" s="237"/>
      <c r="AH215" s="79"/>
      <c r="AI215" s="79"/>
      <c r="AJ215" s="79"/>
      <c r="AK215" s="79"/>
      <c r="AL215" s="79"/>
      <c r="AM215" s="231"/>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6"/>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c r="A216" s="30" t="str">
        <f t="shared" ref="A216:A225" si="62">E216&amp;G216</f>
        <v>lt827_mthd_usd_instrmntambito</v>
      </c>
      <c r="B216" s="142" t="s">
        <v>26</v>
      </c>
      <c r="C216" s="138" t="s">
        <v>26</v>
      </c>
      <c r="D216" s="253" t="s">
        <v>40</v>
      </c>
      <c r="E216" s="257" t="s">
        <v>1966</v>
      </c>
      <c r="F216" s="257"/>
      <c r="G216" s="257" t="s">
        <v>391</v>
      </c>
      <c r="H216" s="255" t="str">
        <f>VLOOKUP(A216,'2. Status Detalhe Campos'!$A$7:$G$574,7,0)</f>
        <v>6. Em implementação (re-especificação)</v>
      </c>
      <c r="I216" s="240">
        <v>45603</v>
      </c>
      <c r="J216" s="238">
        <v>45611</v>
      </c>
      <c r="K216" s="239"/>
      <c r="L216" s="280">
        <f t="array" ref="L216">MIN(IF(V216:CH216&gt;0,$V$16:$CH$16))</f>
        <v>45636</v>
      </c>
      <c r="M216" s="279">
        <f t="array" ref="M216">MAX(IF(V216:CH216&gt;0,$V$16:$CH$16))</f>
        <v>45636</v>
      </c>
      <c r="N216" s="277">
        <f>VLOOKUP(H216,Auxiliar!$B$16:$E$24,4,0)</f>
        <v>0</v>
      </c>
      <c r="O216" s="277">
        <f t="shared" ref="O216:O225" ca="1" si="63">IF(TODAY()&lt;=L216,0,MIN((TODAY()-L216)/(M216-L216+1),100%))</f>
        <v>0</v>
      </c>
      <c r="P216" s="276">
        <f t="shared" ca="1" si="60"/>
        <v>0</v>
      </c>
      <c r="Q216" s="288" t="s">
        <v>38</v>
      </c>
      <c r="R216" s="230"/>
      <c r="S216" s="224">
        <v>4.0999999999999996</v>
      </c>
      <c r="T216" s="224">
        <f t="shared" si="43"/>
        <v>0.5</v>
      </c>
      <c r="U216" s="224">
        <f t="shared" ref="U216:U225" si="64">SUM(V216:CH216)-T216</f>
        <v>0</v>
      </c>
      <c r="V216" s="79"/>
      <c r="W216" s="79"/>
      <c r="X216" s="79"/>
      <c r="Y216" s="237"/>
      <c r="Z216" s="79"/>
      <c r="AA216" s="79"/>
      <c r="AB216" s="79"/>
      <c r="AC216" s="92"/>
      <c r="AD216" s="79"/>
      <c r="AE216" s="79"/>
      <c r="AF216" s="79"/>
      <c r="AG216" s="237"/>
      <c r="AH216" s="79"/>
      <c r="AI216" s="79"/>
      <c r="AJ216" s="79"/>
      <c r="AK216" s="79"/>
      <c r="AL216" s="79"/>
      <c r="AM216" s="231"/>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si="62"/>
        <v>lt827_mthd_usd_instrmntref_date</v>
      </c>
      <c r="B217" s="142" t="s">
        <v>26</v>
      </c>
      <c r="C217" s="138" t="s">
        <v>26</v>
      </c>
      <c r="D217" s="253" t="s">
        <v>40</v>
      </c>
      <c r="E217" s="257" t="s">
        <v>1966</v>
      </c>
      <c r="F217" s="257"/>
      <c r="G217" s="257" t="s">
        <v>208</v>
      </c>
      <c r="H217" s="255" t="str">
        <f>VLOOKUP(A217,'2. Status Detalhe Campos'!$A$7:$G$574,7,0)</f>
        <v>6. Em implementação (re-especificação)</v>
      </c>
      <c r="I217" s="240">
        <v>45603</v>
      </c>
      <c r="J217" s="238">
        <v>45611</v>
      </c>
      <c r="K217" s="239"/>
      <c r="L217" s="280">
        <f t="array" ref="L217">MIN(IF(V217:CH217&gt;0,$V$16:$CH$16))</f>
        <v>45636</v>
      </c>
      <c r="M217" s="279">
        <f t="array" ref="M217">MAX(IF(V217:CH217&gt;0,$V$16:$CH$16))</f>
        <v>45636</v>
      </c>
      <c r="N217" s="277">
        <f>VLOOKUP(H217,Auxiliar!$B$16:$E$24,4,0)</f>
        <v>0</v>
      </c>
      <c r="O217" s="277">
        <f t="shared" ca="1" si="63"/>
        <v>0</v>
      </c>
      <c r="P217" s="276">
        <f t="shared" ca="1" si="60"/>
        <v>0</v>
      </c>
      <c r="Q217" s="288" t="s">
        <v>38</v>
      </c>
      <c r="R217" s="230"/>
      <c r="S217" s="224">
        <v>4.0999999999999996</v>
      </c>
      <c r="T217" s="224">
        <f t="shared" si="43"/>
        <v>0.5</v>
      </c>
      <c r="U217" s="224">
        <f t="shared" si="64"/>
        <v>0</v>
      </c>
      <c r="V217" s="79"/>
      <c r="W217" s="79"/>
      <c r="X217" s="79"/>
      <c r="Y217" s="237"/>
      <c r="Z217" s="79"/>
      <c r="AA217" s="79"/>
      <c r="AB217" s="79"/>
      <c r="AC217" s="92"/>
      <c r="AD217" s="79"/>
      <c r="AE217" s="79"/>
      <c r="AF217" s="79"/>
      <c r="AG217" s="237"/>
      <c r="AH217" s="79"/>
      <c r="AI217" s="79"/>
      <c r="AJ217" s="79"/>
      <c r="AK217" s="79"/>
      <c r="AL217" s="79"/>
      <c r="AM217" s="231"/>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2"/>
        <v>lt827_mthd_usd_instrmntordem</v>
      </c>
      <c r="B218" s="142" t="s">
        <v>26</v>
      </c>
      <c r="C218" s="138" t="s">
        <v>26</v>
      </c>
      <c r="D218" s="253" t="s">
        <v>40</v>
      </c>
      <c r="E218" s="257" t="s">
        <v>1966</v>
      </c>
      <c r="F218" s="257"/>
      <c r="G218" s="257" t="s">
        <v>211</v>
      </c>
      <c r="H218" s="255" t="str">
        <f>VLOOKUP(A218,'2. Status Detalhe Campos'!$A$7:$G$574,7,0)</f>
        <v>6. Em implementação (re-especificação)</v>
      </c>
      <c r="I218" s="240">
        <v>45603</v>
      </c>
      <c r="J218" s="238">
        <v>45611</v>
      </c>
      <c r="K218" s="239"/>
      <c r="L218" s="280">
        <f t="array" ref="L218">MIN(IF(V218:CH218&gt;0,$V$16:$CH$16))</f>
        <v>45637</v>
      </c>
      <c r="M218" s="279">
        <f t="array" ref="M218">MAX(IF(V218:CH218&gt;0,$V$16:$CH$16))</f>
        <v>45637</v>
      </c>
      <c r="N218" s="277">
        <f>VLOOKUP(H218,Auxiliar!$B$16:$E$24,4,0)</f>
        <v>0</v>
      </c>
      <c r="O218" s="277">
        <f t="shared" ca="1" si="63"/>
        <v>0</v>
      </c>
      <c r="P218" s="276">
        <f t="shared" ca="1" si="60"/>
        <v>0</v>
      </c>
      <c r="Q218" s="288" t="s">
        <v>38</v>
      </c>
      <c r="R218" s="230"/>
      <c r="S218" s="224">
        <v>4.0999999999999996</v>
      </c>
      <c r="T218" s="224">
        <f t="shared" si="43"/>
        <v>0.5</v>
      </c>
      <c r="U218" s="224">
        <f t="shared" si="64"/>
        <v>0</v>
      </c>
      <c r="V218" s="79"/>
      <c r="W218" s="79"/>
      <c r="X218" s="79"/>
      <c r="Y218" s="237"/>
      <c r="Z218" s="79"/>
      <c r="AA218" s="79"/>
      <c r="AB218" s="79"/>
      <c r="AC218" s="92"/>
      <c r="AD218" s="79"/>
      <c r="AE218" s="79"/>
      <c r="AF218" s="79"/>
      <c r="AG218" s="237"/>
      <c r="AH218" s="79"/>
      <c r="AI218" s="79"/>
      <c r="AJ218" s="79"/>
      <c r="AK218" s="79"/>
      <c r="AL218" s="79"/>
      <c r="AM218" s="231"/>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2"/>
        <v>lt827_mthd_usd_instrmnttabela</v>
      </c>
      <c r="B219" s="142" t="s">
        <v>26</v>
      </c>
      <c r="C219" s="138" t="s">
        <v>26</v>
      </c>
      <c r="D219" s="253" t="s">
        <v>40</v>
      </c>
      <c r="E219" s="257" t="s">
        <v>1966</v>
      </c>
      <c r="F219" s="257"/>
      <c r="G219" s="257" t="s">
        <v>392</v>
      </c>
      <c r="H219" s="255" t="str">
        <f>VLOOKUP(A219,'2. Status Detalhe Campos'!$A$7:$G$574,7,0)</f>
        <v>6. Em implementação (re-especificação)</v>
      </c>
      <c r="I219" s="240">
        <v>45603</v>
      </c>
      <c r="J219" s="238">
        <v>45611</v>
      </c>
      <c r="K219" s="239"/>
      <c r="L219" s="280">
        <f t="array" ref="L219">MIN(IF(V219:CH219&gt;0,$V$16:$CH$16))</f>
        <v>45637</v>
      </c>
      <c r="M219" s="279">
        <f t="array" ref="M219">MAX(IF(V219:CH219&gt;0,$V$16:$CH$16))</f>
        <v>45637</v>
      </c>
      <c r="N219" s="277">
        <f>VLOOKUP(H219,Auxiliar!$B$16:$E$24,4,0)</f>
        <v>0</v>
      </c>
      <c r="O219" s="277">
        <f t="shared" ca="1" si="63"/>
        <v>0</v>
      </c>
      <c r="P219" s="276">
        <f t="shared" ca="1" si="60"/>
        <v>0</v>
      </c>
      <c r="Q219" s="288" t="s">
        <v>38</v>
      </c>
      <c r="R219" s="230"/>
      <c r="S219" s="224">
        <v>4.0999999999999996</v>
      </c>
      <c r="T219" s="224">
        <f t="shared" si="43"/>
        <v>0.5</v>
      </c>
      <c r="U219" s="224">
        <f t="shared" si="64"/>
        <v>0</v>
      </c>
      <c r="V219" s="79"/>
      <c r="W219" s="79"/>
      <c r="X219" s="79"/>
      <c r="Y219" s="237"/>
      <c r="Z219" s="79"/>
      <c r="AA219" s="79"/>
      <c r="AB219" s="79"/>
      <c r="AC219" s="92"/>
      <c r="AD219" s="79"/>
      <c r="AE219" s="79"/>
      <c r="AF219" s="79"/>
      <c r="AG219" s="237"/>
      <c r="AH219" s="79"/>
      <c r="AI219" s="79"/>
      <c r="AJ219" s="79"/>
      <c r="AK219" s="79"/>
      <c r="AL219" s="79"/>
      <c r="AM219" s="231"/>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2"/>
        <v>lt827_mthd_usd_instrmntorigem_scp1_emss</v>
      </c>
      <c r="B220" s="142" t="s">
        <v>26</v>
      </c>
      <c r="C220" s="138" t="s">
        <v>26</v>
      </c>
      <c r="D220" s="253" t="s">
        <v>40</v>
      </c>
      <c r="E220" s="257" t="s">
        <v>1966</v>
      </c>
      <c r="F220" s="257"/>
      <c r="G220" s="257" t="s">
        <v>320</v>
      </c>
      <c r="H220" s="255" t="str">
        <f>VLOOKUP(A220,'2. Status Detalhe Campos'!$A$7:$G$574,7,0)</f>
        <v>6. Em implementação (re-especificação)</v>
      </c>
      <c r="I220" s="240">
        <v>45603</v>
      </c>
      <c r="J220" s="238">
        <v>45611</v>
      </c>
      <c r="K220" s="239"/>
      <c r="L220" s="280">
        <f t="array" ref="L220">MIN(IF(V220:CH220&gt;0,$V$16:$CH$16))</f>
        <v>45638</v>
      </c>
      <c r="M220" s="279">
        <f t="array" ref="M220">MAX(IF(V220:CH220&gt;0,$V$16:$CH$16))</f>
        <v>45638</v>
      </c>
      <c r="N220" s="277">
        <f>VLOOKUP(H220,Auxiliar!$B$16:$E$24,4,0)</f>
        <v>0</v>
      </c>
      <c r="O220" s="277">
        <f t="shared" ca="1" si="63"/>
        <v>0</v>
      </c>
      <c r="P220" s="276">
        <f t="shared" ca="1" si="60"/>
        <v>0</v>
      </c>
      <c r="Q220" s="288" t="s">
        <v>38</v>
      </c>
      <c r="R220" s="230"/>
      <c r="S220" s="224">
        <v>4.0999999999999996</v>
      </c>
      <c r="T220" s="224">
        <f t="shared" si="43"/>
        <v>0.5</v>
      </c>
      <c r="U220" s="224">
        <f t="shared" si="64"/>
        <v>0</v>
      </c>
      <c r="V220" s="79"/>
      <c r="W220" s="79"/>
      <c r="X220" s="79"/>
      <c r="Y220" s="237"/>
      <c r="Z220" s="79"/>
      <c r="AA220" s="79"/>
      <c r="AB220" s="79"/>
      <c r="AC220" s="92"/>
      <c r="AD220" s="79"/>
      <c r="AE220" s="79"/>
      <c r="AF220" s="79"/>
      <c r="AG220" s="237"/>
      <c r="AH220" s="79"/>
      <c r="AI220" s="79"/>
      <c r="AJ220" s="79"/>
      <c r="AK220" s="79"/>
      <c r="AL220" s="79"/>
      <c r="AM220" s="231"/>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2"/>
        <v>lt827_mthd_usd_instrmntorigem_scp2_emss</v>
      </c>
      <c r="B221" s="142" t="s">
        <v>26</v>
      </c>
      <c r="C221" s="138" t="s">
        <v>26</v>
      </c>
      <c r="D221" s="253" t="s">
        <v>40</v>
      </c>
      <c r="E221" s="257" t="s">
        <v>1966</v>
      </c>
      <c r="F221" s="257"/>
      <c r="G221" s="257" t="s">
        <v>321</v>
      </c>
      <c r="H221" s="255" t="str">
        <f>VLOOKUP(A221,'2. Status Detalhe Campos'!$A$7:$G$574,7,0)</f>
        <v>6. Em implementação (re-especificação)</v>
      </c>
      <c r="I221" s="240">
        <v>45603</v>
      </c>
      <c r="J221" s="238">
        <v>45611</v>
      </c>
      <c r="K221" s="239"/>
      <c r="L221" s="280">
        <f t="array" ref="L221">MIN(IF(V221:CH221&gt;0,$V$16:$CH$16))</f>
        <v>45638</v>
      </c>
      <c r="M221" s="279">
        <f t="array" ref="M221">MAX(IF(V221:CH221&gt;0,$V$16:$CH$16))</f>
        <v>45638</v>
      </c>
      <c r="N221" s="277">
        <f>VLOOKUP(H221,Auxiliar!$B$16:$E$24,4,0)</f>
        <v>0</v>
      </c>
      <c r="O221" s="277">
        <f t="shared" ca="1" si="63"/>
        <v>0</v>
      </c>
      <c r="P221" s="276">
        <f t="shared" ca="1" si="60"/>
        <v>0</v>
      </c>
      <c r="Q221" s="288" t="s">
        <v>38</v>
      </c>
      <c r="R221" s="230"/>
      <c r="S221" s="224">
        <v>4.0999999999999996</v>
      </c>
      <c r="T221" s="224">
        <f t="shared" si="43"/>
        <v>0.5</v>
      </c>
      <c r="U221" s="224">
        <f t="shared" si="64"/>
        <v>0</v>
      </c>
      <c r="V221" s="79"/>
      <c r="W221" s="79"/>
      <c r="X221" s="79"/>
      <c r="Y221" s="237"/>
      <c r="Z221" s="79"/>
      <c r="AA221" s="79"/>
      <c r="AB221" s="79"/>
      <c r="AC221" s="92"/>
      <c r="AD221" s="79"/>
      <c r="AE221" s="79"/>
      <c r="AF221" s="79"/>
      <c r="AG221" s="237"/>
      <c r="AH221" s="79"/>
      <c r="AI221" s="79"/>
      <c r="AJ221" s="79"/>
      <c r="AK221" s="79"/>
      <c r="AL221" s="79"/>
      <c r="AM221" s="231"/>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2"/>
        <v>lt827_mthd_usd_instrmntorigem_scp3_emss</v>
      </c>
      <c r="B222" s="142" t="s">
        <v>26</v>
      </c>
      <c r="C222" s="138" t="s">
        <v>26</v>
      </c>
      <c r="D222" s="253" t="s">
        <v>40</v>
      </c>
      <c r="E222" s="257" t="s">
        <v>1966</v>
      </c>
      <c r="F222" s="257"/>
      <c r="G222" s="257" t="s">
        <v>322</v>
      </c>
      <c r="H222" s="255" t="str">
        <f>VLOOKUP(A222,'2. Status Detalhe Campos'!$A$7:$G$574,7,0)</f>
        <v>6. Em implementação (re-especificação)</v>
      </c>
      <c r="I222" s="240">
        <v>45603</v>
      </c>
      <c r="J222" s="238">
        <v>45611</v>
      </c>
      <c r="K222" s="239"/>
      <c r="L222" s="280">
        <f t="array" ref="L222">MIN(IF(V222:CH222&gt;0,$V$16:$CH$16))</f>
        <v>45639</v>
      </c>
      <c r="M222" s="279">
        <f t="array" ref="M222">MAX(IF(V222:CH222&gt;0,$V$16:$CH$16))</f>
        <v>45639</v>
      </c>
      <c r="N222" s="277">
        <f>VLOOKUP(H222,Auxiliar!$B$16:$E$24,4,0)</f>
        <v>0</v>
      </c>
      <c r="O222" s="277">
        <f t="shared" ca="1" si="63"/>
        <v>0</v>
      </c>
      <c r="P222" s="276">
        <f t="shared" ca="1" si="60"/>
        <v>0</v>
      </c>
      <c r="Q222" s="288" t="s">
        <v>38</v>
      </c>
      <c r="R222" s="230"/>
      <c r="S222" s="224">
        <v>4.0999999999999996</v>
      </c>
      <c r="T222" s="224">
        <f t="shared" si="43"/>
        <v>0.5</v>
      </c>
      <c r="U222" s="224">
        <f t="shared" si="64"/>
        <v>0</v>
      </c>
      <c r="V222" s="79"/>
      <c r="W222" s="79"/>
      <c r="X222" s="79"/>
      <c r="Y222" s="237"/>
      <c r="Z222" s="79"/>
      <c r="AA222" s="79"/>
      <c r="AB222" s="79"/>
      <c r="AC222" s="92"/>
      <c r="AD222" s="79"/>
      <c r="AE222" s="79"/>
      <c r="AF222" s="79"/>
      <c r="AG222" s="237"/>
      <c r="AH222" s="79"/>
      <c r="AI222" s="79"/>
      <c r="AJ222" s="79"/>
      <c r="AK222" s="79"/>
      <c r="AL222" s="79"/>
      <c r="AM222" s="231"/>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2"/>
        <v>lt827_mthd_usd_instrmntmthd_usd_instrmnt_scp_1</v>
      </c>
      <c r="B223" s="142" t="s">
        <v>26</v>
      </c>
      <c r="C223" s="138" t="s">
        <v>26</v>
      </c>
      <c r="D223" s="253" t="s">
        <v>40</v>
      </c>
      <c r="E223" s="257" t="s">
        <v>1966</v>
      </c>
      <c r="F223" s="257"/>
      <c r="G223" s="257" t="s">
        <v>386</v>
      </c>
      <c r="H223" s="255" t="str">
        <f>VLOOKUP(A223,'2. Status Detalhe Campos'!$A$7:$G$574,7,0)</f>
        <v>6. Em implementação (re-especificação)</v>
      </c>
      <c r="I223" s="240">
        <v>45603</v>
      </c>
      <c r="J223" s="238">
        <v>45611</v>
      </c>
      <c r="K223" s="239"/>
      <c r="L223" s="280">
        <f t="array" ref="L223">MIN(IF(V223:CH223&gt;0,$V$16:$CH$16))</f>
        <v>45639</v>
      </c>
      <c r="M223" s="279">
        <f t="array" ref="M223">MAX(IF(V223:CH223&gt;0,$V$16:$CH$16))</f>
        <v>45639</v>
      </c>
      <c r="N223" s="277">
        <f>VLOOKUP(H223,Auxiliar!$B$16:$E$24,4,0)</f>
        <v>0</v>
      </c>
      <c r="O223" s="277">
        <f t="shared" ca="1" si="63"/>
        <v>0</v>
      </c>
      <c r="P223" s="276">
        <f t="shared" ca="1" si="60"/>
        <v>0</v>
      </c>
      <c r="Q223" s="288" t="s">
        <v>38</v>
      </c>
      <c r="R223" s="230"/>
      <c r="S223" s="224">
        <v>4.0999999999999996</v>
      </c>
      <c r="T223" s="224">
        <f t="shared" si="43"/>
        <v>0.5</v>
      </c>
      <c r="U223" s="224">
        <f t="shared" si="64"/>
        <v>0</v>
      </c>
      <c r="V223" s="79"/>
      <c r="W223" s="79"/>
      <c r="X223" s="79"/>
      <c r="Y223" s="237"/>
      <c r="Z223" s="79"/>
      <c r="AA223" s="79"/>
      <c r="AB223" s="79"/>
      <c r="AC223" s="92"/>
      <c r="AD223" s="79"/>
      <c r="AE223" s="79"/>
      <c r="AF223" s="79"/>
      <c r="AG223" s="237"/>
      <c r="AH223" s="79"/>
      <c r="AI223" s="79"/>
      <c r="AJ223" s="79"/>
      <c r="AK223" s="79"/>
      <c r="AL223" s="79"/>
      <c r="AM223" s="231"/>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2"/>
        <v>lt827_mthd_usd_instrmntmthd_usd_instrmnt_scp_2</v>
      </c>
      <c r="B224" s="142" t="s">
        <v>26</v>
      </c>
      <c r="C224" s="138" t="s">
        <v>26</v>
      </c>
      <c r="D224" s="253" t="s">
        <v>40</v>
      </c>
      <c r="E224" s="257" t="s">
        <v>1966</v>
      </c>
      <c r="F224" s="257"/>
      <c r="G224" s="257" t="s">
        <v>387</v>
      </c>
      <c r="H224" s="255" t="str">
        <f>VLOOKUP(A224,'2. Status Detalhe Campos'!$A$7:$G$574,7,0)</f>
        <v>6. Em implementação (re-especificação)</v>
      </c>
      <c r="I224" s="240">
        <v>45603</v>
      </c>
      <c r="J224" s="238">
        <v>45611</v>
      </c>
      <c r="K224" s="239"/>
      <c r="L224" s="280">
        <f t="array" ref="L224">MIN(IF(V224:CH224&gt;0,$V$16:$CH$16))</f>
        <v>45642</v>
      </c>
      <c r="M224" s="279">
        <f t="array" ref="M224">MAX(IF(V224:CH224&gt;0,$V$16:$CH$16))</f>
        <v>45642</v>
      </c>
      <c r="N224" s="277">
        <f>VLOOKUP(H224,Auxiliar!$B$16:$E$24,4,0)</f>
        <v>0</v>
      </c>
      <c r="O224" s="277">
        <f t="shared" ca="1" si="63"/>
        <v>0</v>
      </c>
      <c r="P224" s="276">
        <f t="shared" ca="1" si="60"/>
        <v>0</v>
      </c>
      <c r="Q224" s="288" t="s">
        <v>38</v>
      </c>
      <c r="R224" s="230"/>
      <c r="S224" s="224">
        <v>4.0999999999999996</v>
      </c>
      <c r="T224" s="224">
        <f t="shared" si="43"/>
        <v>0.5</v>
      </c>
      <c r="U224" s="224">
        <f t="shared" si="64"/>
        <v>0</v>
      </c>
      <c r="V224" s="79"/>
      <c r="W224" s="79"/>
      <c r="X224" s="79"/>
      <c r="Y224" s="237"/>
      <c r="Z224" s="79"/>
      <c r="AA224" s="79"/>
      <c r="AB224" s="79"/>
      <c r="AC224" s="92"/>
      <c r="AD224" s="79"/>
      <c r="AE224" s="79"/>
      <c r="AF224" s="79"/>
      <c r="AG224" s="237"/>
      <c r="AH224" s="79"/>
      <c r="AI224" s="79"/>
      <c r="AJ224" s="79"/>
      <c r="AK224" s="79"/>
      <c r="AL224" s="79"/>
      <c r="AM224" s="231"/>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2"/>
        <v>lt827_mthd_usd_instrmntmthd_usd_instrmnt_scp_3</v>
      </c>
      <c r="B225" s="142" t="s">
        <v>26</v>
      </c>
      <c r="C225" s="138" t="s">
        <v>26</v>
      </c>
      <c r="D225" s="253" t="s">
        <v>40</v>
      </c>
      <c r="E225" s="257" t="s">
        <v>1966</v>
      </c>
      <c r="F225" s="257"/>
      <c r="G225" s="257" t="s">
        <v>388</v>
      </c>
      <c r="H225" s="255" t="str">
        <f>VLOOKUP(A225,'2. Status Detalhe Campos'!$A$7:$G$574,7,0)</f>
        <v>6. Em implementação (re-especificação)</v>
      </c>
      <c r="I225" s="240">
        <v>45603</v>
      </c>
      <c r="J225" s="238">
        <v>45611</v>
      </c>
      <c r="K225" s="239"/>
      <c r="L225" s="280">
        <f t="array" ref="L225">MIN(IF(V225:CH225&gt;0,$V$16:$CH$16))</f>
        <v>45642</v>
      </c>
      <c r="M225" s="279">
        <f t="array" ref="M225">MAX(IF(V225:CH225&gt;0,$V$16:$CH$16))</f>
        <v>45642</v>
      </c>
      <c r="N225" s="277">
        <f>VLOOKUP(H225,Auxiliar!$B$16:$E$24,4,0)</f>
        <v>0</v>
      </c>
      <c r="O225" s="277">
        <f t="shared" ca="1" si="63"/>
        <v>0</v>
      </c>
      <c r="P225" s="276">
        <f t="shared" ca="1" si="60"/>
        <v>0</v>
      </c>
      <c r="Q225" s="288" t="s">
        <v>38</v>
      </c>
      <c r="R225" s="230"/>
      <c r="S225" s="224">
        <v>4.0999999999999996</v>
      </c>
      <c r="T225" s="224">
        <f t="shared" si="43"/>
        <v>0.5</v>
      </c>
      <c r="U225" s="224">
        <f t="shared" si="64"/>
        <v>0</v>
      </c>
      <c r="V225" s="79"/>
      <c r="W225" s="79"/>
      <c r="X225" s="79"/>
      <c r="Y225" s="237"/>
      <c r="Z225" s="79"/>
      <c r="AA225" s="79"/>
      <c r="AB225" s="79"/>
      <c r="AC225" s="92"/>
      <c r="AD225" s="79"/>
      <c r="AE225" s="79"/>
      <c r="AF225" s="79"/>
      <c r="AG225" s="237"/>
      <c r="AH225" s="79"/>
      <c r="AI225" s="79"/>
      <c r="AJ225" s="79"/>
      <c r="AK225" s="79"/>
      <c r="AL225" s="79"/>
      <c r="AM225" s="231"/>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c r="A226" s="30"/>
      <c r="B226" s="142" t="s">
        <v>26</v>
      </c>
      <c r="C226" s="138" t="s">
        <v>26</v>
      </c>
      <c r="D226" s="134"/>
      <c r="E226" s="263" t="s">
        <v>1965</v>
      </c>
      <c r="F226" s="260" t="s">
        <v>1989</v>
      </c>
      <c r="G226" s="261">
        <f>COUNTA(G227:G231)</f>
        <v>5</v>
      </c>
      <c r="H226" s="136"/>
      <c r="I226" s="259">
        <f>MAX(I227:I230)</f>
        <v>45593</v>
      </c>
      <c r="J226" s="258">
        <f>MIN(J227:J230)</f>
        <v>45624</v>
      </c>
      <c r="K226" s="229"/>
      <c r="L226" s="259">
        <f>MIN(L227:L230)</f>
        <v>45644</v>
      </c>
      <c r="M226" s="259">
        <f>MAX(M227:M230)</f>
        <v>45645</v>
      </c>
      <c r="N226" s="282">
        <f>SUMPRODUCT(N227:N230,T227:T230)/SUM(T227:T230)</f>
        <v>0</v>
      </c>
      <c r="O226" s="282">
        <f ca="1">SUMPRODUCT(O227:O230,T227:T230)/SUM(T227:T230)</f>
        <v>0</v>
      </c>
      <c r="P226" s="276">
        <f t="shared" ca="1" si="60"/>
        <v>0</v>
      </c>
      <c r="Q226" s="288" t="s">
        <v>38</v>
      </c>
      <c r="R226" s="230"/>
      <c r="S226" s="224"/>
      <c r="T226" s="224"/>
      <c r="U226" s="224"/>
      <c r="V226" s="79"/>
      <c r="W226" s="79"/>
      <c r="X226" s="79"/>
      <c r="Y226" s="237"/>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1"/>
      <c r="AW226" s="79"/>
      <c r="AX226" s="79"/>
      <c r="AY226" s="79"/>
      <c r="AZ226" s="79"/>
      <c r="BA226" s="79"/>
      <c r="BB226" s="79"/>
      <c r="BC226" s="79"/>
      <c r="BD226" s="79"/>
      <c r="BE226" s="79"/>
      <c r="BF226" s="79"/>
      <c r="BG226" s="79"/>
      <c r="BH226" s="79"/>
      <c r="BI226" s="79"/>
      <c r="BJ226" s="79"/>
      <c r="BK226" s="79"/>
      <c r="BL226" s="266"/>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c r="A227" s="30" t="str">
        <f>E227&amp;G227</f>
        <v>lt007_instr_activityenvrnmntl_objctv</v>
      </c>
      <c r="B227" s="142" t="s">
        <v>26</v>
      </c>
      <c r="C227" s="138" t="s">
        <v>26</v>
      </c>
      <c r="D227" s="253" t="s">
        <v>40</v>
      </c>
      <c r="E227" s="257" t="s">
        <v>1965</v>
      </c>
      <c r="F227" s="257"/>
      <c r="G227" s="257" t="s">
        <v>383</v>
      </c>
      <c r="H227" s="255" t="str">
        <f>VLOOKUP(A227,'2. Status Detalhe Campos'!$A$7:$G$574,7,0)</f>
        <v>6. Em implementação (re-especificação)</v>
      </c>
      <c r="I227" s="153">
        <v>45593</v>
      </c>
      <c r="J227" s="235">
        <v>45624</v>
      </c>
      <c r="K227" s="229"/>
      <c r="L227" s="280">
        <f t="array" ref="L227">MIN(IF(V227:CH227&gt;0,$V$16:$CH$16))</f>
        <v>45644</v>
      </c>
      <c r="M227" s="279">
        <f t="array" ref="M227">MAX(IF(V227:CH227&gt;0,$V$16:$CH$16))</f>
        <v>45644</v>
      </c>
      <c r="N227" s="277">
        <f>VLOOKUP(H227,Auxiliar!$B$16:$E$24,4,0)</f>
        <v>0</v>
      </c>
      <c r="O227" s="277">
        <f t="shared" ref="O227:O231" ca="1" si="65">IF(TODAY()&lt;=L227,0,MIN((TODAY()-L227)/(M227-L227+1),100%))</f>
        <v>0</v>
      </c>
      <c r="P227" s="276">
        <f t="shared" ca="1" si="60"/>
        <v>0</v>
      </c>
      <c r="Q227" s="288" t="s">
        <v>38</v>
      </c>
      <c r="R227" s="230"/>
      <c r="S227" s="224">
        <v>4.0999999999999996</v>
      </c>
      <c r="T227" s="224">
        <f>ROUND(S227/8,1)</f>
        <v>0.5</v>
      </c>
      <c r="U227" s="224">
        <f>SUM(V227:CH227)-T227</f>
        <v>0</v>
      </c>
      <c r="V227" s="79"/>
      <c r="W227" s="79"/>
      <c r="X227" s="79"/>
      <c r="Y227" s="237"/>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1"/>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lt007_instr_activitytyp_actvty</v>
      </c>
      <c r="B228" s="142" t="s">
        <v>26</v>
      </c>
      <c r="C228" s="138" t="s">
        <v>26</v>
      </c>
      <c r="D228" s="253" t="s">
        <v>40</v>
      </c>
      <c r="E228" s="257" t="s">
        <v>1965</v>
      </c>
      <c r="F228" s="257"/>
      <c r="G228" s="257" t="s">
        <v>384</v>
      </c>
      <c r="H228" s="255" t="str">
        <f>VLOOKUP(A228,'2. Status Detalhe Campos'!$A$7:$G$574,7,0)</f>
        <v>6. Em implementação (re-especificação)</v>
      </c>
      <c r="I228" s="153">
        <v>45593</v>
      </c>
      <c r="J228" s="235">
        <v>45624</v>
      </c>
      <c r="K228" s="229"/>
      <c r="L228" s="280">
        <f t="array" ref="L228">MIN(IF(V228:CH228&gt;0,$V$16:$CH$16))</f>
        <v>45645</v>
      </c>
      <c r="M228" s="279">
        <f t="array" ref="M228">MAX(IF(V228:CH228&gt;0,$V$16:$CH$16))</f>
        <v>45645</v>
      </c>
      <c r="N228" s="277">
        <f>VLOOKUP(H228,Auxiliar!$B$16:$E$24,4,0)</f>
        <v>0</v>
      </c>
      <c r="O228" s="277">
        <f t="shared" ca="1" si="65"/>
        <v>0</v>
      </c>
      <c r="P228" s="276">
        <f t="shared" ca="1" si="60"/>
        <v>0</v>
      </c>
      <c r="Q228" s="288" t="s">
        <v>38</v>
      </c>
      <c r="R228" s="230"/>
      <c r="S228" s="224">
        <v>4.0999999999999996</v>
      </c>
      <c r="T228" s="224">
        <f>ROUND(S228/8,1)</f>
        <v>0.5</v>
      </c>
      <c r="U228" s="224">
        <f>SUM(V228:CH228)-T228</f>
        <v>0</v>
      </c>
      <c r="V228" s="79"/>
      <c r="W228" s="79"/>
      <c r="X228" s="79"/>
      <c r="Y228" s="237"/>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1"/>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lt007_instr_activitysstnbl_indctr</v>
      </c>
      <c r="B229" s="142" t="s">
        <v>26</v>
      </c>
      <c r="C229" s="138" t="s">
        <v>26</v>
      </c>
      <c r="D229" s="253" t="s">
        <v>40</v>
      </c>
      <c r="E229" s="257" t="s">
        <v>1965</v>
      </c>
      <c r="F229" s="257"/>
      <c r="G229" s="257" t="s">
        <v>419</v>
      </c>
      <c r="H229" s="255" t="str">
        <f>VLOOKUP(A229,'2. Status Detalhe Campos'!$A$7:$G$574,7,0)</f>
        <v>6. Em implementação (re-especificação)</v>
      </c>
      <c r="I229" s="153">
        <v>45593</v>
      </c>
      <c r="J229" s="235">
        <v>45624</v>
      </c>
      <c r="K229" s="229"/>
      <c r="L229" s="280">
        <f t="array" ref="L229">MIN(IF(V229:CH229&gt;0,$V$16:$CH$16))</f>
        <v>45645</v>
      </c>
      <c r="M229" s="279">
        <f t="array" ref="M229">MAX(IF(V229:CH229&gt;0,$V$16:$CH$16))</f>
        <v>45645</v>
      </c>
      <c r="N229" s="277">
        <f>VLOOKUP(H229,Auxiliar!$B$16:$E$24,4,0)</f>
        <v>0</v>
      </c>
      <c r="O229" s="277">
        <f t="shared" ca="1" si="65"/>
        <v>0</v>
      </c>
      <c r="P229" s="276">
        <f t="shared" ca="1" si="60"/>
        <v>0</v>
      </c>
      <c r="Q229" s="288" t="s">
        <v>38</v>
      </c>
      <c r="R229" s="230"/>
      <c r="S229" s="233">
        <v>4.0999999999999996</v>
      </c>
      <c r="T229" s="224">
        <f t="shared" si="43"/>
        <v>0.5</v>
      </c>
      <c r="U229" s="224">
        <f>SUM(V229:CH229)-T229</f>
        <v>0</v>
      </c>
      <c r="V229" s="79"/>
      <c r="W229" s="79"/>
      <c r="X229" s="79"/>
      <c r="Y229" s="237"/>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1"/>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lt007_instr_activitysstnbl_ctgry</v>
      </c>
      <c r="B230" s="142" t="s">
        <v>26</v>
      </c>
      <c r="C230" s="138" t="s">
        <v>26</v>
      </c>
      <c r="D230" s="253" t="s">
        <v>40</v>
      </c>
      <c r="E230" s="257" t="s">
        <v>1965</v>
      </c>
      <c r="F230" s="257"/>
      <c r="G230" s="257" t="s">
        <v>420</v>
      </c>
      <c r="H230" s="255" t="str">
        <f>VLOOKUP(A230,'2. Status Detalhe Campos'!$A$7:$G$574,7,0)</f>
        <v>6. Em implementação (re-especificação)</v>
      </c>
      <c r="I230" s="153">
        <v>45593</v>
      </c>
      <c r="J230" s="235">
        <v>45624</v>
      </c>
      <c r="K230" s="229"/>
      <c r="L230" s="280">
        <f t="array" ref="L230">MIN(IF(V230:CH230&gt;0,$V$16:$CH$16))</f>
        <v>45644</v>
      </c>
      <c r="M230" s="279">
        <f t="array" ref="M230">MAX(IF(V230:CH230&gt;0,$V$16:$CH$16))</f>
        <v>45644</v>
      </c>
      <c r="N230" s="277">
        <f>VLOOKUP(H230,Auxiliar!$B$16:$E$24,4,0)</f>
        <v>0</v>
      </c>
      <c r="O230" s="277">
        <f t="shared" ca="1" si="65"/>
        <v>0</v>
      </c>
      <c r="P230" s="276">
        <f t="shared" ca="1" si="60"/>
        <v>0</v>
      </c>
      <c r="Q230" s="288" t="s">
        <v>38</v>
      </c>
      <c r="R230" s="230"/>
      <c r="S230" s="233">
        <v>4.0999999999999996</v>
      </c>
      <c r="T230" s="224">
        <f t="shared" si="43"/>
        <v>0.5</v>
      </c>
      <c r="U230" s="224">
        <f>SUM(V230:CH230)-T230</f>
        <v>0</v>
      </c>
      <c r="V230" s="79"/>
      <c r="W230" s="79"/>
      <c r="X230" s="79"/>
      <c r="Y230" s="237"/>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1"/>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c r="A231" s="30" t="str">
        <f>E231&amp;G231</f>
        <v>munichRetbd</v>
      </c>
      <c r="B231" s="142" t="s">
        <v>26</v>
      </c>
      <c r="C231" s="138" t="s">
        <v>181</v>
      </c>
      <c r="D231" s="134" t="s">
        <v>40</v>
      </c>
      <c r="E231" s="263" t="s">
        <v>1967</v>
      </c>
      <c r="F231" s="260" t="s">
        <v>1989</v>
      </c>
      <c r="G231" s="263" t="s">
        <v>1968</v>
      </c>
      <c r="H231" s="283"/>
      <c r="I231" s="259">
        <v>45574</v>
      </c>
      <c r="J231" s="238"/>
      <c r="K231" s="229"/>
      <c r="L231" s="284">
        <f t="array" ref="L231">MIN(IF(V231:CH231&gt;0,$V$16:$CH$16))</f>
        <v>45659</v>
      </c>
      <c r="M231" s="285">
        <f t="array" ref="M231">MAX(IF(V231:CH231&gt;0,$V$16:$CH$16))</f>
        <v>45660</v>
      </c>
      <c r="N231" s="286">
        <v>0</v>
      </c>
      <c r="O231" s="286">
        <f t="shared" ca="1" si="65"/>
        <v>0</v>
      </c>
      <c r="P231" s="276">
        <f t="shared" ca="1" si="60"/>
        <v>0</v>
      </c>
      <c r="Q231" s="288" t="s">
        <v>38</v>
      </c>
      <c r="R231" s="230"/>
      <c r="S231" s="224"/>
      <c r="T231" s="224"/>
      <c r="U231" s="224"/>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c r="A232" s="30"/>
      <c r="B232" s="142" t="s">
        <v>26</v>
      </c>
      <c r="C232" s="138" t="s">
        <v>34</v>
      </c>
      <c r="D232" s="134"/>
      <c r="E232" s="263" t="s">
        <v>2015</v>
      </c>
      <c r="F232" s="260" t="s">
        <v>1989</v>
      </c>
      <c r="G232" s="263" t="s">
        <v>1968</v>
      </c>
      <c r="H232" s="136"/>
      <c r="I232" s="264">
        <v>45604</v>
      </c>
      <c r="J232" s="238"/>
      <c r="K232" s="229"/>
      <c r="L232" s="284">
        <f t="array" ref="L232">MIN(IF(V232:CH232&gt;0,$V$16:$CH$16))</f>
        <v>45659</v>
      </c>
      <c r="M232" s="285">
        <f t="array" ref="M232">MAX(IF(V232:CH232&gt;0,$V$16:$CH$16))</f>
        <v>45660</v>
      </c>
      <c r="N232" s="286">
        <v>0</v>
      </c>
      <c r="O232" s="286">
        <v>0</v>
      </c>
      <c r="P232" s="276">
        <f t="shared" si="60"/>
        <v>0</v>
      </c>
      <c r="Q232" s="288" t="s">
        <v>38</v>
      </c>
      <c r="R232" s="230"/>
      <c r="S232" s="224"/>
      <c r="T232" s="224"/>
      <c r="U232" s="224"/>
      <c r="V232" s="79"/>
      <c r="W232" s="79"/>
      <c r="X232" s="79"/>
      <c r="Y232" s="79"/>
      <c r="Z232" s="79"/>
      <c r="AA232" s="79"/>
      <c r="AB232" s="79"/>
      <c r="AC232" s="92"/>
      <c r="AD232" s="79"/>
      <c r="AE232" s="79"/>
      <c r="AF232" s="79"/>
      <c r="AG232" s="79"/>
      <c r="AH232" s="237"/>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c r="A233" s="30"/>
      <c r="B233" s="142" t="s">
        <v>26</v>
      </c>
      <c r="C233" s="138" t="s">
        <v>54</v>
      </c>
      <c r="D233" s="134"/>
      <c r="E233" s="263" t="s">
        <v>94</v>
      </c>
      <c r="F233" s="260" t="s">
        <v>1989</v>
      </c>
      <c r="G233" s="263">
        <v>1</v>
      </c>
      <c r="H233" s="136"/>
      <c r="I233" s="264"/>
      <c r="J233" s="238"/>
      <c r="K233" s="229"/>
      <c r="L233" s="284"/>
      <c r="M233" s="285"/>
      <c r="N233" s="286">
        <v>0</v>
      </c>
      <c r="O233" s="286">
        <v>0</v>
      </c>
      <c r="P233" s="276">
        <f t="shared" ref="P233" si="66">N233-O233</f>
        <v>0</v>
      </c>
      <c r="Q233" s="288" t="s">
        <v>2026</v>
      </c>
      <c r="R233" s="230"/>
      <c r="S233" s="224"/>
      <c r="T233" s="224"/>
      <c r="U233" s="224"/>
      <c r="V233" s="79"/>
      <c r="W233" s="79"/>
      <c r="X233" s="79"/>
      <c r="Y233" s="79"/>
      <c r="Z233" s="79"/>
      <c r="AA233" s="79"/>
      <c r="AB233" s="79"/>
      <c r="AC233" s="92"/>
      <c r="AD233" s="79"/>
      <c r="AE233" s="79"/>
      <c r="AF233" s="79"/>
      <c r="AG233" s="79"/>
      <c r="AH233" s="237"/>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c r="A234" s="30"/>
      <c r="B234" s="142" t="s">
        <v>26</v>
      </c>
      <c r="C234" s="138" t="s">
        <v>1987</v>
      </c>
      <c r="D234" s="134"/>
      <c r="E234" s="263" t="s">
        <v>1969</v>
      </c>
      <c r="F234" s="137"/>
      <c r="G234" s="137"/>
      <c r="H234" s="136"/>
      <c r="I234" s="229"/>
      <c r="J234" s="290"/>
      <c r="K234" s="229"/>
      <c r="L234" s="229"/>
      <c r="M234" s="229"/>
      <c r="N234" s="276"/>
      <c r="O234" s="276"/>
      <c r="P234" s="276"/>
      <c r="Q234" s="276"/>
      <c r="R234" s="230"/>
      <c r="S234" s="224">
        <f>SUM(S18:S231)*0.3</f>
        <v>259.50000000000063</v>
      </c>
      <c r="T234" s="224">
        <f t="shared" si="43"/>
        <v>32.4</v>
      </c>
      <c r="U234" s="224">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48:AM160 AN148:BS151 V168:AB170 AV152:BS160 V153:AS160 BT148:CH153 BT162:CH163 AV162:BS166 V154:CH160 AV168:CH170 V17:CH147 V161:AL161 AN161:CH161 V163:CH167 V171:CH234">
    <cfRule type="cellIs" dxfId="6" priority="13" operator="greaterThan">
      <formula>0</formula>
    </cfRule>
  </conditionalFormatting>
  <conditionalFormatting sqref="U17:U234">
    <cfRule type="cellIs" dxfId="5" priority="15" operator="notEqual">
      <formula>0</formula>
    </cfRule>
  </conditionalFormatting>
  <conditionalFormatting sqref="V215:BS215">
    <cfRule type="cellIs" dxfId="4" priority="4" operator="greaterThan">
      <formula>0</formula>
    </cfRule>
  </conditionalFormatting>
  <conditionalFormatting sqref="V226:BS226">
    <cfRule type="cellIs" dxfId="3" priority="2" operator="greaterThan">
      <formula>0</formula>
    </cfRule>
  </conditionalFormatting>
  <conditionalFormatting sqref="X6:CH6 X9:CH10">
    <cfRule type="cellIs" dxfId="2" priority="14" operator="notEqual">
      <formula>0</formula>
    </cfRule>
  </conditionalFormatting>
  <conditionalFormatting sqref="AC168:AU170 AO152:AU160 V162:AU166">
    <cfRule type="cellIs" dxfId="1" priority="16" operator="greaterThan">
      <formula>0</formula>
    </cfRule>
  </conditionalFormatting>
  <conditionalFormatting sqref="AM161">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0B48309-F8DE-4325-8AB0-F49F911D9209}"/>
</file>

<file path=customXml/itemProps2.xml><?xml version="1.0" encoding="utf-8"?>
<ds:datastoreItem xmlns:ds="http://schemas.openxmlformats.org/officeDocument/2006/customXml" ds:itemID="{18AAA335-33FC-43F6-B758-4189E316609B}">
  <ds:schemaRefs>
    <ds:schemaRef ds:uri="http://schemas.microsoft.com/sharepoint/v3"/>
    <ds:schemaRef ds:uri="0683c779-04fc-4b63-89c9-6c25ffa1c0a4"/>
    <ds:schemaRef ds:uri="http://schemas.microsoft.com/office/infopath/2007/PartnerControls"/>
    <ds:schemaRef ds:uri="http://purl.org/dc/terms/"/>
    <ds:schemaRef ds:uri="http://schemas.microsoft.com/office/2006/documentManagement/types"/>
    <ds:schemaRef ds:uri="http://purl.org/dc/dcmitype/"/>
    <ds:schemaRef ds:uri="http://www.w3.org/XML/1998/namespace"/>
    <ds:schemaRef ds:uri="http://purl.org/dc/elements/1.1/"/>
    <ds:schemaRef ds:uri="http://schemas.openxmlformats.org/package/2006/metadata/core-properties"/>
    <ds:schemaRef ds:uri="6ea7b29d-57ec-408d-9ea9-cf73b04f66d5"/>
    <ds:schemaRef ds:uri="http://schemas.microsoft.com/office/2006/metadata/properties"/>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2024-11-08T17:13:45Z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